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5278BDD2-92D7-4FE8-A0B8-BB25ABF8F513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0" i="1" l="1"/>
  <c r="O48" i="1"/>
  <c r="O45" i="1"/>
  <c r="F67" i="1"/>
  <c r="G67" i="1"/>
  <c r="H67" i="1"/>
  <c r="I67" i="1"/>
  <c r="J67" i="1"/>
  <c r="K67" i="1"/>
  <c r="L67" i="1"/>
  <c r="E67" i="1"/>
  <c r="C67" i="1"/>
  <c r="B49" i="1" l="1"/>
  <c r="B50" i="1" s="1"/>
  <c r="B55" i="1" s="1"/>
  <c r="B67" i="1" s="1"/>
  <c r="I15" i="1"/>
  <c r="I17" i="1" s="1"/>
  <c r="I28" i="1" s="1"/>
  <c r="D9" i="1"/>
  <c r="D11" i="1" s="1"/>
  <c r="D12" i="1" s="1"/>
  <c r="D15" i="1" s="1"/>
  <c r="E9" i="1"/>
  <c r="E11" i="1" s="1"/>
  <c r="E12" i="1" s="1"/>
  <c r="F9" i="1"/>
  <c r="F11" i="1" s="1"/>
  <c r="F12" i="1" s="1"/>
  <c r="G9" i="1"/>
  <c r="G11" i="1" s="1"/>
  <c r="G12" i="1" s="1"/>
  <c r="G15" i="1" s="1"/>
  <c r="H9" i="1"/>
  <c r="H24" i="1" s="1"/>
  <c r="I9" i="1"/>
  <c r="I11" i="1" s="1"/>
  <c r="I12" i="1" s="1"/>
  <c r="J9" i="1"/>
  <c r="J11" i="1" s="1"/>
  <c r="J12" i="1" s="1"/>
  <c r="J15" i="1" s="1"/>
  <c r="K9" i="1"/>
  <c r="K11" i="1" s="1"/>
  <c r="K12" i="1" s="1"/>
  <c r="K15" i="1" s="1"/>
  <c r="L9" i="1"/>
  <c r="L11" i="1" s="1"/>
  <c r="L12" i="1" s="1"/>
  <c r="L15" i="1" s="1"/>
  <c r="L17" i="1" s="1"/>
  <c r="L28" i="1" s="1"/>
  <c r="C9" i="1"/>
  <c r="C11" i="1" s="1"/>
  <c r="C12" i="1" s="1"/>
  <c r="D46" i="1"/>
  <c r="D62" i="1" s="1"/>
  <c r="E46" i="1"/>
  <c r="E49" i="1" s="1"/>
  <c r="F46" i="1"/>
  <c r="F49" i="1" s="1"/>
  <c r="G46" i="1"/>
  <c r="G49" i="1" s="1"/>
  <c r="H46" i="1"/>
  <c r="H49" i="1" s="1"/>
  <c r="I46" i="1"/>
  <c r="I49" i="1" s="1"/>
  <c r="J46" i="1"/>
  <c r="J49" i="1" s="1"/>
  <c r="K46" i="1"/>
  <c r="K49" i="1" s="1"/>
  <c r="L46" i="1"/>
  <c r="L49" i="1" s="1"/>
  <c r="C46" i="1"/>
  <c r="C49" i="1" s="1"/>
  <c r="L59" i="1"/>
  <c r="K59" i="1"/>
  <c r="J59" i="1"/>
  <c r="I59" i="1"/>
  <c r="H59" i="1"/>
  <c r="G59" i="1"/>
  <c r="F59" i="1"/>
  <c r="E59" i="1"/>
  <c r="D59" i="1"/>
  <c r="C59" i="1"/>
  <c r="B59" i="1"/>
  <c r="C21" i="1"/>
  <c r="D21" i="1"/>
  <c r="E21" i="1"/>
  <c r="F21" i="1"/>
  <c r="G21" i="1"/>
  <c r="H21" i="1"/>
  <c r="I21" i="1"/>
  <c r="J21" i="1"/>
  <c r="K21" i="1"/>
  <c r="L21" i="1"/>
  <c r="B21" i="1"/>
  <c r="B11" i="1"/>
  <c r="B12" i="1" s="1"/>
  <c r="B17" i="1" s="1"/>
  <c r="B28" i="1" s="1"/>
  <c r="K24" i="1" l="1"/>
  <c r="H62" i="1"/>
  <c r="G62" i="1"/>
  <c r="D49" i="1"/>
  <c r="I24" i="1"/>
  <c r="C17" i="1"/>
  <c r="M28" i="1"/>
  <c r="L34" i="1"/>
  <c r="D17" i="1"/>
  <c r="D28" i="1" s="1"/>
  <c r="H11" i="1"/>
  <c r="H12" i="1" s="1"/>
  <c r="H15" i="1" s="1"/>
  <c r="H17" i="1" s="1"/>
  <c r="H28" i="1" s="1"/>
  <c r="H29" i="1" s="1"/>
  <c r="F24" i="1"/>
  <c r="G17" i="1"/>
  <c r="G28" i="1" s="1"/>
  <c r="K62" i="1"/>
  <c r="J62" i="1"/>
  <c r="G24" i="1"/>
  <c r="I62" i="1"/>
  <c r="K17" i="1"/>
  <c r="K28" i="1" s="1"/>
  <c r="C24" i="1"/>
  <c r="E24" i="1"/>
  <c r="C15" i="1"/>
  <c r="J17" i="1"/>
  <c r="J28" i="1" s="1"/>
  <c r="L24" i="1"/>
  <c r="D24" i="1"/>
  <c r="F62" i="1"/>
  <c r="C62" i="1"/>
  <c r="E62" i="1"/>
  <c r="J24" i="1"/>
  <c r="L62" i="1"/>
  <c r="D50" i="1"/>
  <c r="D51" i="1" s="1"/>
  <c r="F15" i="1"/>
  <c r="F17" i="1" s="1"/>
  <c r="F28" i="1" s="1"/>
  <c r="G29" i="1" s="1"/>
  <c r="E15" i="1"/>
  <c r="E17" i="1" s="1"/>
  <c r="E28" i="1" s="1"/>
  <c r="F50" i="1"/>
  <c r="I50" i="1"/>
  <c r="H50" i="1"/>
  <c r="G50" i="1"/>
  <c r="C50" i="1"/>
  <c r="E50" i="1"/>
  <c r="K50" i="1"/>
  <c r="L50" i="1"/>
  <c r="J50" i="1"/>
  <c r="B13" i="1"/>
  <c r="D13" i="1"/>
  <c r="L13" i="1"/>
  <c r="J13" i="1"/>
  <c r="K13" i="1"/>
  <c r="I13" i="1"/>
  <c r="G13" i="1"/>
  <c r="F13" i="1"/>
  <c r="E13" i="1"/>
  <c r="C13" i="1"/>
  <c r="O10" i="1" l="1"/>
  <c r="O19" i="1" s="1"/>
  <c r="B35" i="1"/>
  <c r="O13" i="1"/>
  <c r="C28" i="1"/>
  <c r="H13" i="1"/>
  <c r="E29" i="1"/>
  <c r="F29" i="1"/>
  <c r="D53" i="1"/>
  <c r="D68" i="1" s="1"/>
  <c r="L53" i="1"/>
  <c r="L55" i="1" s="1"/>
  <c r="K51" i="1"/>
  <c r="K53" i="1"/>
  <c r="K55" i="1" s="1"/>
  <c r="J51" i="1"/>
  <c r="J53" i="1"/>
  <c r="J55" i="1" s="1"/>
  <c r="I51" i="1"/>
  <c r="I53" i="1"/>
  <c r="I55" i="1" s="1"/>
  <c r="H51" i="1"/>
  <c r="H53" i="1"/>
  <c r="H55" i="1" s="1"/>
  <c r="G53" i="1"/>
  <c r="G55" i="1" s="1"/>
  <c r="F53" i="1"/>
  <c r="F55" i="1" s="1"/>
  <c r="E53" i="1"/>
  <c r="E55" i="1" s="1"/>
  <c r="L51" i="1"/>
  <c r="F51" i="1"/>
  <c r="J29" i="1"/>
  <c r="G51" i="1"/>
  <c r="E51" i="1"/>
  <c r="K29" i="1"/>
  <c r="L29" i="1"/>
  <c r="I29" i="1"/>
  <c r="C29" i="1"/>
  <c r="D29" i="1"/>
  <c r="C68" i="1"/>
  <c r="M67" i="1" l="1"/>
  <c r="B74" i="1" s="1"/>
  <c r="O43" i="1"/>
  <c r="L68" i="1"/>
  <c r="H68" i="1"/>
  <c r="G68" i="1"/>
  <c r="F68" i="1"/>
  <c r="E68" i="1"/>
  <c r="K68" i="1"/>
  <c r="J68" i="1"/>
  <c r="I68" i="1"/>
</calcChain>
</file>

<file path=xl/sharedStrings.xml><?xml version="1.0" encoding="utf-8"?>
<sst xmlns="http://schemas.openxmlformats.org/spreadsheetml/2006/main" count="83" uniqueCount="55">
  <si>
    <t>Years</t>
  </si>
  <si>
    <t>Revenue</t>
  </si>
  <si>
    <t>Match My Doll Clothing Line Expansion ($ in thousands)</t>
  </si>
  <si>
    <t>Revenue Growth</t>
  </si>
  <si>
    <t>Production Costs</t>
  </si>
  <si>
    <t>Fixed Production Expense (excl. depreciation)</t>
  </si>
  <si>
    <t>Variable Production Costs</t>
  </si>
  <si>
    <t>Depriciation</t>
  </si>
  <si>
    <t>Total Production Costs</t>
  </si>
  <si>
    <t>Selling, General &amp; Administrative</t>
  </si>
  <si>
    <t>Total Operating Expenses</t>
  </si>
  <si>
    <t>Operating Profit</t>
  </si>
  <si>
    <t>Working Capital Assumptions:</t>
  </si>
  <si>
    <t>Minimum Cash Balance as % of Sales</t>
  </si>
  <si>
    <t>Cash Balance</t>
  </si>
  <si>
    <t>Days Sales Oustanding</t>
  </si>
  <si>
    <t>Inventory Turnover (Prod. Cost/ ending inv.)</t>
  </si>
  <si>
    <t>Days Payable Outstanding (based on tot. op. exp.)</t>
  </si>
  <si>
    <t>Capital Expenitures</t>
  </si>
  <si>
    <t>Free Cash Flow</t>
  </si>
  <si>
    <t>% increase in FCF</t>
  </si>
  <si>
    <t>Design Your Own Doll ($ in thousands)</t>
  </si>
  <si>
    <t>Application Development Personnel Costs *</t>
  </si>
  <si>
    <t>OPM (%) *</t>
  </si>
  <si>
    <t>Cash Balance *</t>
  </si>
  <si>
    <t>Corporate Tax *</t>
  </si>
  <si>
    <t>Corporate Tax (in %) *</t>
  </si>
  <si>
    <t>Ending Inventory *</t>
  </si>
  <si>
    <t>Production Costs:</t>
  </si>
  <si>
    <t>Net Profit *</t>
  </si>
  <si>
    <t>Break Even Analysis:</t>
  </si>
  <si>
    <t>Initial Investment</t>
  </si>
  <si>
    <t>Initial Expenditure</t>
  </si>
  <si>
    <t>Initial Expenditure (Table 2, Case Study) *</t>
  </si>
  <si>
    <t xml:space="preserve">Payback Period = initial investment/ average estimated cash inflow </t>
  </si>
  <si>
    <t>Payback Period</t>
  </si>
  <si>
    <t>Payback Period (in  yrs)</t>
  </si>
  <si>
    <t>Net Present Value</t>
  </si>
  <si>
    <t>Discount Rate (refer case study, Pg. 4)</t>
  </si>
  <si>
    <t>IRR</t>
  </si>
  <si>
    <t>Initial Investment *</t>
  </si>
  <si>
    <t>Avg. cash flow</t>
  </si>
  <si>
    <t>Discount Rate</t>
  </si>
  <si>
    <t>Change in NWC</t>
  </si>
  <si>
    <t>Tax Benefit *</t>
  </si>
  <si>
    <t xml:space="preserve"> Terminal Value (estimated G.R. in %)</t>
  </si>
  <si>
    <t>GR after TV</t>
  </si>
  <si>
    <t>Cummulative FCF</t>
  </si>
  <si>
    <t>Debtors</t>
  </si>
  <si>
    <t xml:space="preserve">Change in NWC * </t>
  </si>
  <si>
    <t>CF after TV</t>
  </si>
  <si>
    <t>Tax Benefit</t>
  </si>
  <si>
    <t>ROI (in %)</t>
  </si>
  <si>
    <t>7.37 Years</t>
  </si>
  <si>
    <t>10.5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</si>
</sst>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9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2" fillId="0" borderId="0" xfId="0" applyFont="1"/>
    <xf numFmtId="0" fontId="1" fillId="0" borderId="4" xfId="0" applyFont="1" applyBorder="1"/>
    <xf numFmtId="9" fontId="0" fillId="0" borderId="0" xfId="0" applyNumberFormat="1" applyFont="1"/>
    <xf numFmtId="9" fontId="1" fillId="0" borderId="0" xfId="0" applyNumberFormat="1" applyFont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5" xfId="0" applyFont="1" applyBorder="1"/>
    <xf numFmtId="0" fontId="0" fillId="0" borderId="6" xfId="0" applyBorder="1"/>
    <xf numFmtId="0" fontId="1" fillId="0" borderId="5" xfId="0" applyFont="1" applyBorder="1"/>
    <xf numFmtId="0" fontId="1" fillId="0" borderId="0" xfId="0" applyFont="1" applyBorder="1"/>
    <xf numFmtId="10" fontId="0" fillId="0" borderId="0" xfId="0" applyNumberFormat="1" applyFill="1" applyBorder="1"/>
    <xf numFmtId="0" fontId="0" fillId="0" borderId="7" xfId="0" applyBorder="1"/>
    <xf numFmtId="0" fontId="0" fillId="0" borderId="0" xfId="0" applyBorder="1"/>
    <xf numFmtId="0" fontId="0" fillId="0" borderId="1" xfId="0" applyBorder="1"/>
    <xf numFmtId="8" fontId="1" fillId="0" borderId="0" xfId="0" applyNumberFormat="1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8" fontId="0" fillId="0" borderId="0" xfId="0" applyNumberFormat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/>
    <xf numFmtId="4" fontId="0" fillId="0" borderId="0" xfId="0" applyNumberFormat="1"/>
    <xf numFmtId="4" fontId="3" fillId="0" borderId="0" xfId="0" applyNumberFormat="1" applyFont="1" applyFill="1"/>
    <xf numFmtId="0" fontId="0" fillId="0" borderId="0" xfId="0"/>
    <xf numFmtId="0" fontId="0" fillId="0" borderId="0" xfId="0"/>
    <xf numFmtId="8" fontId="4" fillId="0" borderId="0" xfId="0" applyNumberFormat="1" applyFont="1"/>
    <xf numFmtId="37" fontId="0" fillId="0" borderId="0" xfId="0" applyNumberFormat="1" applyFont="1"/>
    <xf numFmtId="4" fontId="0" fillId="0" borderId="0" xfId="0" applyNumberFormat="1" applyFont="1"/>
    <xf numFmtId="4" fontId="0" fillId="0" borderId="0" xfId="0" applyNumberFormat="1" applyFont="1" applyFill="1"/>
    <xf numFmtId="0" fontId="0" fillId="0" borderId="0" xfId="0" applyFont="1" applyFill="1"/>
    <xf numFmtId="37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A47" workbookViewId="0">
      <selection activeCell="O45" sqref="O45"/>
    </sheetView>
  </sheetViews>
  <sheetFormatPr defaultRowHeight="15" x14ac:dyDescent="0.25"/>
  <cols>
    <col min="1" max="1" width="44.7109375" customWidth="1"/>
    <col min="5" max="5" width="10.85546875" customWidth="1"/>
    <col min="14" max="14" width="33.85546875" style="14" customWidth="1"/>
    <col min="15" max="15" width="11.140625" bestFit="1" customWidth="1"/>
  </cols>
  <sheetData>
    <row r="1" spans="1:20" x14ac:dyDescent="0.2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20" s="7" customFormat="1" x14ac:dyDescent="0.25">
      <c r="A2" s="6" t="s">
        <v>0</v>
      </c>
      <c r="B2" s="6">
        <v>2010</v>
      </c>
      <c r="C2" s="6">
        <v>2011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6">
        <v>2020</v>
      </c>
      <c r="N2" s="31" t="s">
        <v>30</v>
      </c>
      <c r="O2" s="32"/>
    </row>
    <row r="3" spans="1:20" s="1" customFormat="1" x14ac:dyDescent="0.25">
      <c r="A3" s="1" t="s">
        <v>1</v>
      </c>
      <c r="B3" s="1">
        <v>0</v>
      </c>
      <c r="C3" s="1">
        <v>4500</v>
      </c>
      <c r="D3" s="1">
        <v>6860</v>
      </c>
      <c r="E3" s="1">
        <v>8409</v>
      </c>
      <c r="F3" s="1">
        <v>9082</v>
      </c>
      <c r="G3" s="1">
        <v>9808</v>
      </c>
      <c r="H3" s="1">
        <v>10593</v>
      </c>
      <c r="I3" s="1">
        <v>11440</v>
      </c>
      <c r="J3" s="1">
        <v>12355</v>
      </c>
      <c r="K3" s="1">
        <v>13344</v>
      </c>
      <c r="L3" s="1">
        <v>14411</v>
      </c>
      <c r="N3" s="31" t="s">
        <v>34</v>
      </c>
      <c r="O3" s="32"/>
      <c r="P3" s="32"/>
      <c r="Q3" s="32"/>
      <c r="R3" s="32"/>
      <c r="S3" s="32"/>
      <c r="T3" s="32"/>
    </row>
    <row r="4" spans="1:20" x14ac:dyDescent="0.25">
      <c r="A4" t="s">
        <v>3</v>
      </c>
      <c r="B4">
        <v>0</v>
      </c>
      <c r="C4">
        <v>0</v>
      </c>
      <c r="D4" s="3">
        <v>0.52400000000000002</v>
      </c>
      <c r="E4" s="3">
        <v>0.22600000000000001</v>
      </c>
      <c r="F4" s="3">
        <v>0.08</v>
      </c>
      <c r="G4" s="3">
        <v>0.08</v>
      </c>
      <c r="H4" s="3">
        <v>0.08</v>
      </c>
      <c r="I4" s="3">
        <v>0.08</v>
      </c>
      <c r="J4" s="3">
        <v>0.08</v>
      </c>
      <c r="K4" s="3">
        <v>0.08</v>
      </c>
      <c r="L4" s="3">
        <v>0.08</v>
      </c>
      <c r="O4" s="20"/>
    </row>
    <row r="5" spans="1:20" x14ac:dyDescent="0.25">
      <c r="A5" s="1" t="s">
        <v>28</v>
      </c>
    </row>
    <row r="6" spans="1:20" s="2" customFormat="1" x14ac:dyDescent="0.25">
      <c r="A6" s="2" t="s">
        <v>5</v>
      </c>
      <c r="B6" s="2">
        <v>0</v>
      </c>
      <c r="C6" s="2">
        <v>575</v>
      </c>
      <c r="D6" s="2">
        <v>575</v>
      </c>
      <c r="E6" s="2">
        <v>587</v>
      </c>
      <c r="F6" s="2">
        <v>598</v>
      </c>
      <c r="G6" s="2">
        <v>610</v>
      </c>
      <c r="H6" s="2">
        <v>622</v>
      </c>
      <c r="I6" s="2">
        <v>635</v>
      </c>
      <c r="J6" s="2">
        <v>648</v>
      </c>
      <c r="K6" s="2">
        <v>660</v>
      </c>
      <c r="L6" s="2">
        <v>674</v>
      </c>
      <c r="N6" s="16"/>
    </row>
    <row r="7" spans="1:20" x14ac:dyDescent="0.25">
      <c r="A7" s="2" t="s">
        <v>6</v>
      </c>
      <c r="C7" s="2">
        <v>2035</v>
      </c>
      <c r="D7">
        <v>3404</v>
      </c>
      <c r="E7">
        <v>4291</v>
      </c>
      <c r="F7">
        <v>4669</v>
      </c>
      <c r="G7">
        <v>5078</v>
      </c>
      <c r="H7">
        <v>5521</v>
      </c>
      <c r="I7">
        <v>6000</v>
      </c>
      <c r="J7">
        <v>6519</v>
      </c>
      <c r="K7">
        <v>7079</v>
      </c>
      <c r="L7">
        <v>7685</v>
      </c>
    </row>
    <row r="8" spans="1:20" x14ac:dyDescent="0.25">
      <c r="A8" s="2" t="s">
        <v>7</v>
      </c>
      <c r="C8" s="2">
        <v>152</v>
      </c>
      <c r="D8">
        <v>152</v>
      </c>
      <c r="E8">
        <v>152</v>
      </c>
      <c r="F8">
        <v>152</v>
      </c>
      <c r="G8">
        <v>164</v>
      </c>
      <c r="H8">
        <v>178</v>
      </c>
      <c r="I8">
        <v>192</v>
      </c>
      <c r="J8">
        <v>207</v>
      </c>
      <c r="K8">
        <v>224</v>
      </c>
      <c r="L8">
        <v>242</v>
      </c>
      <c r="N8" s="15" t="s">
        <v>36</v>
      </c>
      <c r="O8" s="1" t="s">
        <v>53</v>
      </c>
    </row>
    <row r="9" spans="1:20" x14ac:dyDescent="0.25">
      <c r="A9" s="7" t="s">
        <v>8</v>
      </c>
      <c r="B9" s="5">
        <v>0</v>
      </c>
      <c r="C9" s="5">
        <f>SUM(C6:C8)</f>
        <v>2762</v>
      </c>
      <c r="D9" s="5">
        <f t="shared" ref="D9:L9" si="0">SUM(D6:D8)</f>
        <v>4131</v>
      </c>
      <c r="E9" s="5">
        <f t="shared" si="0"/>
        <v>5030</v>
      </c>
      <c r="F9" s="5">
        <f t="shared" si="0"/>
        <v>5419</v>
      </c>
      <c r="G9" s="5">
        <f t="shared" si="0"/>
        <v>5852</v>
      </c>
      <c r="H9" s="5">
        <f t="shared" si="0"/>
        <v>6321</v>
      </c>
      <c r="I9" s="5">
        <f t="shared" si="0"/>
        <v>6827</v>
      </c>
      <c r="J9" s="5">
        <f t="shared" si="0"/>
        <v>7374</v>
      </c>
      <c r="K9" s="5">
        <f t="shared" si="0"/>
        <v>7963</v>
      </c>
      <c r="L9" s="5">
        <f t="shared" si="0"/>
        <v>8601</v>
      </c>
      <c r="N9" s="21"/>
      <c r="O9" s="23"/>
      <c r="P9" s="23"/>
      <c r="Q9" s="23"/>
      <c r="R9" s="23"/>
      <c r="S9" s="22"/>
    </row>
    <row r="10" spans="1:20" x14ac:dyDescent="0.25">
      <c r="A10" s="7" t="s">
        <v>9</v>
      </c>
      <c r="B10" s="8">
        <v>1250</v>
      </c>
      <c r="C10" s="8">
        <v>1155</v>
      </c>
      <c r="D10" s="8">
        <v>1735</v>
      </c>
      <c r="E10" s="8">
        <v>2102</v>
      </c>
      <c r="F10" s="8">
        <v>2270</v>
      </c>
      <c r="G10" s="8">
        <v>2452</v>
      </c>
      <c r="H10" s="8">
        <v>2648</v>
      </c>
      <c r="I10" s="8">
        <v>2860</v>
      </c>
      <c r="J10" s="8">
        <v>3089</v>
      </c>
      <c r="K10" s="8">
        <v>3336</v>
      </c>
      <c r="L10" s="8">
        <v>3603</v>
      </c>
      <c r="N10" s="15" t="s">
        <v>37</v>
      </c>
      <c r="O10" s="24">
        <f>NPV(O11, B34:L34)</f>
        <v>5470.8682146084466</v>
      </c>
    </row>
    <row r="11" spans="1:20" x14ac:dyDescent="0.25">
      <c r="A11" s="1" t="s">
        <v>10</v>
      </c>
      <c r="B11" s="1">
        <f>SUM(B9:B10)</f>
        <v>1250</v>
      </c>
      <c r="C11" s="1">
        <f t="shared" ref="C11:L11" si="1">SUM(C9:C10)</f>
        <v>3917</v>
      </c>
      <c r="D11" s="1">
        <f t="shared" si="1"/>
        <v>5866</v>
      </c>
      <c r="E11" s="1">
        <f t="shared" si="1"/>
        <v>7132</v>
      </c>
      <c r="F11" s="1">
        <f t="shared" si="1"/>
        <v>7689</v>
      </c>
      <c r="G11" s="1">
        <f t="shared" si="1"/>
        <v>8304</v>
      </c>
      <c r="H11" s="1">
        <f t="shared" si="1"/>
        <v>8969</v>
      </c>
      <c r="I11" s="1">
        <f t="shared" si="1"/>
        <v>9687</v>
      </c>
      <c r="J11" s="1">
        <f t="shared" si="1"/>
        <v>10463</v>
      </c>
      <c r="K11" s="1">
        <f t="shared" si="1"/>
        <v>11299</v>
      </c>
      <c r="L11" s="1">
        <f t="shared" si="1"/>
        <v>12204</v>
      </c>
      <c r="N11" s="14" t="s">
        <v>38</v>
      </c>
      <c r="O11" s="3">
        <v>8.4000000000000005E-2</v>
      </c>
    </row>
    <row r="12" spans="1:20" ht="15.75" thickBot="1" x14ac:dyDescent="0.3">
      <c r="A12" s="10" t="s">
        <v>11</v>
      </c>
      <c r="B12" s="10">
        <f>(B3-B11)</f>
        <v>-1250</v>
      </c>
      <c r="C12" s="10">
        <f t="shared" ref="C12:L12" si="2">(C3-C11)</f>
        <v>583</v>
      </c>
      <c r="D12" s="10">
        <f t="shared" si="2"/>
        <v>994</v>
      </c>
      <c r="E12" s="10">
        <f t="shared" si="2"/>
        <v>1277</v>
      </c>
      <c r="F12" s="10">
        <f t="shared" si="2"/>
        <v>1393</v>
      </c>
      <c r="G12" s="10">
        <f t="shared" si="2"/>
        <v>1504</v>
      </c>
      <c r="H12" s="10">
        <f t="shared" si="2"/>
        <v>1624</v>
      </c>
      <c r="I12" s="10">
        <f t="shared" si="2"/>
        <v>1753</v>
      </c>
      <c r="J12" s="10">
        <f t="shared" si="2"/>
        <v>1892</v>
      </c>
      <c r="K12" s="10">
        <f t="shared" si="2"/>
        <v>2045</v>
      </c>
      <c r="L12" s="10">
        <f t="shared" si="2"/>
        <v>2207</v>
      </c>
      <c r="N12" s="21"/>
      <c r="O12" s="23"/>
      <c r="P12" s="23"/>
      <c r="Q12" s="23"/>
      <c r="R12" s="23"/>
    </row>
    <row r="13" spans="1:20" ht="15.75" thickTop="1" x14ac:dyDescent="0.25">
      <c r="A13" s="1" t="s">
        <v>23</v>
      </c>
      <c r="B13" s="1" t="e">
        <f>(B12/B3*100)</f>
        <v>#DIV/0!</v>
      </c>
      <c r="C13" s="1">
        <f t="shared" ref="C13:L13" si="3">(C12/C3*100)</f>
        <v>12.955555555555556</v>
      </c>
      <c r="D13" s="1">
        <f t="shared" si="3"/>
        <v>14.489795918367346</v>
      </c>
      <c r="E13" s="1">
        <f t="shared" si="3"/>
        <v>15.186110120109406</v>
      </c>
      <c r="F13" s="1">
        <f t="shared" si="3"/>
        <v>15.338031270645233</v>
      </c>
      <c r="G13" s="1">
        <f t="shared" si="3"/>
        <v>15.334420880913541</v>
      </c>
      <c r="H13" s="1">
        <f t="shared" si="3"/>
        <v>15.330878882280752</v>
      </c>
      <c r="I13" s="1">
        <f t="shared" si="3"/>
        <v>15.323426573426573</v>
      </c>
      <c r="J13" s="1">
        <f t="shared" si="3"/>
        <v>15.313638203156616</v>
      </c>
      <c r="K13" s="1">
        <f t="shared" si="3"/>
        <v>15.325239808153476</v>
      </c>
      <c r="L13" s="1">
        <f t="shared" si="3"/>
        <v>15.314690167233364</v>
      </c>
      <c r="N13" s="15" t="s">
        <v>39</v>
      </c>
      <c r="O13" s="12">
        <f>IRR(B34:L34)</f>
        <v>0.22114499939710219</v>
      </c>
    </row>
    <row r="14" spans="1:20" s="1" customFormat="1" x14ac:dyDescent="0.25">
      <c r="A14" s="1" t="s">
        <v>26</v>
      </c>
      <c r="B14" s="12">
        <v>0.4</v>
      </c>
      <c r="C14" s="12">
        <v>0.4</v>
      </c>
      <c r="D14" s="12">
        <v>0.4</v>
      </c>
      <c r="E14" s="12">
        <v>0.4</v>
      </c>
      <c r="F14" s="12">
        <v>0.4</v>
      </c>
      <c r="G14" s="12">
        <v>0.4</v>
      </c>
      <c r="H14" s="12">
        <v>0.4</v>
      </c>
      <c r="I14" s="12">
        <v>0.4</v>
      </c>
      <c r="J14" s="12">
        <v>0.4</v>
      </c>
      <c r="K14" s="12">
        <v>0.4</v>
      </c>
      <c r="L14" s="12">
        <v>0.4</v>
      </c>
      <c r="N14" s="29"/>
      <c r="O14" s="5"/>
    </row>
    <row r="15" spans="1:20" x14ac:dyDescent="0.25">
      <c r="A15" s="1" t="s">
        <v>25</v>
      </c>
      <c r="B15">
        <v>0</v>
      </c>
      <c r="C15">
        <f>C12*C14</f>
        <v>233.20000000000002</v>
      </c>
      <c r="D15">
        <f>D12*D14</f>
        <v>397.6</v>
      </c>
      <c r="E15">
        <f>E12*E14</f>
        <v>510.8</v>
      </c>
      <c r="F15">
        <f>F12*F14</f>
        <v>557.20000000000005</v>
      </c>
      <c r="G15">
        <f>G12*G14</f>
        <v>601.6</v>
      </c>
      <c r="H15">
        <f>H12*H14</f>
        <v>649.6</v>
      </c>
      <c r="I15">
        <f>I12*I14</f>
        <v>701.2</v>
      </c>
      <c r="J15">
        <f>J12*J14</f>
        <v>756.80000000000007</v>
      </c>
      <c r="K15">
        <f>K12*K14</f>
        <v>818</v>
      </c>
      <c r="L15">
        <f>L12*L14</f>
        <v>882.80000000000007</v>
      </c>
      <c r="N15" s="15"/>
    </row>
    <row r="16" spans="1:20" s="34" customFormat="1" x14ac:dyDescent="0.25">
      <c r="A16" s="1" t="s">
        <v>44</v>
      </c>
      <c r="B16" s="34">
        <v>0</v>
      </c>
      <c r="C16" s="34">
        <v>500</v>
      </c>
      <c r="N16" s="18"/>
    </row>
    <row r="17" spans="1:15" s="13" customFormat="1" ht="15.75" thickBot="1" x14ac:dyDescent="0.3">
      <c r="A17" s="10" t="s">
        <v>29</v>
      </c>
      <c r="B17" s="13">
        <f>B12-B15</f>
        <v>-1250</v>
      </c>
      <c r="C17" s="13">
        <f>C12-C15+C16</f>
        <v>849.8</v>
      </c>
      <c r="D17" s="13">
        <f>D12-D15</f>
        <v>596.4</v>
      </c>
      <c r="E17" s="13">
        <f>E12-E15</f>
        <v>766.2</v>
      </c>
      <c r="F17" s="13">
        <f>F12-F15</f>
        <v>835.8</v>
      </c>
      <c r="G17" s="13">
        <f>G12-G15</f>
        <v>902.4</v>
      </c>
      <c r="H17" s="13">
        <f>H12-H15</f>
        <v>974.4</v>
      </c>
      <c r="I17" s="13">
        <f>I12-I15</f>
        <v>1051.8</v>
      </c>
      <c r="J17" s="13">
        <f>J12-J15</f>
        <v>1135.1999999999998</v>
      </c>
      <c r="K17" s="13">
        <f>K12-K15</f>
        <v>1227</v>
      </c>
      <c r="L17" s="13">
        <f>L12-L15</f>
        <v>1324.1999999999998</v>
      </c>
      <c r="N17" s="17"/>
    </row>
    <row r="18" spans="1:15" ht="15.75" thickTop="1" x14ac:dyDescent="0.25">
      <c r="A18" s="1"/>
    </row>
    <row r="19" spans="1:15" x14ac:dyDescent="0.25">
      <c r="A19" s="9" t="s">
        <v>12</v>
      </c>
      <c r="N19" s="15" t="s">
        <v>52</v>
      </c>
      <c r="O19" s="28">
        <f>(O10/B30)*100</f>
        <v>155.42239246046722</v>
      </c>
    </row>
    <row r="20" spans="1:15" s="2" customFormat="1" x14ac:dyDescent="0.25">
      <c r="A20" s="2" t="s">
        <v>13</v>
      </c>
      <c r="B20" s="11">
        <v>0.03</v>
      </c>
      <c r="C20" s="11">
        <v>0.03</v>
      </c>
      <c r="D20" s="11">
        <v>0.03</v>
      </c>
      <c r="E20" s="11">
        <v>0.03</v>
      </c>
      <c r="F20" s="11">
        <v>0.03</v>
      </c>
      <c r="G20" s="11">
        <v>0.03</v>
      </c>
      <c r="H20" s="11">
        <v>0.03</v>
      </c>
      <c r="I20" s="11">
        <v>0.03</v>
      </c>
      <c r="J20" s="11">
        <v>0.03</v>
      </c>
      <c r="K20" s="11">
        <v>0.03</v>
      </c>
      <c r="L20" s="11">
        <v>0.03</v>
      </c>
      <c r="N20" s="16"/>
    </row>
    <row r="21" spans="1:15" s="2" customFormat="1" x14ac:dyDescent="0.25">
      <c r="A21" s="2" t="s">
        <v>14</v>
      </c>
      <c r="B21" s="2">
        <f>(B3*B20)</f>
        <v>0</v>
      </c>
      <c r="C21" s="2">
        <f>(C3*C20)</f>
        <v>135</v>
      </c>
      <c r="D21" s="2">
        <f>(D3*D20)</f>
        <v>205.79999999999998</v>
      </c>
      <c r="E21" s="2">
        <f>(E3*E20)</f>
        <v>252.26999999999998</v>
      </c>
      <c r="F21" s="2">
        <f>(F3*F20)</f>
        <v>272.45999999999998</v>
      </c>
      <c r="G21" s="2">
        <f>(G3*G20)</f>
        <v>294.24</v>
      </c>
      <c r="H21" s="2">
        <f>(H3*H20)</f>
        <v>317.78999999999996</v>
      </c>
      <c r="I21" s="2">
        <f>(I3*I20)</f>
        <v>343.2</v>
      </c>
      <c r="J21" s="2">
        <f>(J3*J20)</f>
        <v>370.65</v>
      </c>
      <c r="K21" s="2">
        <f>(K3*K20)</f>
        <v>400.32</v>
      </c>
      <c r="L21" s="2">
        <f>(L3*L20)</f>
        <v>432.33</v>
      </c>
      <c r="N21" s="16"/>
    </row>
    <row r="22" spans="1:15" x14ac:dyDescent="0.25">
      <c r="A22" s="2" t="s">
        <v>15</v>
      </c>
      <c r="C22">
        <v>59.2</v>
      </c>
      <c r="D22">
        <v>59.2</v>
      </c>
      <c r="E22">
        <v>59.2</v>
      </c>
      <c r="F22">
        <v>59.2</v>
      </c>
      <c r="G22">
        <v>59.2</v>
      </c>
      <c r="H22">
        <v>59.2</v>
      </c>
      <c r="I22">
        <v>59.2</v>
      </c>
      <c r="J22">
        <v>59.2</v>
      </c>
      <c r="K22">
        <v>59.2</v>
      </c>
      <c r="L22">
        <v>59.2</v>
      </c>
    </row>
    <row r="23" spans="1:15" x14ac:dyDescent="0.25">
      <c r="A23" s="2" t="s">
        <v>16</v>
      </c>
      <c r="C23">
        <v>7.7</v>
      </c>
      <c r="D23">
        <v>8.3000000000000007</v>
      </c>
      <c r="E23">
        <v>12.7</v>
      </c>
      <c r="F23">
        <v>12.7</v>
      </c>
      <c r="G23">
        <v>12.7</v>
      </c>
      <c r="H23">
        <v>12.7</v>
      </c>
      <c r="I23">
        <v>12.7</v>
      </c>
      <c r="J23">
        <v>12.7</v>
      </c>
      <c r="K23">
        <v>12.7</v>
      </c>
      <c r="L23">
        <v>12.7</v>
      </c>
    </row>
    <row r="24" spans="1:15" x14ac:dyDescent="0.25">
      <c r="A24" s="2" t="s">
        <v>27</v>
      </c>
      <c r="B24">
        <v>0</v>
      </c>
      <c r="C24">
        <f>C9/C23</f>
        <v>358.7012987012987</v>
      </c>
      <c r="D24">
        <f>D9/D23</f>
        <v>497.71084337349396</v>
      </c>
      <c r="E24">
        <f>E9/E23</f>
        <v>396.06299212598429</v>
      </c>
      <c r="F24">
        <f>F9/F23</f>
        <v>426.69291338582678</v>
      </c>
      <c r="G24">
        <f>G9/G23</f>
        <v>460.7874015748032</v>
      </c>
      <c r="H24">
        <f>H9/H23</f>
        <v>497.71653543307087</v>
      </c>
      <c r="I24">
        <f>I9/I23</f>
        <v>537.55905511811022</v>
      </c>
      <c r="J24">
        <f>J9/J23</f>
        <v>580.6299212598426</v>
      </c>
      <c r="K24">
        <f>K9/K23</f>
        <v>627.00787401574803</v>
      </c>
      <c r="L24">
        <f>L9/L23</f>
        <v>677.24409448818903</v>
      </c>
    </row>
    <row r="25" spans="1:15" x14ac:dyDescent="0.25">
      <c r="A25" s="2" t="s">
        <v>17</v>
      </c>
      <c r="C25">
        <v>30.8</v>
      </c>
      <c r="D25">
        <v>30.9</v>
      </c>
      <c r="E25">
        <v>31</v>
      </c>
      <c r="F25">
        <v>31</v>
      </c>
      <c r="G25">
        <v>31</v>
      </c>
      <c r="H25">
        <v>31</v>
      </c>
      <c r="I25">
        <v>31</v>
      </c>
      <c r="J25">
        <v>31</v>
      </c>
      <c r="K25">
        <v>31</v>
      </c>
      <c r="L25">
        <v>31</v>
      </c>
    </row>
    <row r="26" spans="1:15" x14ac:dyDescent="0.25">
      <c r="A26" s="2" t="s">
        <v>18</v>
      </c>
      <c r="B26">
        <v>1470</v>
      </c>
      <c r="C26">
        <v>952</v>
      </c>
      <c r="D26">
        <v>152</v>
      </c>
      <c r="E26">
        <v>152</v>
      </c>
      <c r="F26">
        <v>334</v>
      </c>
      <c r="G26">
        <v>361</v>
      </c>
      <c r="H26">
        <v>389</v>
      </c>
      <c r="I26">
        <v>421</v>
      </c>
      <c r="J26">
        <v>454</v>
      </c>
      <c r="K26">
        <v>491</v>
      </c>
      <c r="L26">
        <v>530</v>
      </c>
    </row>
    <row r="27" spans="1:15" ht="15.75" x14ac:dyDescent="0.25">
      <c r="A27" s="2" t="s">
        <v>43</v>
      </c>
      <c r="B27" s="36">
        <v>-800</v>
      </c>
      <c r="C27" s="36">
        <v>-86.119943070628096</v>
      </c>
      <c r="D27" s="36">
        <v>-427.97294816554972</v>
      </c>
      <c r="E27" s="36">
        <v>-93.27051163298438</v>
      </c>
      <c r="F27" s="36">
        <v>-112.59517926868716</v>
      </c>
      <c r="G27" s="36">
        <v>-121.58685848344317</v>
      </c>
      <c r="H27" s="36">
        <v>-131.33245114874308</v>
      </c>
      <c r="I27" s="36">
        <v>-141.82520247006801</v>
      </c>
      <c r="J27" s="36">
        <v>-153.16114823643716</v>
      </c>
      <c r="K27" s="36">
        <v>-165.44611854168852</v>
      </c>
      <c r="L27" s="36">
        <v>-178.66282332002993</v>
      </c>
    </row>
    <row r="28" spans="1:15" x14ac:dyDescent="0.25">
      <c r="A28" s="2" t="s">
        <v>19</v>
      </c>
      <c r="B28" s="35">
        <f>(B17-B26+B8+B27)</f>
        <v>-3520</v>
      </c>
      <c r="C28" s="35">
        <f>(C17-C26+C8+C27)</f>
        <v>-36.319943070628142</v>
      </c>
      <c r="D28" s="35">
        <f>(D17-D26+D8+D27)</f>
        <v>168.42705183445025</v>
      </c>
      <c r="E28" s="35">
        <f>(E17-E26+E8+E27)</f>
        <v>672.92948836701567</v>
      </c>
      <c r="F28" s="35">
        <f>(F17-F26+F8+F27)</f>
        <v>541.20482073131279</v>
      </c>
      <c r="G28" s="35">
        <f>(G17-G26+G8+G27)</f>
        <v>583.81314151655681</v>
      </c>
      <c r="H28" s="35">
        <f>(H17-H26+H8+H27)</f>
        <v>632.0675488512569</v>
      </c>
      <c r="I28" s="35">
        <f>(I17-I26+I8+I27)</f>
        <v>680.97479752993195</v>
      </c>
      <c r="J28" s="35">
        <f>(J17-J26+J8+J27)</f>
        <v>735.03885176356266</v>
      </c>
      <c r="K28" s="35">
        <f>(K17-K26+K8+K27)</f>
        <v>794.55388145831148</v>
      </c>
      <c r="L28" s="35">
        <f>(L17-L26+L8+L27)</f>
        <v>857.53717667996989</v>
      </c>
      <c r="M28" s="35">
        <f>(L28*1.02)/(O11 - 0.02)</f>
        <v>13666.99875333702</v>
      </c>
    </row>
    <row r="29" spans="1:15" x14ac:dyDescent="0.25">
      <c r="A29" s="2" t="s">
        <v>20</v>
      </c>
      <c r="B29">
        <v>0</v>
      </c>
      <c r="C29">
        <f>(C28-B28)/B28*100</f>
        <v>-98.968183435493515</v>
      </c>
      <c r="D29">
        <f>(D28-C28)/-C28*100</f>
        <v>563.73159645907276</v>
      </c>
      <c r="E29">
        <f t="shared" ref="E29:K29" si="4">(E28-D28)/D28*100</f>
        <v>299.53765208005257</v>
      </c>
      <c r="F29">
        <f t="shared" si="4"/>
        <v>-19.574809829683115</v>
      </c>
      <c r="G29">
        <f t="shared" si="4"/>
        <v>7.8728642379180505</v>
      </c>
      <c r="H29">
        <f t="shared" si="4"/>
        <v>8.2653856008363942</v>
      </c>
      <c r="I29">
        <f t="shared" si="4"/>
        <v>7.7376617052340206</v>
      </c>
      <c r="J29">
        <f t="shared" si="4"/>
        <v>7.9392151412555538</v>
      </c>
      <c r="K29">
        <f t="shared" si="4"/>
        <v>8.09685495561979</v>
      </c>
      <c r="L29">
        <f>(L28-K28)/K28*100</f>
        <v>7.9268752807625669</v>
      </c>
    </row>
    <row r="30" spans="1:15" x14ac:dyDescent="0.25">
      <c r="A30" s="1" t="s">
        <v>33</v>
      </c>
      <c r="B30" s="1">
        <v>3520</v>
      </c>
    </row>
    <row r="31" spans="1:15" s="25" customFormat="1" ht="15.75" thickBot="1" x14ac:dyDescent="0.3">
      <c r="A31" s="27" t="s">
        <v>40</v>
      </c>
      <c r="B31" s="27">
        <v>2720</v>
      </c>
      <c r="N31" s="26"/>
    </row>
    <row r="32" spans="1:15" s="22" customFormat="1" x14ac:dyDescent="0.25">
      <c r="A32" s="19"/>
      <c r="B32" s="19"/>
      <c r="N32" s="14"/>
    </row>
    <row r="33" spans="1:15" x14ac:dyDescent="0.25">
      <c r="A33" s="1" t="s">
        <v>45</v>
      </c>
    </row>
    <row r="34" spans="1:15" s="34" customFormat="1" x14ac:dyDescent="0.25">
      <c r="A34" s="1" t="s">
        <v>46</v>
      </c>
      <c r="B34" s="33">
        <v>-3520</v>
      </c>
      <c r="C34" s="34">
        <v>-36.32</v>
      </c>
      <c r="D34" s="34">
        <v>168.43</v>
      </c>
      <c r="E34" s="34">
        <v>672.93</v>
      </c>
      <c r="F34" s="34">
        <v>541.20000000000005</v>
      </c>
      <c r="G34" s="34">
        <v>583.80999999999995</v>
      </c>
      <c r="H34" s="34">
        <v>632.07000000000005</v>
      </c>
      <c r="I34" s="34">
        <v>680.97</v>
      </c>
      <c r="J34" s="34">
        <v>735.04</v>
      </c>
      <c r="K34" s="34">
        <v>794.55</v>
      </c>
      <c r="L34" s="35">
        <f>L28+M28</f>
        <v>14524.535930016991</v>
      </c>
      <c r="N34" s="14"/>
    </row>
    <row r="35" spans="1:15" s="34" customFormat="1" x14ac:dyDescent="0.25">
      <c r="A35" s="1" t="s">
        <v>47</v>
      </c>
      <c r="B35" s="34">
        <f>SUM(B34:L34)</f>
        <v>15777.215930016991</v>
      </c>
      <c r="N35" s="14"/>
    </row>
    <row r="36" spans="1:15" s="34" customFormat="1" x14ac:dyDescent="0.25">
      <c r="N36" s="14"/>
    </row>
    <row r="37" spans="1:15" s="34" customFormat="1" x14ac:dyDescent="0.25">
      <c r="N37" s="14"/>
    </row>
    <row r="38" spans="1:15" x14ac:dyDescent="0.25">
      <c r="A38" s="30" t="s">
        <v>21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5" x14ac:dyDescent="0.25">
      <c r="A39" s="6" t="s">
        <v>0</v>
      </c>
      <c r="B39" s="6">
        <v>2010</v>
      </c>
      <c r="C39" s="6">
        <v>2011</v>
      </c>
      <c r="D39" s="6">
        <v>2012</v>
      </c>
      <c r="E39" s="6">
        <v>2013</v>
      </c>
      <c r="F39" s="6">
        <v>2014</v>
      </c>
      <c r="G39" s="6">
        <v>2015</v>
      </c>
      <c r="H39" s="6">
        <v>2016</v>
      </c>
      <c r="I39" s="6">
        <v>2017</v>
      </c>
      <c r="J39" s="6">
        <v>2018</v>
      </c>
      <c r="K39" s="6">
        <v>2019</v>
      </c>
      <c r="L39" s="6">
        <v>2020</v>
      </c>
    </row>
    <row r="40" spans="1:15" x14ac:dyDescent="0.25">
      <c r="A40" s="1" t="s">
        <v>1</v>
      </c>
      <c r="B40" s="1">
        <v>0</v>
      </c>
      <c r="C40" s="1">
        <v>0</v>
      </c>
      <c r="D40" s="1">
        <v>6000</v>
      </c>
      <c r="E40" s="1">
        <v>14360</v>
      </c>
      <c r="F40" s="1">
        <v>20222</v>
      </c>
      <c r="G40" s="1">
        <v>21435</v>
      </c>
      <c r="H40" s="1">
        <v>22721</v>
      </c>
      <c r="I40" s="1">
        <v>24084</v>
      </c>
      <c r="J40" s="1">
        <v>25529</v>
      </c>
      <c r="K40" s="1">
        <v>27061</v>
      </c>
      <c r="L40" s="1">
        <v>28685</v>
      </c>
      <c r="N40" s="15" t="s">
        <v>35</v>
      </c>
      <c r="O40" s="1" t="s">
        <v>54</v>
      </c>
    </row>
    <row r="41" spans="1:15" x14ac:dyDescent="0.25">
      <c r="A41" t="s">
        <v>3</v>
      </c>
      <c r="B41">
        <v>0</v>
      </c>
      <c r="C41">
        <v>0</v>
      </c>
      <c r="D41" s="3">
        <v>1.393</v>
      </c>
      <c r="E41" s="3">
        <v>0.40799999999999997</v>
      </c>
      <c r="F41" s="3">
        <v>0.06</v>
      </c>
      <c r="G41" s="3">
        <v>0.06</v>
      </c>
      <c r="H41" s="3">
        <v>0.06</v>
      </c>
      <c r="I41" s="3">
        <v>0.06</v>
      </c>
      <c r="J41" s="3">
        <v>0.06</v>
      </c>
      <c r="K41" s="3">
        <v>0.06</v>
      </c>
      <c r="L41" s="3">
        <v>0.06</v>
      </c>
      <c r="O41" s="20"/>
    </row>
    <row r="42" spans="1:15" x14ac:dyDescent="0.25">
      <c r="A42" s="1" t="s">
        <v>4</v>
      </c>
      <c r="N42" s="14" t="s">
        <v>31</v>
      </c>
      <c r="O42">
        <v>5811</v>
      </c>
    </row>
    <row r="43" spans="1:15" x14ac:dyDescent="0.25">
      <c r="A43" s="2" t="s">
        <v>5</v>
      </c>
      <c r="B43" s="2">
        <v>0</v>
      </c>
      <c r="C43" s="2">
        <v>0</v>
      </c>
      <c r="D43" s="2">
        <v>1650</v>
      </c>
      <c r="E43" s="2">
        <v>1683</v>
      </c>
      <c r="F43" s="2">
        <v>1717</v>
      </c>
      <c r="G43" s="2">
        <v>1751</v>
      </c>
      <c r="H43" s="2">
        <v>1786</v>
      </c>
      <c r="I43" s="2">
        <v>1822</v>
      </c>
      <c r="J43" s="2">
        <v>1858</v>
      </c>
      <c r="K43" s="2">
        <v>1895</v>
      </c>
      <c r="L43" s="2">
        <v>1933</v>
      </c>
      <c r="N43" s="14" t="s">
        <v>41</v>
      </c>
      <c r="O43">
        <f>SUM(B67:L67)/11</f>
        <v>-20.768056163631709</v>
      </c>
    </row>
    <row r="44" spans="1:15" x14ac:dyDescent="0.25">
      <c r="A44" s="2" t="s">
        <v>6</v>
      </c>
      <c r="B44" s="2">
        <v>0</v>
      </c>
      <c r="C44" s="2">
        <v>0</v>
      </c>
      <c r="D44">
        <v>2250</v>
      </c>
      <c r="E44">
        <v>7651</v>
      </c>
      <c r="F44">
        <v>11427</v>
      </c>
      <c r="G44">
        <v>12182</v>
      </c>
      <c r="H44">
        <v>12983</v>
      </c>
      <c r="I44">
        <v>13833</v>
      </c>
      <c r="J44">
        <v>14736</v>
      </c>
      <c r="K44">
        <v>15694</v>
      </c>
      <c r="L44">
        <v>16712</v>
      </c>
      <c r="N44" s="21"/>
      <c r="O44" s="23"/>
    </row>
    <row r="45" spans="1:15" x14ac:dyDescent="0.25">
      <c r="A45" s="2" t="s">
        <v>7</v>
      </c>
      <c r="B45" s="2">
        <v>0</v>
      </c>
      <c r="C45" s="2">
        <v>0</v>
      </c>
      <c r="D45">
        <v>310</v>
      </c>
      <c r="E45">
        <v>310</v>
      </c>
      <c r="F45">
        <v>310</v>
      </c>
      <c r="G45">
        <v>436</v>
      </c>
      <c r="H45">
        <v>462</v>
      </c>
      <c r="I45">
        <v>490</v>
      </c>
      <c r="J45">
        <v>520</v>
      </c>
      <c r="K45">
        <v>551</v>
      </c>
      <c r="L45">
        <v>584</v>
      </c>
      <c r="N45" s="15" t="s">
        <v>37</v>
      </c>
      <c r="O45" s="28">
        <f>NPV(O46,B73:L73)</f>
        <v>4463.6302777241899</v>
      </c>
    </row>
    <row r="46" spans="1:15" x14ac:dyDescent="0.25">
      <c r="A46" s="7" t="s">
        <v>8</v>
      </c>
      <c r="B46" s="5">
        <v>0</v>
      </c>
      <c r="C46" s="5">
        <f t="shared" ref="C46:L46" si="5">SUM(C43:C45)</f>
        <v>0</v>
      </c>
      <c r="D46" s="5">
        <f t="shared" si="5"/>
        <v>4210</v>
      </c>
      <c r="E46" s="5">
        <f t="shared" si="5"/>
        <v>9644</v>
      </c>
      <c r="F46" s="5">
        <f t="shared" si="5"/>
        <v>13454</v>
      </c>
      <c r="G46" s="5">
        <f t="shared" si="5"/>
        <v>14369</v>
      </c>
      <c r="H46" s="5">
        <f t="shared" si="5"/>
        <v>15231</v>
      </c>
      <c r="I46" s="5">
        <f t="shared" si="5"/>
        <v>16145</v>
      </c>
      <c r="J46" s="5">
        <f t="shared" si="5"/>
        <v>17114</v>
      </c>
      <c r="K46" s="5">
        <f t="shared" si="5"/>
        <v>18140</v>
      </c>
      <c r="L46" s="5">
        <f t="shared" si="5"/>
        <v>19229</v>
      </c>
      <c r="N46" s="14" t="s">
        <v>42</v>
      </c>
      <c r="O46" s="4">
        <v>0.09</v>
      </c>
    </row>
    <row r="47" spans="1:15" x14ac:dyDescent="0.25">
      <c r="A47" s="7" t="s">
        <v>9</v>
      </c>
      <c r="B47" s="7">
        <v>1201</v>
      </c>
      <c r="C47" s="7">
        <v>0</v>
      </c>
      <c r="D47" s="7">
        <v>1240</v>
      </c>
      <c r="E47" s="7">
        <v>2922</v>
      </c>
      <c r="F47" s="7">
        <v>4044</v>
      </c>
      <c r="G47" s="7">
        <v>4287</v>
      </c>
      <c r="H47" s="7">
        <v>4544</v>
      </c>
      <c r="I47" s="7">
        <v>4817</v>
      </c>
      <c r="J47" s="7">
        <v>5106</v>
      </c>
      <c r="K47" s="7">
        <v>5412</v>
      </c>
      <c r="L47" s="7">
        <v>5737</v>
      </c>
      <c r="N47" s="21"/>
    </row>
    <row r="48" spans="1:15" x14ac:dyDescent="0.25">
      <c r="A48" s="7" t="s">
        <v>22</v>
      </c>
      <c r="B48" s="8"/>
      <c r="C48" s="8">
        <v>435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N48" s="15" t="s">
        <v>39</v>
      </c>
      <c r="O48" s="12">
        <f>IRR(B73:L73)</f>
        <v>0.15652609095716108</v>
      </c>
    </row>
    <row r="49" spans="1:15" x14ac:dyDescent="0.25">
      <c r="A49" s="1" t="s">
        <v>10</v>
      </c>
      <c r="B49" s="1">
        <f>SUM(B46:B48)</f>
        <v>1201</v>
      </c>
      <c r="C49" s="1">
        <f t="shared" ref="C49:L49" si="6">SUM(C46:C48)</f>
        <v>435</v>
      </c>
      <c r="D49" s="1">
        <f>SUM(D46:D48)</f>
        <v>5450</v>
      </c>
      <c r="E49" s="1">
        <f t="shared" si="6"/>
        <v>12566</v>
      </c>
      <c r="F49" s="1">
        <f t="shared" si="6"/>
        <v>17498</v>
      </c>
      <c r="G49" s="1">
        <f t="shared" si="6"/>
        <v>18656</v>
      </c>
      <c r="H49" s="1">
        <f t="shared" si="6"/>
        <v>19775</v>
      </c>
      <c r="I49" s="1">
        <f t="shared" si="6"/>
        <v>20962</v>
      </c>
      <c r="J49" s="1">
        <f t="shared" si="6"/>
        <v>22220</v>
      </c>
      <c r="K49" s="1">
        <f t="shared" si="6"/>
        <v>23552</v>
      </c>
      <c r="L49" s="1">
        <f t="shared" si="6"/>
        <v>24966</v>
      </c>
      <c r="N49" s="21"/>
      <c r="O49" s="23"/>
    </row>
    <row r="50" spans="1:15" ht="15.75" thickBot="1" x14ac:dyDescent="0.3">
      <c r="A50" s="10" t="s">
        <v>11</v>
      </c>
      <c r="B50" s="10">
        <f t="shared" ref="B50:L50" si="7">(B40-B49)</f>
        <v>-1201</v>
      </c>
      <c r="C50" s="10">
        <f t="shared" si="7"/>
        <v>-435</v>
      </c>
      <c r="D50" s="10">
        <f t="shared" si="7"/>
        <v>550</v>
      </c>
      <c r="E50" s="10">
        <f t="shared" si="7"/>
        <v>1794</v>
      </c>
      <c r="F50" s="10">
        <f t="shared" si="7"/>
        <v>2724</v>
      </c>
      <c r="G50" s="10">
        <f t="shared" si="7"/>
        <v>2779</v>
      </c>
      <c r="H50" s="10">
        <f t="shared" si="7"/>
        <v>2946</v>
      </c>
      <c r="I50" s="10">
        <f t="shared" si="7"/>
        <v>3122</v>
      </c>
      <c r="J50" s="10">
        <f t="shared" si="7"/>
        <v>3309</v>
      </c>
      <c r="K50" s="10">
        <f t="shared" si="7"/>
        <v>3509</v>
      </c>
      <c r="L50" s="10">
        <f t="shared" si="7"/>
        <v>3719</v>
      </c>
      <c r="N50" s="15" t="s">
        <v>52</v>
      </c>
      <c r="O50" s="39">
        <f>(O45/B69)*100</f>
        <v>76.813462015559978</v>
      </c>
    </row>
    <row r="51" spans="1:15" ht="15.75" thickTop="1" x14ac:dyDescent="0.25">
      <c r="A51" s="1" t="s">
        <v>23</v>
      </c>
      <c r="B51" s="1">
        <v>0</v>
      </c>
      <c r="C51" s="1">
        <v>0</v>
      </c>
      <c r="D51" s="1">
        <f t="shared" ref="D51:L51" si="8">(D50/D40*100)</f>
        <v>9.1666666666666661</v>
      </c>
      <c r="E51" s="1">
        <f t="shared" si="8"/>
        <v>12.493036211699165</v>
      </c>
      <c r="F51" s="1">
        <f t="shared" si="8"/>
        <v>13.470477697557115</v>
      </c>
      <c r="G51" s="1">
        <f t="shared" si="8"/>
        <v>12.964777233496619</v>
      </c>
      <c r="H51" s="1">
        <f t="shared" si="8"/>
        <v>12.965978610096387</v>
      </c>
      <c r="I51" s="1">
        <f t="shared" si="8"/>
        <v>12.962962962962962</v>
      </c>
      <c r="J51" s="1">
        <f t="shared" si="8"/>
        <v>12.961729797485214</v>
      </c>
      <c r="K51" s="1">
        <f t="shared" si="8"/>
        <v>12.967000480396143</v>
      </c>
      <c r="L51" s="1">
        <f t="shared" si="8"/>
        <v>12.964964267038523</v>
      </c>
    </row>
    <row r="52" spans="1:15" s="1" customFormat="1" x14ac:dyDescent="0.25">
      <c r="A52" s="1" t="s">
        <v>26</v>
      </c>
      <c r="B52" s="1">
        <v>0</v>
      </c>
      <c r="C52" s="12">
        <v>0.4</v>
      </c>
      <c r="D52" s="12">
        <v>0.4</v>
      </c>
      <c r="E52" s="12">
        <v>0.4</v>
      </c>
      <c r="F52" s="12">
        <v>0.4</v>
      </c>
      <c r="G52" s="12">
        <v>0.4</v>
      </c>
      <c r="H52" s="12">
        <v>0.4</v>
      </c>
      <c r="I52" s="12">
        <v>0.4</v>
      </c>
      <c r="J52" s="12">
        <v>0.4</v>
      </c>
      <c r="K52" s="12">
        <v>0.4</v>
      </c>
      <c r="L52" s="12">
        <v>0.4</v>
      </c>
      <c r="N52" s="16"/>
      <c r="O52" s="2"/>
    </row>
    <row r="53" spans="1:15" x14ac:dyDescent="0.25">
      <c r="A53" s="1" t="s">
        <v>25</v>
      </c>
      <c r="B53" s="1">
        <v>0</v>
      </c>
      <c r="C53">
        <v>0</v>
      </c>
      <c r="D53">
        <f>D50*D52</f>
        <v>220</v>
      </c>
      <c r="E53">
        <f t="shared" ref="E53:L53" si="9">E50*E52</f>
        <v>717.6</v>
      </c>
      <c r="F53">
        <f t="shared" si="9"/>
        <v>1089.6000000000001</v>
      </c>
      <c r="G53">
        <f t="shared" si="9"/>
        <v>1111.6000000000001</v>
      </c>
      <c r="H53">
        <f t="shared" si="9"/>
        <v>1178.4000000000001</v>
      </c>
      <c r="I53">
        <f t="shared" si="9"/>
        <v>1248.8000000000002</v>
      </c>
      <c r="J53">
        <f t="shared" si="9"/>
        <v>1323.6000000000001</v>
      </c>
      <c r="K53">
        <f t="shared" si="9"/>
        <v>1403.6000000000001</v>
      </c>
      <c r="L53">
        <f t="shared" si="9"/>
        <v>1487.6000000000001</v>
      </c>
    </row>
    <row r="54" spans="1:15" s="38" customFormat="1" x14ac:dyDescent="0.25">
      <c r="A54" s="1" t="s">
        <v>51</v>
      </c>
      <c r="B54" s="1">
        <v>0</v>
      </c>
      <c r="C54" s="1">
        <v>480.4</v>
      </c>
      <c r="D54" s="38">
        <v>174</v>
      </c>
      <c r="N54" s="14"/>
    </row>
    <row r="55" spans="1:15" s="13" customFormat="1" ht="15.75" thickBot="1" x14ac:dyDescent="0.3">
      <c r="A55" s="10" t="s">
        <v>29</v>
      </c>
      <c r="B55" s="10">
        <f>B50-B53</f>
        <v>-1201</v>
      </c>
      <c r="C55" s="10">
        <v>45.4</v>
      </c>
      <c r="D55" s="10">
        <v>394</v>
      </c>
      <c r="E55" s="10">
        <f t="shared" ref="E55:L55" si="10">E50-E53</f>
        <v>1076.4000000000001</v>
      </c>
      <c r="F55" s="10">
        <f t="shared" si="10"/>
        <v>1634.3999999999999</v>
      </c>
      <c r="G55" s="10">
        <f t="shared" si="10"/>
        <v>1667.3999999999999</v>
      </c>
      <c r="H55" s="10">
        <f t="shared" si="10"/>
        <v>1767.6</v>
      </c>
      <c r="I55" s="10">
        <f t="shared" si="10"/>
        <v>1873.1999999999998</v>
      </c>
      <c r="J55" s="10">
        <f t="shared" si="10"/>
        <v>1985.3999999999999</v>
      </c>
      <c r="K55" s="10">
        <f t="shared" si="10"/>
        <v>2105.3999999999996</v>
      </c>
      <c r="L55" s="10">
        <f t="shared" si="10"/>
        <v>2231.3999999999996</v>
      </c>
      <c r="N55" s="17"/>
    </row>
    <row r="56" spans="1:15" ht="15.75" thickTop="1" x14ac:dyDescent="0.25"/>
    <row r="57" spans="1:15" x14ac:dyDescent="0.25">
      <c r="A57" s="9" t="s">
        <v>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5" x14ac:dyDescent="0.25">
      <c r="A58" s="2" t="s">
        <v>13</v>
      </c>
      <c r="B58" s="11">
        <v>0.03</v>
      </c>
      <c r="C58" s="11">
        <v>0.03</v>
      </c>
      <c r="D58" s="11">
        <v>0.03</v>
      </c>
      <c r="E58" s="11">
        <v>0.03</v>
      </c>
      <c r="F58" s="11">
        <v>0.03</v>
      </c>
      <c r="G58" s="11">
        <v>0.03</v>
      </c>
      <c r="H58" s="11">
        <v>0.03</v>
      </c>
      <c r="I58" s="11">
        <v>0.03</v>
      </c>
      <c r="J58" s="11">
        <v>0.03</v>
      </c>
      <c r="K58" s="11">
        <v>0.03</v>
      </c>
      <c r="L58" s="11">
        <v>0.03</v>
      </c>
      <c r="M58" s="2"/>
    </row>
    <row r="59" spans="1:15" x14ac:dyDescent="0.25">
      <c r="A59" s="2" t="s">
        <v>24</v>
      </c>
      <c r="B59" s="2">
        <f t="shared" ref="B59:L59" si="11">(B40*B58)</f>
        <v>0</v>
      </c>
      <c r="C59" s="2">
        <f t="shared" si="11"/>
        <v>0</v>
      </c>
      <c r="D59" s="2">
        <f t="shared" si="11"/>
        <v>180</v>
      </c>
      <c r="E59" s="2">
        <f t="shared" si="11"/>
        <v>430.8</v>
      </c>
      <c r="F59" s="2">
        <f t="shared" si="11"/>
        <v>606.66</v>
      </c>
      <c r="G59" s="2">
        <f t="shared" si="11"/>
        <v>643.04999999999995</v>
      </c>
      <c r="H59" s="2">
        <f t="shared" si="11"/>
        <v>681.63</v>
      </c>
      <c r="I59" s="2">
        <f t="shared" si="11"/>
        <v>722.52</v>
      </c>
      <c r="J59" s="2">
        <f t="shared" si="11"/>
        <v>765.87</v>
      </c>
      <c r="K59" s="2">
        <f t="shared" si="11"/>
        <v>811.82999999999993</v>
      </c>
      <c r="L59" s="2">
        <f t="shared" si="11"/>
        <v>860.55</v>
      </c>
      <c r="M59" s="2"/>
    </row>
    <row r="60" spans="1:15" x14ac:dyDescent="0.25">
      <c r="A60" s="2" t="s">
        <v>15</v>
      </c>
      <c r="B60" s="2"/>
      <c r="C60" s="2">
        <v>0</v>
      </c>
      <c r="D60" s="2">
        <v>59.2</v>
      </c>
      <c r="E60" s="2">
        <v>59.2</v>
      </c>
      <c r="F60" s="2">
        <v>59.2</v>
      </c>
      <c r="G60" s="2">
        <v>59.2</v>
      </c>
      <c r="H60" s="2">
        <v>59.2</v>
      </c>
      <c r="I60" s="2">
        <v>59.2</v>
      </c>
      <c r="J60" s="2">
        <v>59.2</v>
      </c>
      <c r="K60" s="2">
        <v>59.2</v>
      </c>
      <c r="L60" s="2">
        <v>59.2</v>
      </c>
      <c r="M60" s="2"/>
    </row>
    <row r="61" spans="1:15" x14ac:dyDescent="0.25">
      <c r="A61" s="2" t="s">
        <v>16</v>
      </c>
      <c r="B61" s="2"/>
      <c r="C61" s="2">
        <v>12.2</v>
      </c>
      <c r="D61" s="2">
        <v>12.3</v>
      </c>
      <c r="E61" s="2">
        <v>12.6</v>
      </c>
      <c r="F61" s="2">
        <v>12.7</v>
      </c>
      <c r="G61" s="2">
        <v>12.7</v>
      </c>
      <c r="H61" s="2">
        <v>12.7</v>
      </c>
      <c r="I61" s="2">
        <v>12.7</v>
      </c>
      <c r="J61" s="2">
        <v>12.7</v>
      </c>
      <c r="K61" s="2">
        <v>12.7</v>
      </c>
      <c r="L61" s="2">
        <v>12.7</v>
      </c>
      <c r="M61" s="2"/>
    </row>
    <row r="62" spans="1:15" x14ac:dyDescent="0.25">
      <c r="A62" s="2" t="s">
        <v>27</v>
      </c>
      <c r="B62" s="2">
        <v>0</v>
      </c>
      <c r="C62" s="2">
        <f>C46/C61</f>
        <v>0</v>
      </c>
      <c r="D62" s="2">
        <f t="shared" ref="D62:L62" si="12">D46/D61</f>
        <v>342.27642276422762</v>
      </c>
      <c r="E62" s="2">
        <f t="shared" si="12"/>
        <v>765.39682539682542</v>
      </c>
      <c r="F62" s="2">
        <f t="shared" si="12"/>
        <v>1059.3700787401576</v>
      </c>
      <c r="G62" s="2">
        <f t="shared" si="12"/>
        <v>1131.4173228346458</v>
      </c>
      <c r="H62" s="2">
        <f t="shared" si="12"/>
        <v>1199.2913385826773</v>
      </c>
      <c r="I62" s="2">
        <f t="shared" si="12"/>
        <v>1271.2598425196852</v>
      </c>
      <c r="J62" s="2">
        <f t="shared" si="12"/>
        <v>1347.5590551181103</v>
      </c>
      <c r="K62" s="2">
        <f t="shared" si="12"/>
        <v>1428.3464566929135</v>
      </c>
      <c r="L62" s="2">
        <f t="shared" si="12"/>
        <v>1514.0944881889764</v>
      </c>
      <c r="M62" s="2"/>
    </row>
    <row r="63" spans="1:15" x14ac:dyDescent="0.25">
      <c r="A63" s="2" t="s">
        <v>17</v>
      </c>
      <c r="B63" s="2"/>
      <c r="C63" s="2">
        <v>0</v>
      </c>
      <c r="D63" s="2">
        <v>33.700000000000003</v>
      </c>
      <c r="E63" s="2">
        <v>33.799999999999997</v>
      </c>
      <c r="F63" s="2">
        <v>33.9</v>
      </c>
      <c r="G63" s="2">
        <v>33.9</v>
      </c>
      <c r="H63" s="2">
        <v>33.9</v>
      </c>
      <c r="I63" s="2">
        <v>33.9</v>
      </c>
      <c r="J63" s="2">
        <v>33.9</v>
      </c>
      <c r="K63" s="2">
        <v>33.9</v>
      </c>
      <c r="L63" s="2">
        <v>33.9</v>
      </c>
      <c r="M63" s="2"/>
    </row>
    <row r="64" spans="1:15" s="37" customFormat="1" x14ac:dyDescent="0.25">
      <c r="A64" s="2" t="s">
        <v>48</v>
      </c>
      <c r="B64" s="2">
        <v>0</v>
      </c>
      <c r="C64" s="2">
        <v>0</v>
      </c>
      <c r="D64" s="42">
        <v>971.50684931506862</v>
      </c>
      <c r="E64" s="42">
        <v>2327.8936986301369</v>
      </c>
      <c r="F64" s="42">
        <v>3278.1152657534244</v>
      </c>
      <c r="G64" s="42">
        <v>3474.7866191780822</v>
      </c>
      <c r="H64" s="42">
        <v>3683.2757616438357</v>
      </c>
      <c r="I64" s="42">
        <v>3904.279764383562</v>
      </c>
      <c r="J64" s="42">
        <v>4138.5443315068496</v>
      </c>
      <c r="K64" s="42">
        <v>4386.8573156164393</v>
      </c>
      <c r="L64" s="42">
        <v>4650.064928767124</v>
      </c>
      <c r="M64" s="2"/>
      <c r="N64" s="14"/>
    </row>
    <row r="65" spans="1:14" x14ac:dyDescent="0.25">
      <c r="A65" s="2" t="s">
        <v>18</v>
      </c>
      <c r="B65" s="2">
        <v>4610</v>
      </c>
      <c r="C65" s="2">
        <v>0</v>
      </c>
      <c r="D65" s="2">
        <v>310</v>
      </c>
      <c r="E65" s="2">
        <v>310</v>
      </c>
      <c r="F65" s="2">
        <v>2192</v>
      </c>
      <c r="G65" s="2">
        <v>826</v>
      </c>
      <c r="H65" s="2">
        <v>875</v>
      </c>
      <c r="I65" s="2">
        <v>928</v>
      </c>
      <c r="J65" s="2">
        <v>983</v>
      </c>
      <c r="K65" s="2">
        <v>1043</v>
      </c>
      <c r="L65" s="2">
        <v>1105</v>
      </c>
      <c r="M65" s="2"/>
    </row>
    <row r="66" spans="1:14" s="2" customFormat="1" x14ac:dyDescent="0.25">
      <c r="A66" s="2" t="s">
        <v>49</v>
      </c>
      <c r="B66" s="43">
        <v>0</v>
      </c>
      <c r="C66" s="44">
        <v>-1000</v>
      </c>
      <c r="D66" s="42">
        <v>2.4435036102299819</v>
      </c>
      <c r="E66" s="42">
        <v>-1386.9152205721934</v>
      </c>
      <c r="F66" s="42">
        <v>-942.71323969049536</v>
      </c>
      <c r="G66" s="42">
        <v>-191.81337039156642</v>
      </c>
      <c r="H66" s="42">
        <v>-211.14135125355551</v>
      </c>
      <c r="I66" s="42">
        <v>-223.81242639786251</v>
      </c>
      <c r="J66" s="42">
        <v>-237.24826976824352</v>
      </c>
      <c r="K66" s="42">
        <v>-251.46662298268257</v>
      </c>
      <c r="L66" s="42">
        <v>-266.55811674334655</v>
      </c>
      <c r="N66" s="16"/>
    </row>
    <row r="67" spans="1:14" x14ac:dyDescent="0.25">
      <c r="A67" s="2" t="s">
        <v>19</v>
      </c>
      <c r="B67" s="2">
        <f>(B55-B65+B45)</f>
        <v>-5811</v>
      </c>
      <c r="C67" s="40">
        <f>C55+C66</f>
        <v>-954.6</v>
      </c>
      <c r="D67" s="2">
        <v>506.62</v>
      </c>
      <c r="E67" s="41">
        <f>(E55-E65+E45+E66)</f>
        <v>-310.51522057219336</v>
      </c>
      <c r="F67" s="41">
        <f t="shared" ref="F67:L67" si="13">(F55-F65+F45+F66)</f>
        <v>-1190.3132396904955</v>
      </c>
      <c r="G67" s="41">
        <f t="shared" si="13"/>
        <v>1085.5866296084334</v>
      </c>
      <c r="H67" s="41">
        <f t="shared" si="13"/>
        <v>1143.4586487464444</v>
      </c>
      <c r="I67" s="41">
        <f t="shared" si="13"/>
        <v>1211.3875736021373</v>
      </c>
      <c r="J67" s="41">
        <f t="shared" si="13"/>
        <v>1285.1517302317563</v>
      </c>
      <c r="K67" s="41">
        <f t="shared" si="13"/>
        <v>1361.9333770173171</v>
      </c>
      <c r="L67" s="41">
        <f t="shared" si="13"/>
        <v>1443.8418832566531</v>
      </c>
      <c r="M67" s="2">
        <f>(L67*1.02)/(O46-0.02)</f>
        <v>21038.838870311232</v>
      </c>
    </row>
    <row r="68" spans="1:14" x14ac:dyDescent="0.25">
      <c r="A68" s="2" t="s">
        <v>20</v>
      </c>
      <c r="B68" s="2">
        <v>0</v>
      </c>
      <c r="C68" s="2">
        <f>(C67-B67)/B67*100</f>
        <v>-83.572534847702627</v>
      </c>
      <c r="D68" s="2">
        <f>(D67-C67)/-C67*100</f>
        <v>153.07144353655983</v>
      </c>
      <c r="E68" s="2">
        <f>(E67-D67)/D67*100</f>
        <v>-161.29154407093944</v>
      </c>
      <c r="F68" s="2">
        <f t="shared" ref="F68" si="14">(F67-E67)/E67*100</f>
        <v>283.33490947628223</v>
      </c>
      <c r="G68" s="2">
        <f>(G67-F67)/-F67*100</f>
        <v>191.20176046186859</v>
      </c>
      <c r="H68" s="2">
        <f t="shared" ref="H68" si="15">(H67-G67)/G67*100</f>
        <v>5.3309443539190555</v>
      </c>
      <c r="I68" s="2">
        <f t="shared" ref="I68" si="16">(I67-H67)/H67*100</f>
        <v>5.9406542536682299</v>
      </c>
      <c r="J68" s="2">
        <f t="shared" ref="J68" si="17">(J67-I67)/I67*100</f>
        <v>6.0892284382839312</v>
      </c>
      <c r="K68" s="2">
        <f t="shared" ref="K68" si="18">(K67-J67)/J67*100</f>
        <v>5.9745199714055861</v>
      </c>
      <c r="L68" s="2">
        <f>(L67-K67)/K67*100</f>
        <v>6.0141345840806535</v>
      </c>
      <c r="M68" s="2"/>
    </row>
    <row r="69" spans="1:14" x14ac:dyDescent="0.25">
      <c r="A69" s="1" t="s">
        <v>32</v>
      </c>
      <c r="B69" s="2">
        <v>5811</v>
      </c>
      <c r="C69" s="2">
        <v>1000</v>
      </c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 x14ac:dyDescent="0.25">
      <c r="A70" s="1"/>
      <c r="B70" s="1"/>
    </row>
    <row r="71" spans="1:14" x14ac:dyDescent="0.25">
      <c r="A71" s="1"/>
      <c r="B71" s="1"/>
    </row>
    <row r="72" spans="1:14" s="34" customFormat="1" x14ac:dyDescent="0.25">
      <c r="A72" s="1" t="s">
        <v>45</v>
      </c>
      <c r="B72" s="1"/>
      <c r="N72" s="14"/>
    </row>
    <row r="73" spans="1:14" s="34" customFormat="1" x14ac:dyDescent="0.25">
      <c r="A73" s="1" t="s">
        <v>50</v>
      </c>
      <c r="B73" s="1">
        <v>-5811</v>
      </c>
      <c r="C73" s="34">
        <v>-955</v>
      </c>
      <c r="D73" s="34">
        <v>506.62</v>
      </c>
      <c r="E73" s="34">
        <v>-310.52</v>
      </c>
      <c r="F73" s="34">
        <v>-1190.31</v>
      </c>
      <c r="G73" s="34">
        <v>1085.5899999999999</v>
      </c>
      <c r="H73" s="34">
        <v>1143.46</v>
      </c>
      <c r="I73" s="34">
        <v>1211.3900000000001</v>
      </c>
      <c r="J73" s="34">
        <v>1285.1500000000001</v>
      </c>
      <c r="K73" s="34">
        <v>1361.93</v>
      </c>
      <c r="L73" s="34">
        <v>21038.84</v>
      </c>
      <c r="N73" s="14"/>
    </row>
    <row r="74" spans="1:14" s="38" customFormat="1" x14ac:dyDescent="0.25">
      <c r="A74" s="1" t="s">
        <v>47</v>
      </c>
      <c r="B74" s="1">
        <f>SUM(B73:L73)</f>
        <v>19366.150000000001</v>
      </c>
      <c r="N74" s="14"/>
    </row>
    <row r="75" spans="1:14" x14ac:dyDescent="0.25">
      <c r="A75" s="1"/>
    </row>
  </sheetData>
  <mergeCells count="4">
    <mergeCell ref="A1:L1"/>
    <mergeCell ref="A38:L38"/>
    <mergeCell ref="N3:T3"/>
    <mergeCell ref="N2:O2"/>
  </mergeCells>
  <pageMargins left="0.7" right="0.7" top="0.75" bottom="0.75" header="0.3" footer="0.3"/>
  <pageSetup orientation="portrait" r:id="rId1"/>
  <ignoredErrors>
    <ignoredError sqref="D29 D68 C17" formula="1"/>
    <ignoredError sqref="C11 D11:L11 C49 E49:L4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2022-06-11T19:07:06Z</dcterms:modified>
</cp:coreProperties>
</file>