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a48c2ccd1c7ddf/Documents/"/>
    </mc:Choice>
  </mc:AlternateContent>
  <xr:revisionPtr revIDLastSave="643" documentId="8_{D4491F28-3CE5-4386-B8E4-B02E5C1E2443}" xr6:coauthVersionLast="47" xr6:coauthVersionMax="47" xr10:uidLastSave="{572A87FA-D784-4FDF-96D6-527FDF8E9414}"/>
  <bookViews>
    <workbookView xWindow="4695" yWindow="2175" windowWidth="17085" windowHeight="17535" xr2:uid="{54C71679-880F-4696-A849-7B3F7A4A8AE8}"/>
  </bookViews>
  <sheets>
    <sheet name="General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L57" i="2"/>
  <c r="L58" i="2"/>
  <c r="L59" i="2" s="1"/>
  <c r="L60" i="2" s="1"/>
  <c r="L51" i="2"/>
  <c r="L52" i="2" s="1"/>
  <c r="L53" i="2"/>
  <c r="L50" i="2"/>
  <c r="L32" i="2"/>
  <c r="L48" i="2"/>
  <c r="O38" i="2"/>
  <c r="L38" i="2" s="1"/>
  <c r="L24" i="2"/>
  <c r="M44" i="2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L56" i="2" l="1"/>
  <c r="M24" i="2"/>
  <c r="L39" i="2" l="1"/>
  <c r="N24" i="2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L31" i="2"/>
  <c r="I24" i="2"/>
  <c r="I27" i="2" s="1"/>
  <c r="I19" i="2"/>
  <c r="I18" i="2"/>
  <c r="I15" i="2"/>
  <c r="I5" i="2"/>
  <c r="H24" i="2"/>
  <c r="H19" i="2"/>
  <c r="H18" i="2"/>
  <c r="H15" i="2"/>
  <c r="H5" i="2"/>
  <c r="G24" i="2"/>
  <c r="G19" i="2"/>
  <c r="G18" i="2"/>
  <c r="G15" i="2"/>
  <c r="G5" i="2"/>
  <c r="F24" i="2"/>
  <c r="F19" i="2"/>
  <c r="F18" i="2"/>
  <c r="F15" i="2"/>
  <c r="F5" i="2"/>
  <c r="E24" i="2"/>
  <c r="D19" i="2"/>
  <c r="E19" i="2"/>
  <c r="E18" i="2"/>
  <c r="E15" i="2"/>
  <c r="E5" i="2"/>
  <c r="D24" i="2"/>
  <c r="D18" i="2"/>
  <c r="D15" i="2"/>
  <c r="D5" i="2"/>
  <c r="C24" i="2"/>
  <c r="C27" i="2" s="1"/>
  <c r="C18" i="2"/>
  <c r="C19" i="2"/>
  <c r="C15" i="2"/>
  <c r="C5" i="2"/>
  <c r="G10" i="1"/>
  <c r="G6" i="1"/>
  <c r="AA24" i="2" l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F27" i="2"/>
  <c r="D34" i="2"/>
  <c r="G27" i="2"/>
  <c r="H27" i="2"/>
  <c r="E27" i="2"/>
  <c r="L33" i="2"/>
  <c r="D27" i="2"/>
  <c r="D33" i="2" l="1"/>
  <c r="L40" i="2"/>
</calcChain>
</file>

<file path=xl/sharedStrings.xml><?xml version="1.0" encoding="utf-8"?>
<sst xmlns="http://schemas.openxmlformats.org/spreadsheetml/2006/main" count="93" uniqueCount="87">
  <si>
    <t>UNH:</t>
  </si>
  <si>
    <t>Price</t>
  </si>
  <si>
    <t>S/O</t>
  </si>
  <si>
    <t>MC</t>
  </si>
  <si>
    <t>Cash</t>
  </si>
  <si>
    <t>Assets</t>
  </si>
  <si>
    <t>Debt</t>
  </si>
  <si>
    <t>EV</t>
  </si>
  <si>
    <t>In:</t>
  </si>
  <si>
    <t>Thousands</t>
  </si>
  <si>
    <t>Q225</t>
  </si>
  <si>
    <t>Interest Expense</t>
  </si>
  <si>
    <t>Tax Expense</t>
  </si>
  <si>
    <t>Net Income</t>
  </si>
  <si>
    <t>Pre-tax Income</t>
  </si>
  <si>
    <t>Premiums</t>
  </si>
  <si>
    <t>Products &amp; Services</t>
  </si>
  <si>
    <t>Total Revenue</t>
  </si>
  <si>
    <t>Medical Costs</t>
  </si>
  <si>
    <t>Operating costs</t>
  </si>
  <si>
    <t>Total Ops. Cost</t>
  </si>
  <si>
    <t>EPS</t>
  </si>
  <si>
    <t>Shares</t>
  </si>
  <si>
    <t>Operating Margin</t>
  </si>
  <si>
    <t>CFFO</t>
  </si>
  <si>
    <t>CapEx</t>
  </si>
  <si>
    <t>FCF</t>
  </si>
  <si>
    <t>Q125</t>
  </si>
  <si>
    <t>In Millions</t>
  </si>
  <si>
    <t>Operating Income</t>
  </si>
  <si>
    <t>CFFI</t>
  </si>
  <si>
    <t>Second Derivative</t>
  </si>
  <si>
    <r>
      <t xml:space="preserve">Revenue y/y </t>
    </r>
    <r>
      <rPr>
        <i/>
        <sz val="11"/>
        <color theme="1"/>
        <rFont val="Aptos Narrow"/>
        <family val="2"/>
        <scheme val="minor"/>
      </rPr>
      <t>(q/q)</t>
    </r>
  </si>
  <si>
    <t>Trading at</t>
  </si>
  <si>
    <t>Times Yearly Earnings.</t>
  </si>
  <si>
    <t>Discount Rate</t>
  </si>
  <si>
    <t>AVG trailing 5y</t>
  </si>
  <si>
    <t>NPV:</t>
  </si>
  <si>
    <t>Per Share</t>
  </si>
  <si>
    <r>
      <t xml:space="preserve">FCF y/y </t>
    </r>
    <r>
      <rPr>
        <i/>
        <sz val="11"/>
        <color theme="1"/>
        <rFont val="Aptos Narrow"/>
        <family val="2"/>
        <scheme val="minor"/>
      </rPr>
      <t xml:space="preserve">(q/q) </t>
    </r>
  </si>
  <si>
    <t xml:space="preserve">g AVG (Rev.) = </t>
  </si>
  <si>
    <t>g AVG (FCF) =</t>
  </si>
  <si>
    <t>For our model g</t>
  </si>
  <si>
    <t>We shall choose</t>
  </si>
  <si>
    <t xml:space="preserve">g = </t>
  </si>
  <si>
    <t>Growth Rate</t>
  </si>
  <si>
    <t xml:space="preserve">FCF Model  </t>
  </si>
  <si>
    <t>Years</t>
  </si>
  <si>
    <t>WACC:</t>
  </si>
  <si>
    <t>EBITDA Avg trailing 5y:</t>
  </si>
  <si>
    <t>TV Multiple:</t>
  </si>
  <si>
    <t>Conclusion:</t>
  </si>
  <si>
    <t>Beta:</t>
  </si>
  <si>
    <t>RRR:</t>
  </si>
  <si>
    <t>Debt Rate ( YTM):</t>
  </si>
  <si>
    <t>A/R</t>
  </si>
  <si>
    <t>Current</t>
  </si>
  <si>
    <t>Long-Term Investments</t>
  </si>
  <si>
    <t>PPnE</t>
  </si>
  <si>
    <t>Goodwill</t>
  </si>
  <si>
    <t>Total</t>
  </si>
  <si>
    <t>Medical Costs Payable</t>
  </si>
  <si>
    <t>A/P &amp; Accrued Liabs.</t>
  </si>
  <si>
    <t>Short-Term Borrows</t>
  </si>
  <si>
    <t>Long-Term Debt</t>
  </si>
  <si>
    <t>Deferred Income Taxes</t>
  </si>
  <si>
    <t>Other</t>
  </si>
  <si>
    <t>Total Debt</t>
  </si>
  <si>
    <t>Short-Term Investments</t>
  </si>
  <si>
    <t>MC:</t>
  </si>
  <si>
    <t>Debt:</t>
  </si>
  <si>
    <t>EV:</t>
  </si>
  <si>
    <t>Tax Rate:</t>
  </si>
  <si>
    <t>Terminal Value (1)</t>
  </si>
  <si>
    <t>GGM TV:</t>
  </si>
  <si>
    <t>END</t>
  </si>
  <si>
    <t>Perp. Growth Rate:</t>
  </si>
  <si>
    <t>Per Share:</t>
  </si>
  <si>
    <t>15 Years with Exit</t>
  </si>
  <si>
    <t>&lt;---</t>
  </si>
  <si>
    <t>10 Years with Perp G</t>
  </si>
  <si>
    <t>&lt;----</t>
  </si>
  <si>
    <t>Sum of DCF:</t>
  </si>
  <si>
    <t>GGM END</t>
  </si>
  <si>
    <t>I'm thinking that with this conservative of modeling that UNH is a buy.  Although my model price is only around 40 bucks higher than the current, I figure that the market conditions permit such a LONG. The stock has had major idiosyncratic volatility and I reckon that this will normalize.</t>
  </si>
  <si>
    <t>Model Price:</t>
  </si>
  <si>
    <t>Expected Return: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</si>
</sst>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7" formatCode="0.000%"/>
    <numFmt numFmtId="168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14" fontId="0" fillId="0" borderId="0" xfId="0" applyNumberFormat="1"/>
    <xf numFmtId="10" fontId="1" fillId="0" borderId="0" xfId="0" applyNumberFormat="1" applyFont="1"/>
    <xf numFmtId="0" fontId="0" fillId="2" borderId="0" xfId="0" applyFill="1"/>
    <xf numFmtId="0" fontId="2" fillId="3" borderId="0" xfId="0" applyFont="1" applyFill="1"/>
    <xf numFmtId="10" fontId="0" fillId="3" borderId="0" xfId="0" applyNumberFormat="1" applyFill="1"/>
    <xf numFmtId="10" fontId="2" fillId="3" borderId="0" xfId="0" applyNumberFormat="1" applyFont="1" applyFill="1"/>
    <xf numFmtId="0" fontId="0" fillId="3" borderId="0" xfId="0" applyFill="1"/>
    <xf numFmtId="10" fontId="0" fillId="2" borderId="0" xfId="0" applyNumberFormat="1" applyFill="1"/>
    <xf numFmtId="10" fontId="3" fillId="0" borderId="0" xfId="0" applyNumberFormat="1" applyFont="1"/>
    <xf numFmtId="10" fontId="0" fillId="0" borderId="0" xfId="0" applyNumberFormat="1" applyFont="1"/>
    <xf numFmtId="0" fontId="0" fillId="0" borderId="0" xfId="0" applyAlignment="1">
      <alignment horizontal="center"/>
    </xf>
    <xf numFmtId="3" fontId="1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983D-F06A-46D3-9C56-249F6407B8D7}">
  <dimension ref="E1:I12"/>
  <sheetViews>
    <sheetView tabSelected="1" zoomScaleNormal="100" workbookViewId="0">
      <selection activeCell="H13" sqref="H13"/>
    </sheetView>
  </sheetViews>
  <sheetFormatPr defaultRowHeight="15" x14ac:dyDescent="0.25"/>
  <cols>
    <col min="7" max="7" width="11" customWidth="1"/>
    <col min="8" max="8" width="16" customWidth="1"/>
  </cols>
  <sheetData>
    <row r="1" spans="5:9" x14ac:dyDescent="0.25">
      <c r="F1" t="s">
        <v>8</v>
      </c>
      <c r="G1" t="s">
        <v>9</v>
      </c>
    </row>
    <row r="3" spans="5:9" x14ac:dyDescent="0.25">
      <c r="G3" t="s">
        <v>10</v>
      </c>
    </row>
    <row r="4" spans="5:9" x14ac:dyDescent="0.25">
      <c r="E4" t="s">
        <v>0</v>
      </c>
      <c r="F4" t="s">
        <v>1</v>
      </c>
      <c r="G4">
        <v>292.60000000000002</v>
      </c>
    </row>
    <row r="5" spans="5:9" x14ac:dyDescent="0.25">
      <c r="F5" t="s">
        <v>2</v>
      </c>
      <c r="G5">
        <v>907140.44099999999</v>
      </c>
    </row>
    <row r="6" spans="5:9" x14ac:dyDescent="0.25">
      <c r="F6" t="s">
        <v>3</v>
      </c>
      <c r="G6">
        <f>G4*G5</f>
        <v>265429293.03660002</v>
      </c>
    </row>
    <row r="7" spans="5:9" x14ac:dyDescent="0.25">
      <c r="F7" t="s">
        <v>4</v>
      </c>
      <c r="G7">
        <v>30717000</v>
      </c>
    </row>
    <row r="8" spans="5:9" x14ac:dyDescent="0.25">
      <c r="F8" t="s">
        <v>5</v>
      </c>
      <c r="G8">
        <v>309790000</v>
      </c>
    </row>
    <row r="9" spans="5:9" x14ac:dyDescent="0.25">
      <c r="F9" t="s">
        <v>6</v>
      </c>
      <c r="G9">
        <v>204621000</v>
      </c>
    </row>
    <row r="10" spans="5:9" x14ac:dyDescent="0.25">
      <c r="F10" t="s">
        <v>7</v>
      </c>
      <c r="G10">
        <f>G6-G7+G9</f>
        <v>439333293.03659999</v>
      </c>
    </row>
    <row r="11" spans="5:9" x14ac:dyDescent="0.25">
      <c r="H11" t="s">
        <v>85</v>
      </c>
      <c r="I11">
        <v>331</v>
      </c>
    </row>
    <row r="12" spans="5:9" x14ac:dyDescent="0.25">
      <c r="H12" t="s">
        <v>86</v>
      </c>
      <c r="I12" s="8">
        <f>I11/G4 -1</f>
        <v>0.13123718386876271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DA2C-7D5F-4323-85DC-B3C55D7467CC}">
  <dimension ref="A1:AN66"/>
  <sheetViews>
    <sheetView topLeftCell="F28" zoomScale="85" zoomScaleNormal="85" workbookViewId="0">
      <selection activeCell="L60" sqref="L60"/>
    </sheetView>
  </sheetViews>
  <sheetFormatPr defaultRowHeight="15" x14ac:dyDescent="0.25"/>
  <cols>
    <col min="1" max="1" width="5.85546875" customWidth="1"/>
    <col min="2" max="2" width="19.85546875" customWidth="1"/>
    <col min="3" max="3" width="13.85546875" bestFit="1" customWidth="1"/>
    <col min="4" max="4" width="11.140625" bestFit="1" customWidth="1"/>
    <col min="5" max="5" width="12" bestFit="1" customWidth="1"/>
    <col min="6" max="9" width="11.140625" bestFit="1" customWidth="1"/>
    <col min="10" max="10" width="11.140625" customWidth="1"/>
    <col min="11" max="11" width="16.7109375" customWidth="1"/>
    <col min="12" max="12" width="12.5703125" customWidth="1"/>
    <col min="14" max="14" width="19" customWidth="1"/>
  </cols>
  <sheetData>
    <row r="1" spans="1:14" x14ac:dyDescent="0.25">
      <c r="A1" t="s">
        <v>0</v>
      </c>
      <c r="B1" s="5" t="s">
        <v>28</v>
      </c>
    </row>
    <row r="2" spans="1:14" x14ac:dyDescent="0.25">
      <c r="C2" s="7">
        <v>43875</v>
      </c>
      <c r="D2" s="7">
        <v>44199</v>
      </c>
      <c r="E2" s="7">
        <v>44607</v>
      </c>
      <c r="F2" s="7">
        <v>44981</v>
      </c>
      <c r="G2" s="7">
        <v>45350</v>
      </c>
      <c r="H2" s="7">
        <v>45715</v>
      </c>
      <c r="I2" s="7">
        <v>45783</v>
      </c>
      <c r="J2" s="7"/>
    </row>
    <row r="3" spans="1:14" x14ac:dyDescent="0.25">
      <c r="C3" s="1">
        <v>2019</v>
      </c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 t="s">
        <v>27</v>
      </c>
      <c r="J3" s="1"/>
      <c r="K3" s="1"/>
      <c r="L3" s="1"/>
      <c r="M3" s="1"/>
      <c r="N3" s="1"/>
    </row>
    <row r="4" spans="1:14" x14ac:dyDescent="0.25">
      <c r="B4" t="s">
        <v>15</v>
      </c>
      <c r="C4" s="5">
        <v>189699</v>
      </c>
      <c r="D4" s="5">
        <v>201478</v>
      </c>
      <c r="E4" s="5">
        <v>226233</v>
      </c>
      <c r="F4" s="5">
        <v>257157</v>
      </c>
      <c r="G4" s="5">
        <v>290827</v>
      </c>
      <c r="H4" s="5">
        <v>308810</v>
      </c>
      <c r="I4" s="5">
        <v>86534</v>
      </c>
      <c r="J4" s="5"/>
      <c r="K4" s="5"/>
      <c r="L4" s="5"/>
      <c r="M4" s="5"/>
      <c r="N4" s="5"/>
    </row>
    <row r="5" spans="1:14" x14ac:dyDescent="0.25">
      <c r="B5" t="s">
        <v>16</v>
      </c>
      <c r="C5" s="5">
        <f>31597+18973</f>
        <v>50570</v>
      </c>
      <c r="D5" s="5">
        <f>34145+20016</f>
        <v>54161</v>
      </c>
      <c r="E5" s="5">
        <f>34437+24603</f>
        <v>59040</v>
      </c>
      <c r="F5" s="5">
        <f>37424+27551</f>
        <v>64975</v>
      </c>
      <c r="G5" s="5">
        <f>42583+34123</f>
        <v>76706</v>
      </c>
      <c r="H5" s="5">
        <f>50226+36040</f>
        <v>86266</v>
      </c>
      <c r="I5" s="5">
        <f>13036+8972</f>
        <v>22008</v>
      </c>
      <c r="J5" s="5"/>
      <c r="K5" s="5"/>
      <c r="L5" s="5"/>
      <c r="M5" s="5"/>
      <c r="N5" s="5"/>
    </row>
    <row r="6" spans="1:14" x14ac:dyDescent="0.25">
      <c r="B6" s="1" t="s">
        <v>17</v>
      </c>
      <c r="C6" s="5">
        <v>242155</v>
      </c>
      <c r="D6" s="5">
        <v>257141</v>
      </c>
      <c r="E6" s="5">
        <v>287597</v>
      </c>
      <c r="F6" s="5">
        <v>324162</v>
      </c>
      <c r="G6" s="5">
        <v>371622</v>
      </c>
      <c r="H6" s="5">
        <v>400278</v>
      </c>
      <c r="I6" s="5">
        <v>109575</v>
      </c>
      <c r="J6" s="5"/>
      <c r="K6" s="5"/>
      <c r="L6" s="5"/>
      <c r="M6" s="5"/>
      <c r="N6" s="5"/>
    </row>
    <row r="7" spans="1:14" x14ac:dyDescent="0.25">
      <c r="B7" s="2" t="s">
        <v>18</v>
      </c>
      <c r="C7" s="5">
        <v>156440</v>
      </c>
      <c r="D7" s="5">
        <v>159396</v>
      </c>
      <c r="E7" s="5">
        <v>186911</v>
      </c>
      <c r="F7" s="5">
        <v>210842</v>
      </c>
      <c r="G7" s="5">
        <v>241894</v>
      </c>
      <c r="H7" s="5">
        <v>264185</v>
      </c>
      <c r="I7" s="5">
        <v>73411</v>
      </c>
      <c r="J7" s="5"/>
      <c r="K7" s="5"/>
      <c r="L7" s="5"/>
      <c r="M7" s="5"/>
      <c r="N7" s="5"/>
    </row>
    <row r="8" spans="1:14" x14ac:dyDescent="0.25">
      <c r="B8" s="2" t="s">
        <v>19</v>
      </c>
      <c r="C8" s="5">
        <v>35193</v>
      </c>
      <c r="D8" s="5">
        <v>41704</v>
      </c>
      <c r="E8" s="5">
        <v>42579</v>
      </c>
      <c r="F8" s="5">
        <v>47782</v>
      </c>
      <c r="G8" s="5">
        <v>38770</v>
      </c>
      <c r="H8" s="5">
        <v>53013</v>
      </c>
      <c r="I8" s="5">
        <v>13594</v>
      </c>
      <c r="J8" s="5"/>
      <c r="K8" s="5"/>
      <c r="L8" s="5"/>
      <c r="M8" s="5"/>
      <c r="N8" s="5"/>
    </row>
    <row r="9" spans="1:14" x14ac:dyDescent="0.25">
      <c r="B9" s="2" t="s">
        <v>20</v>
      </c>
      <c r="C9" s="5">
        <v>222470</v>
      </c>
      <c r="D9" s="5">
        <v>234736</v>
      </c>
      <c r="E9" s="5">
        <v>263627</v>
      </c>
      <c r="F9" s="5">
        <v>295272</v>
      </c>
      <c r="G9" s="5">
        <v>339264</v>
      </c>
      <c r="H9" s="5">
        <v>367991</v>
      </c>
      <c r="I9" s="5">
        <v>100456</v>
      </c>
      <c r="J9" s="5"/>
      <c r="K9" s="5"/>
      <c r="L9" s="5"/>
      <c r="M9" s="5"/>
      <c r="N9" s="5"/>
    </row>
    <row r="10" spans="1:14" x14ac:dyDescent="0.25">
      <c r="B10" s="1" t="s">
        <v>29</v>
      </c>
      <c r="C10" s="5">
        <v>19685</v>
      </c>
      <c r="D10" s="5">
        <v>22405</v>
      </c>
      <c r="E10" s="5">
        <v>23970</v>
      </c>
      <c r="F10" s="5">
        <v>28435</v>
      </c>
      <c r="G10" s="5">
        <v>32358</v>
      </c>
      <c r="H10" s="5">
        <v>32287</v>
      </c>
      <c r="I10" s="5">
        <v>9119</v>
      </c>
      <c r="J10" s="5"/>
      <c r="K10" s="5"/>
      <c r="L10" s="5"/>
      <c r="M10" s="5"/>
      <c r="N10" s="5"/>
    </row>
    <row r="11" spans="1:14" x14ac:dyDescent="0.25">
      <c r="B11" t="s">
        <v>11</v>
      </c>
      <c r="C11" s="5">
        <v>1704</v>
      </c>
      <c r="D11" s="5">
        <v>1663</v>
      </c>
      <c r="E11" s="5">
        <v>1660</v>
      </c>
      <c r="F11" s="5">
        <v>2092</v>
      </c>
      <c r="G11" s="5">
        <v>3246</v>
      </c>
      <c r="H11" s="5">
        <v>3906</v>
      </c>
      <c r="I11" s="5">
        <v>998</v>
      </c>
      <c r="J11" s="5"/>
      <c r="K11" s="5"/>
      <c r="L11" s="5"/>
      <c r="M11" s="5"/>
      <c r="N11" s="5"/>
    </row>
    <row r="12" spans="1:14" x14ac:dyDescent="0.25">
      <c r="B12" t="s">
        <v>14</v>
      </c>
      <c r="C12" s="5">
        <v>17891</v>
      </c>
      <c r="D12" s="5">
        <v>20742</v>
      </c>
      <c r="E12" s="5">
        <v>22310</v>
      </c>
      <c r="F12" s="5">
        <v>26343</v>
      </c>
      <c r="G12" s="5">
        <v>29112</v>
      </c>
      <c r="H12" s="5">
        <v>20071</v>
      </c>
      <c r="I12" s="5">
        <v>8106</v>
      </c>
      <c r="J12" s="5"/>
      <c r="K12" s="5"/>
      <c r="L12" s="5"/>
      <c r="M12" s="5"/>
      <c r="N12" s="5"/>
    </row>
    <row r="13" spans="1:14" x14ac:dyDescent="0.25">
      <c r="B13" t="s">
        <v>12</v>
      </c>
      <c r="C13" s="5">
        <v>3742</v>
      </c>
      <c r="D13" s="5">
        <v>4973</v>
      </c>
      <c r="E13" s="5">
        <v>4578</v>
      </c>
      <c r="F13" s="5">
        <v>5704</v>
      </c>
      <c r="G13" s="5">
        <v>5968</v>
      </c>
      <c r="H13" s="5">
        <v>4829</v>
      </c>
      <c r="I13" s="5">
        <v>1632</v>
      </c>
      <c r="J13" s="5"/>
      <c r="K13" s="5"/>
      <c r="L13" s="5"/>
      <c r="M13" s="5"/>
      <c r="N13" s="5"/>
    </row>
    <row r="14" spans="1:14" x14ac:dyDescent="0.25">
      <c r="B14" s="1" t="s">
        <v>13</v>
      </c>
      <c r="C14" s="5">
        <v>14239</v>
      </c>
      <c r="D14" s="5">
        <v>15769</v>
      </c>
      <c r="E14" s="5">
        <v>17732</v>
      </c>
      <c r="F14" s="5">
        <v>20639</v>
      </c>
      <c r="G14" s="5">
        <v>23144</v>
      </c>
      <c r="H14" s="5">
        <v>15242</v>
      </c>
      <c r="I14" s="5">
        <v>6474</v>
      </c>
      <c r="J14" s="5"/>
      <c r="K14" s="5"/>
      <c r="L14" s="5"/>
      <c r="M14" s="5"/>
      <c r="N14" s="5"/>
    </row>
    <row r="15" spans="1:14" x14ac:dyDescent="0.25">
      <c r="B15" t="s">
        <v>21</v>
      </c>
      <c r="C15" s="4">
        <f>(C14/C16)*10^6</f>
        <v>15.010963221514508</v>
      </c>
      <c r="D15" s="4">
        <f>D14*10^6/D16</f>
        <v>16.681134369267639</v>
      </c>
      <c r="E15" s="4">
        <f>E14*10^6/E16</f>
        <v>18.84580305485791</v>
      </c>
      <c r="F15" s="4">
        <f>F14*10^6/F16</f>
        <v>22.124752296626792</v>
      </c>
      <c r="G15" s="4">
        <f>G14*10^6/G16</f>
        <v>25.103746324239751</v>
      </c>
      <c r="H15" s="4">
        <f>H14*10^6/H16</f>
        <v>16.663162231573409</v>
      </c>
      <c r="I15" s="4">
        <f>I14*10^6/I16</f>
        <v>7.1367119217651549</v>
      </c>
      <c r="J15" s="4"/>
      <c r="K15" s="4"/>
      <c r="L15" s="4"/>
      <c r="M15" s="4"/>
      <c r="N15" s="4"/>
    </row>
    <row r="16" spans="1:14" x14ac:dyDescent="0.25">
      <c r="B16" t="s">
        <v>22</v>
      </c>
      <c r="C16" s="5">
        <v>948573372</v>
      </c>
      <c r="D16" s="5">
        <v>945319404</v>
      </c>
      <c r="E16" s="5">
        <v>940899146</v>
      </c>
      <c r="F16" s="5">
        <v>932846602</v>
      </c>
      <c r="G16" s="5">
        <v>921934109</v>
      </c>
      <c r="H16" s="5">
        <v>914712333</v>
      </c>
      <c r="I16" s="5">
        <v>907140441</v>
      </c>
      <c r="J16" s="5"/>
      <c r="K16" s="5"/>
      <c r="L16" s="5"/>
      <c r="M16" s="5"/>
      <c r="N16" s="5"/>
    </row>
    <row r="18" spans="2:40" x14ac:dyDescent="0.25">
      <c r="B18" t="s">
        <v>23</v>
      </c>
      <c r="C18" s="6">
        <f>C10/C6</f>
        <v>8.1290908715492147E-2</v>
      </c>
      <c r="D18" s="6">
        <f>D10/D6</f>
        <v>8.7131184836334932E-2</v>
      </c>
      <c r="E18" s="6">
        <f>E10/E6</f>
        <v>8.3345792897700596E-2</v>
      </c>
      <c r="F18" s="6">
        <f>F10/F6</f>
        <v>8.7718486435794454E-2</v>
      </c>
      <c r="G18" s="6">
        <f>G10/G6</f>
        <v>8.7072347708155057E-2</v>
      </c>
      <c r="H18" s="6">
        <f>H10/H6</f>
        <v>8.0661440298992207E-2</v>
      </c>
      <c r="I18" s="6">
        <f>I10/I6</f>
        <v>8.3221537759525441E-2</v>
      </c>
      <c r="J18" s="6"/>
      <c r="K18" s="6"/>
      <c r="L18" s="6"/>
      <c r="M18" s="6"/>
      <c r="N18" s="6"/>
    </row>
    <row r="19" spans="2:40" x14ac:dyDescent="0.25">
      <c r="B19" t="s">
        <v>32</v>
      </c>
      <c r="C19" s="6">
        <f>C6/226247 - 1</f>
        <v>7.0312534530844628E-2</v>
      </c>
      <c r="D19" s="6">
        <f>D6/C6 - 1</f>
        <v>6.1885982118890848E-2</v>
      </c>
      <c r="E19" s="6">
        <f>E4/D4 - 1</f>
        <v>0.12286701277558842</v>
      </c>
      <c r="F19" s="6">
        <f>F6/E6 - 1</f>
        <v>0.12713971286209524</v>
      </c>
      <c r="G19" s="6">
        <f>G6/F6 - 1</f>
        <v>0.14640827734281014</v>
      </c>
      <c r="H19" s="6">
        <f>H6/G6 - 1</f>
        <v>7.7110612396467326E-2</v>
      </c>
      <c r="I19" s="15">
        <f>I6/99796 - 1</f>
        <v>9.7989899394765212E-2</v>
      </c>
      <c r="J19" s="15"/>
      <c r="K19" s="6"/>
      <c r="L19" s="6"/>
      <c r="M19" s="6"/>
      <c r="N19" s="6"/>
    </row>
    <row r="20" spans="2:40" x14ac:dyDescent="0.25">
      <c r="B20" s="1" t="s">
        <v>31</v>
      </c>
      <c r="D20" s="9"/>
      <c r="E20" s="11"/>
      <c r="F20" s="12"/>
      <c r="G20" s="11"/>
      <c r="H20" s="14"/>
      <c r="I20" s="15"/>
      <c r="J20" s="15"/>
      <c r="K20" s="6"/>
      <c r="L20" s="6"/>
      <c r="M20" s="6"/>
      <c r="N20" s="6"/>
    </row>
    <row r="21" spans="2:40" x14ac:dyDescent="0.25"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40" x14ac:dyDescent="0.25">
      <c r="B22" t="s">
        <v>24</v>
      </c>
      <c r="C22" s="5">
        <v>18463</v>
      </c>
      <c r="D22" s="5">
        <v>22174</v>
      </c>
      <c r="E22" s="5">
        <v>22343</v>
      </c>
      <c r="F22" s="5">
        <v>26206</v>
      </c>
      <c r="G22" s="5">
        <v>29068</v>
      </c>
      <c r="H22" s="5">
        <v>24402</v>
      </c>
      <c r="I22" s="5">
        <v>5456</v>
      </c>
      <c r="J22" s="5"/>
      <c r="K22" s="5"/>
      <c r="L22" s="5"/>
      <c r="M22" s="5"/>
      <c r="N22" s="5"/>
    </row>
    <row r="23" spans="2:40" x14ac:dyDescent="0.25">
      <c r="B23" t="s">
        <v>25</v>
      </c>
      <c r="C23" s="5">
        <v>2071</v>
      </c>
      <c r="D23" s="5">
        <v>2051</v>
      </c>
      <c r="E23" s="5">
        <v>2454</v>
      </c>
      <c r="F23" s="5">
        <v>2802</v>
      </c>
      <c r="G23" s="5">
        <v>3386</v>
      </c>
      <c r="H23" s="5">
        <v>3499</v>
      </c>
      <c r="I23" s="5">
        <v>898</v>
      </c>
      <c r="J23" s="5"/>
      <c r="K23" s="5"/>
      <c r="L23" s="5"/>
      <c r="M23" s="5"/>
      <c r="N23" s="5"/>
    </row>
    <row r="24" spans="2:40" x14ac:dyDescent="0.25">
      <c r="B24" s="1" t="s">
        <v>26</v>
      </c>
      <c r="C24" s="5">
        <f>C22-C23</f>
        <v>16392</v>
      </c>
      <c r="D24" s="5">
        <f>D22-D23</f>
        <v>20123</v>
      </c>
      <c r="E24" s="5">
        <f>E22-E23</f>
        <v>19889</v>
      </c>
      <c r="F24" s="5">
        <f>F22-F23</f>
        <v>23404</v>
      </c>
      <c r="G24" s="5">
        <f>G22-G23</f>
        <v>25682</v>
      </c>
      <c r="H24" s="5">
        <f>H22-H23</f>
        <v>20903</v>
      </c>
      <c r="I24" s="5">
        <f>I22-I23</f>
        <v>4558</v>
      </c>
      <c r="J24" s="5"/>
      <c r="K24" s="5">
        <v>20903</v>
      </c>
      <c r="L24" s="18">
        <f>K24*(1+$L$37)^(K44)/(1+$L$36)^(K44)</f>
        <v>20410.00471698113</v>
      </c>
      <c r="M24" s="5">
        <f>L24*(1+$L$37)^(L44)/(1+$L$36)^(L44)</f>
        <v>19458.621665137151</v>
      </c>
      <c r="N24" s="5">
        <f>M24*(1+$L$37)^(M44)/(1+$L$36)^(M44)</f>
        <v>18114.048562739554</v>
      </c>
      <c r="O24" s="5">
        <f>N24*(1+$L$37)^(N44)/(1+$L$36)^(N44)</f>
        <v>16464.686500244607</v>
      </c>
      <c r="P24" s="5">
        <f>O24*(1+$L$37)^(O44)/(1+$L$36)^(O44)</f>
        <v>14612.54590439049</v>
      </c>
      <c r="Q24" s="5">
        <f>P24*(1+$L$37)^(P44)/(1+$L$36)^(P44)</f>
        <v>12662.888874199416</v>
      </c>
      <c r="R24" s="5">
        <f>Q24*(1+$L$37)^(Q44)/(1+$L$36)^(Q44)</f>
        <v>10714.556204906779</v>
      </c>
      <c r="S24" s="5">
        <f>R24*(1+$L$37)^(R44)/(1+$L$36)^(R44)</f>
        <v>8852.1764797605429</v>
      </c>
      <c r="T24" s="5">
        <f>S24*(1+$L$37)^(S44)/(1+$L$36)^(S44)</f>
        <v>7141.0228760424352</v>
      </c>
      <c r="U24" s="5">
        <f>T24*(1+$L$37)^(T44)/(1+$L$36)^(T44)</f>
        <v>5624.7764887869598</v>
      </c>
      <c r="V24" s="5">
        <f>U24*(1+$L$37)^(U44)/(1+$L$36)^(U44)</f>
        <v>4325.9809179276317</v>
      </c>
      <c r="W24" s="5">
        <f>V24*(1+$L$37)^(V44)/(1+$L$36)^(V44)</f>
        <v>3248.6162603177004</v>
      </c>
      <c r="X24" s="5">
        <f>W24*(1+$L$37)^(W44)/(1+$L$36)^(W44)</f>
        <v>2382.027179732575</v>
      </c>
      <c r="Y24" s="5">
        <f>X24*(1+$L$37)^(X44)/(1+$L$36)^(X44)</f>
        <v>1705.4127126383389</v>
      </c>
      <c r="Z24" s="5">
        <f>Y24*(1+$L$37)^(Y44)/(1+$L$36)^(Y44)</f>
        <v>1192.1935391742256</v>
      </c>
      <c r="AA24" s="5">
        <f>Z24*(1+$L$37)^(Z44)/(1+$L$36)^(Z44)</f>
        <v>813.76408084127468</v>
      </c>
      <c r="AB24" s="5">
        <f>AA24*(1+$L$37)^(AA44)/(1+$L$36)^(AA44)</f>
        <v>542.35638003634392</v>
      </c>
      <c r="AC24" s="5">
        <f>AB24*(1+$L$37)^(AB44)/(1+$L$36)^(AB44)</f>
        <v>352.94373305576494</v>
      </c>
      <c r="AD24" s="5">
        <f>AC24*(1+$L$37)^(AC44)/(1+$L$36)^(AC44)</f>
        <v>224.26457675078674</v>
      </c>
      <c r="AE24" s="5">
        <f>AD24*(1+$L$37)^(AD44)/(1+$L$36)^(AD44)</f>
        <v>139.13947856424716</v>
      </c>
      <c r="AF24" s="5">
        <f>AE24*(1+$L$37)^(AE44)/(1+$L$36)^(AE44)</f>
        <v>84.289707461757317</v>
      </c>
      <c r="AG24" s="5">
        <f>AF24*(1+$L$37)^(AF44)/(1+$L$36)^(AF44)</f>
        <v>49.857810912126695</v>
      </c>
      <c r="AH24" s="5">
        <f>AG24*(1+$L$37)^(AG44)/(1+$L$36)^(AG44)</f>
        <v>28.795614466791069</v>
      </c>
      <c r="AI24" s="5">
        <f>AH24*(1+$L$37)^(AH44)/(1+$L$36)^(AH44)</f>
        <v>16.238801720516086</v>
      </c>
      <c r="AJ24" s="5">
        <f>AI24*(1+$L$37)^(AI44)/(1+$L$36)^(AI44)</f>
        <v>8.9416175888005895</v>
      </c>
      <c r="AK24" s="5">
        <f>AJ24*(1+$L$37)^(AJ44)/(1+$L$36)^(AJ44)</f>
        <v>4.8074269078501937</v>
      </c>
      <c r="AL24" s="5">
        <f>AK24*(1+$L$37)^(AK44)/(1+$L$36)^(AK44)</f>
        <v>2.523735124974579</v>
      </c>
      <c r="AM24" s="5">
        <f>AL24*(1+$L$37)^(AL44)/(1+$L$36)^(AL44)</f>
        <v>1.2936277971026922</v>
      </c>
      <c r="AN24" s="5">
        <f>AM24*(1+$L$37)^(AM44)/(1+$L$36)^(AM44)</f>
        <v>0.64745470367603497</v>
      </c>
    </row>
    <row r="25" spans="2:40" x14ac:dyDescent="0.25">
      <c r="B25" s="2" t="s">
        <v>30</v>
      </c>
      <c r="C25" s="5">
        <v>12699</v>
      </c>
      <c r="D25" s="5">
        <v>12532</v>
      </c>
      <c r="E25" s="5">
        <v>10372</v>
      </c>
      <c r="F25" s="5">
        <v>28476</v>
      </c>
      <c r="G25" s="5">
        <v>15574</v>
      </c>
      <c r="H25" s="5">
        <v>20527</v>
      </c>
      <c r="I25" s="5">
        <v>74</v>
      </c>
      <c r="J25" s="5"/>
      <c r="L25" s="23" t="s">
        <v>46</v>
      </c>
      <c r="M25" s="5"/>
      <c r="N25" s="5"/>
      <c r="U25" s="1" t="s">
        <v>83</v>
      </c>
      <c r="Z25" s="21" t="s">
        <v>75</v>
      </c>
    </row>
    <row r="26" spans="2:40" x14ac:dyDescent="0.25"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2:40" x14ac:dyDescent="0.25">
      <c r="B27" t="s">
        <v>39</v>
      </c>
      <c r="C27" s="6">
        <f>C24/13650 -1</f>
        <v>0.20087912087912096</v>
      </c>
      <c r="D27" s="6">
        <f>D24/C24 -1</f>
        <v>0.22761102977061975</v>
      </c>
      <c r="E27" s="6">
        <f>E24/D24 - 1</f>
        <v>-1.1628484818367091E-2</v>
      </c>
      <c r="F27" s="6">
        <f>F24/E24 - 1</f>
        <v>0.17673085625219964</v>
      </c>
      <c r="G27" s="6">
        <f>G24/F24 -1</f>
        <v>9.7333789095880974E-2</v>
      </c>
      <c r="H27" s="6">
        <f>H24/G24 - 1</f>
        <v>-0.18608363834592323</v>
      </c>
      <c r="I27" s="15">
        <f>(I24/(1114-743)) - 1</f>
        <v>11.285714285714286</v>
      </c>
      <c r="J27" s="15"/>
      <c r="K27" s="6"/>
      <c r="L27" s="6"/>
      <c r="M27" s="6"/>
      <c r="N27" s="6"/>
    </row>
    <row r="28" spans="2:40" x14ac:dyDescent="0.25">
      <c r="B28" s="1" t="s">
        <v>31</v>
      </c>
      <c r="D28" s="10"/>
      <c r="E28" s="9"/>
      <c r="F28" s="13"/>
      <c r="G28" s="9"/>
      <c r="H28" s="9"/>
    </row>
    <row r="31" spans="2:40" x14ac:dyDescent="0.25">
      <c r="K31" t="s">
        <v>36</v>
      </c>
      <c r="L31" s="2">
        <f>AVERAGE(C14:H14)</f>
        <v>17794.166666666668</v>
      </c>
    </row>
    <row r="32" spans="2:40" x14ac:dyDescent="0.25">
      <c r="D32" s="6"/>
      <c r="E32" s="6"/>
      <c r="F32" s="6"/>
      <c r="G32" s="6"/>
      <c r="H32" s="6"/>
      <c r="K32" t="s">
        <v>3</v>
      </c>
      <c r="L32">
        <f>292 * I16</f>
        <v>264885008772</v>
      </c>
    </row>
    <row r="33" spans="2:40" x14ac:dyDescent="0.25">
      <c r="C33" t="s">
        <v>41</v>
      </c>
      <c r="D33" s="16">
        <f>AVERAGE(C27:H27)</f>
        <v>8.4140445472255174E-2</v>
      </c>
      <c r="K33" t="s">
        <v>33</v>
      </c>
      <c r="L33" s="20">
        <f>L32/(L31*10^6)</f>
        <v>14.886058658099563</v>
      </c>
      <c r="M33" t="s">
        <v>34</v>
      </c>
    </row>
    <row r="34" spans="2:40" x14ac:dyDescent="0.25">
      <c r="C34" t="s">
        <v>40</v>
      </c>
      <c r="D34" s="6">
        <f>AVERAGE(C19:H19)</f>
        <v>0.10095402200444943</v>
      </c>
    </row>
    <row r="35" spans="2:40" x14ac:dyDescent="0.25">
      <c r="C35" t="s">
        <v>42</v>
      </c>
    </row>
    <row r="36" spans="2:40" x14ac:dyDescent="0.25">
      <c r="C36" t="s">
        <v>43</v>
      </c>
      <c r="K36" t="s">
        <v>35</v>
      </c>
      <c r="L36" s="6">
        <v>0.06</v>
      </c>
    </row>
    <row r="37" spans="2:40" x14ac:dyDescent="0.25">
      <c r="C37" t="s">
        <v>44</v>
      </c>
      <c r="D37" s="6">
        <v>3.5000000000000003E-2</v>
      </c>
      <c r="K37" t="s">
        <v>45</v>
      </c>
      <c r="L37" s="6">
        <v>3.5000000000000003E-2</v>
      </c>
    </row>
    <row r="38" spans="2:40" x14ac:dyDescent="0.25">
      <c r="C38" s="17"/>
      <c r="K38" t="s">
        <v>73</v>
      </c>
      <c r="L38" s="3">
        <f>O38*O39</f>
        <v>132616.66666666666</v>
      </c>
      <c r="N38" t="s">
        <v>49</v>
      </c>
      <c r="O38" s="5">
        <f xml:space="preserve"> AVERAGE(C10:H10)</f>
        <v>26523.333333333332</v>
      </c>
    </row>
    <row r="39" spans="2:40" x14ac:dyDescent="0.25">
      <c r="B39" t="s">
        <v>4</v>
      </c>
      <c r="I39" s="3">
        <v>30717</v>
      </c>
      <c r="K39" t="s">
        <v>37</v>
      </c>
      <c r="L39" s="5">
        <f>SUM(K24:Z24) +L38</f>
        <v>300429.22554964619</v>
      </c>
      <c r="N39" t="s">
        <v>50</v>
      </c>
      <c r="O39">
        <v>5</v>
      </c>
    </row>
    <row r="40" spans="2:40" x14ac:dyDescent="0.25">
      <c r="B40" t="s">
        <v>68</v>
      </c>
      <c r="I40" s="3">
        <v>3574</v>
      </c>
      <c r="K40" t="s">
        <v>38</v>
      </c>
      <c r="L40" s="19">
        <f>L39*10^6 / I16</f>
        <v>331.18270553395621</v>
      </c>
      <c r="M40" s="28" t="s">
        <v>79</v>
      </c>
      <c r="N40" s="27" t="s">
        <v>78</v>
      </c>
    </row>
    <row r="41" spans="2:40" x14ac:dyDescent="0.25">
      <c r="B41" t="s">
        <v>55</v>
      </c>
      <c r="I41" s="3">
        <v>26936</v>
      </c>
    </row>
    <row r="42" spans="2:40" x14ac:dyDescent="0.25">
      <c r="B42" s="1" t="s">
        <v>56</v>
      </c>
      <c r="I42" s="3">
        <v>96285</v>
      </c>
    </row>
    <row r="43" spans="2:40" x14ac:dyDescent="0.25">
      <c r="B43" t="s">
        <v>57</v>
      </c>
      <c r="I43" s="3">
        <v>51863</v>
      </c>
    </row>
    <row r="44" spans="2:40" x14ac:dyDescent="0.25">
      <c r="B44" t="s">
        <v>58</v>
      </c>
      <c r="I44" s="3">
        <v>10734</v>
      </c>
      <c r="K44" s="1">
        <v>1</v>
      </c>
      <c r="L44">
        <v>2</v>
      </c>
      <c r="M44">
        <f>L44+1</f>
        <v>3</v>
      </c>
      <c r="N44">
        <f>M44+1</f>
        <v>4</v>
      </c>
      <c r="O44">
        <f>N44+1</f>
        <v>5</v>
      </c>
      <c r="P44">
        <f>O44+1</f>
        <v>6</v>
      </c>
      <c r="Q44">
        <f>P44+1</f>
        <v>7</v>
      </c>
      <c r="R44">
        <f>Q44+1</f>
        <v>8</v>
      </c>
      <c r="S44">
        <f>R44+1</f>
        <v>9</v>
      </c>
      <c r="T44">
        <f>S44+1</f>
        <v>10</v>
      </c>
      <c r="U44">
        <f>T44+1</f>
        <v>11</v>
      </c>
      <c r="V44">
        <f>U44+1</f>
        <v>12</v>
      </c>
      <c r="W44">
        <f>V44+1</f>
        <v>13</v>
      </c>
      <c r="X44">
        <f>W44+1</f>
        <v>14</v>
      </c>
      <c r="Y44">
        <f>X44+1</f>
        <v>15</v>
      </c>
      <c r="Z44">
        <f>Y44+1</f>
        <v>16</v>
      </c>
      <c r="AA44">
        <f>Z44+1</f>
        <v>17</v>
      </c>
      <c r="AB44">
        <f>AA44+1</f>
        <v>18</v>
      </c>
      <c r="AC44">
        <f>AB44+1</f>
        <v>19</v>
      </c>
      <c r="AD44">
        <f>AC44+1</f>
        <v>20</v>
      </c>
      <c r="AE44">
        <f>AD44+1</f>
        <v>21</v>
      </c>
      <c r="AF44">
        <f>AE44+1</f>
        <v>22</v>
      </c>
      <c r="AG44">
        <f>AF44+1</f>
        <v>23</v>
      </c>
      <c r="AH44">
        <f>AG44+1</f>
        <v>24</v>
      </c>
      <c r="AI44">
        <f>AH44+1</f>
        <v>25</v>
      </c>
      <c r="AJ44">
        <f>AI44+1</f>
        <v>26</v>
      </c>
      <c r="AK44">
        <f>AJ44+1</f>
        <v>27</v>
      </c>
      <c r="AL44">
        <f>AK44+1</f>
        <v>28</v>
      </c>
      <c r="AM44">
        <f>AL44+1</f>
        <v>29</v>
      </c>
      <c r="AN44">
        <f>AM44+1</f>
        <v>30</v>
      </c>
    </row>
    <row r="45" spans="2:40" x14ac:dyDescent="0.25">
      <c r="B45" t="s">
        <v>59</v>
      </c>
      <c r="H45" s="3"/>
      <c r="I45" s="3">
        <v>107566</v>
      </c>
      <c r="K45" s="22" t="s">
        <v>47</v>
      </c>
    </row>
    <row r="46" spans="2:40" x14ac:dyDescent="0.25">
      <c r="B46" s="1" t="s">
        <v>60</v>
      </c>
      <c r="I46" s="3">
        <v>309790</v>
      </c>
    </row>
    <row r="47" spans="2:40" x14ac:dyDescent="0.25">
      <c r="I47" s="3"/>
      <c r="K47" t="s">
        <v>52</v>
      </c>
      <c r="L47">
        <v>0.45</v>
      </c>
    </row>
    <row r="48" spans="2:40" x14ac:dyDescent="0.25">
      <c r="B48" t="s">
        <v>61</v>
      </c>
      <c r="I48" s="3">
        <v>37136</v>
      </c>
      <c r="K48" t="s">
        <v>53</v>
      </c>
      <c r="L48" s="6">
        <f>4.2/100+L47*(7.5-4.2)/100</f>
        <v>5.6849999999999998E-2</v>
      </c>
    </row>
    <row r="49" spans="2:14" x14ac:dyDescent="0.25">
      <c r="B49" t="s">
        <v>62</v>
      </c>
      <c r="I49" s="3">
        <v>33566</v>
      </c>
      <c r="K49" t="s">
        <v>54</v>
      </c>
      <c r="L49" s="26">
        <v>6.0999999999999999E-2</v>
      </c>
    </row>
    <row r="50" spans="2:14" x14ac:dyDescent="0.25">
      <c r="B50" t="s">
        <v>63</v>
      </c>
      <c r="I50" s="3">
        <v>9986</v>
      </c>
      <c r="K50" t="s">
        <v>69</v>
      </c>
      <c r="L50">
        <f>289.25 * I16</f>
        <v>262390372559.25</v>
      </c>
    </row>
    <row r="51" spans="2:14" x14ac:dyDescent="0.25">
      <c r="B51" s="1" t="s">
        <v>56</v>
      </c>
      <c r="I51" s="3">
        <v>113471</v>
      </c>
      <c r="K51" s="2" t="s">
        <v>70</v>
      </c>
      <c r="L51" s="24">
        <f>204621*10^6</f>
        <v>204621000000</v>
      </c>
    </row>
    <row r="52" spans="2:14" x14ac:dyDescent="0.25">
      <c r="B52" t="s">
        <v>64</v>
      </c>
      <c r="I52" s="3">
        <v>71285</v>
      </c>
      <c r="K52" s="2" t="s">
        <v>71</v>
      </c>
      <c r="L52" s="24">
        <f>(L50+(L51)-(I39*10^6))</f>
        <v>436294372559.25</v>
      </c>
    </row>
    <row r="53" spans="2:14" x14ac:dyDescent="0.25">
      <c r="B53" t="s">
        <v>65</v>
      </c>
      <c r="I53" s="3">
        <v>3902</v>
      </c>
      <c r="K53" s="2" t="s">
        <v>72</v>
      </c>
      <c r="L53" s="6">
        <f>18.55/100</f>
        <v>0.1855</v>
      </c>
    </row>
    <row r="54" spans="2:14" x14ac:dyDescent="0.25">
      <c r="B54" t="s">
        <v>66</v>
      </c>
      <c r="I54" s="3">
        <v>15693</v>
      </c>
      <c r="K54" s="2" t="s">
        <v>76</v>
      </c>
      <c r="L54" s="6">
        <v>1.7999999999999999E-2</v>
      </c>
    </row>
    <row r="55" spans="2:14" x14ac:dyDescent="0.25">
      <c r="B55" s="1" t="s">
        <v>67</v>
      </c>
      <c r="I55" s="3">
        <v>204621</v>
      </c>
      <c r="L55" s="3"/>
    </row>
    <row r="56" spans="2:14" x14ac:dyDescent="0.25">
      <c r="I56" s="3"/>
      <c r="K56" s="1" t="s">
        <v>48</v>
      </c>
      <c r="L56" s="25">
        <f>(L50/L52)*L48+(L51/L52)*L49*(1-L53)</f>
        <v>5.7491882389766484E-2</v>
      </c>
    </row>
    <row r="57" spans="2:14" x14ac:dyDescent="0.25">
      <c r="K57" s="1" t="s">
        <v>74</v>
      </c>
      <c r="L57" s="3">
        <f>U24 * (1+L54)/(L56-L54)</f>
        <v>144992.39132417011</v>
      </c>
    </row>
    <row r="58" spans="2:14" x14ac:dyDescent="0.25">
      <c r="K58" t="s">
        <v>82</v>
      </c>
      <c r="L58" s="3">
        <f>SUM(K24:U24)</f>
        <v>154958.32827318905</v>
      </c>
    </row>
    <row r="59" spans="2:14" x14ac:dyDescent="0.25">
      <c r="K59" t="s">
        <v>37</v>
      </c>
      <c r="L59" s="3">
        <f>L58+L57</f>
        <v>299950.71959735919</v>
      </c>
    </row>
    <row r="60" spans="2:14" x14ac:dyDescent="0.25">
      <c r="K60" t="s">
        <v>77</v>
      </c>
      <c r="L60" s="19">
        <f>L59/I16 *10^6</f>
        <v>330.65521725247299</v>
      </c>
      <c r="M60" s="28" t="s">
        <v>81</v>
      </c>
      <c r="N60" s="27" t="s">
        <v>80</v>
      </c>
    </row>
    <row r="61" spans="2:14" x14ac:dyDescent="0.25">
      <c r="L61" s="3"/>
    </row>
    <row r="62" spans="2:14" x14ac:dyDescent="0.25">
      <c r="L62" s="3"/>
    </row>
    <row r="66" spans="11:12" x14ac:dyDescent="0.25">
      <c r="K66" t="s">
        <v>51</v>
      </c>
      <c r="L6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BurgShot Homie</dc:creator>
  <cp:lastModifiedBy>BurgShot Homie</cp:lastModifiedBy>
  <dcterms:created xsi:type="dcterms:W3CDTF">2025-07-16T22:04:40Z</dcterms:created>
  <dcterms:modified xsi:type="dcterms:W3CDTF">2025-07-17T17:07:47Z</dcterms:modified>
</cp:coreProperties>
</file>