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B5A48C2CCD1C7DDF/Documents/"/>
    </mc:Choice>
  </mc:AlternateContent>
  <xr:revisionPtr revIDLastSave="1350" documentId="8_{37204A44-9DD0-4B07-9796-0003515CE8DB}" xr6:coauthVersionLast="47" xr6:coauthVersionMax="47" xr10:uidLastSave="{95F0DF8C-A18A-4A96-9558-84A97340B34C}"/>
  <bookViews>
    <workbookView xWindow="17400" yWindow="1575" windowWidth="16785" windowHeight="17835" xr2:uid="{D6CC4ADD-FA92-46E6-940A-80EB5DA3D9B2}"/>
  </bookViews>
  <sheets>
    <sheet name="Sheet1" sheetId="1" r:id="rId1"/>
  </sheets>
  <definedNames>
    <definedName name="_xlchart.v1.0" hidden="1">Sheet1!$E$2:$E$48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2" i="1" l="1"/>
  <c r="T71" i="1"/>
  <c r="T66" i="1"/>
  <c r="T70" i="1"/>
  <c r="T69" i="1"/>
  <c r="T68" i="1"/>
  <c r="T67" i="1"/>
  <c r="T56" i="1"/>
  <c r="T54" i="1"/>
  <c r="T65" i="1"/>
  <c r="T63" i="1"/>
  <c r="T64" i="1"/>
  <c r="T55" i="1"/>
  <c r="T62" i="1"/>
  <c r="T61" i="1"/>
  <c r="E24" i="1"/>
  <c r="E39" i="1"/>
  <c r="E3" i="1"/>
  <c r="E4" i="1"/>
  <c r="H48" i="1"/>
  <c r="E48" i="1"/>
  <c r="H47" i="1"/>
  <c r="E47" i="1"/>
  <c r="G47" i="1"/>
  <c r="G44" i="1"/>
  <c r="G45" i="1"/>
  <c r="J45" i="1" s="1"/>
  <c r="J44" i="1"/>
  <c r="I44" i="1"/>
  <c r="G43" i="1"/>
  <c r="I43" i="1" s="1"/>
  <c r="E43" i="1"/>
  <c r="J43" i="1" s="1"/>
  <c r="H42" i="1"/>
  <c r="G42" i="1"/>
  <c r="G41" i="1"/>
  <c r="I41" i="1" s="1"/>
  <c r="E42" i="1"/>
  <c r="J42" i="1" s="1"/>
  <c r="E41" i="1"/>
  <c r="E40" i="1"/>
  <c r="H39" i="1"/>
  <c r="G37" i="1"/>
  <c r="I37" i="1" s="1"/>
  <c r="E37" i="1"/>
  <c r="G35" i="1"/>
  <c r="I35" i="1" s="1"/>
  <c r="E35" i="1"/>
  <c r="E34" i="1"/>
  <c r="J34" i="1" s="1"/>
  <c r="E33" i="1"/>
  <c r="J33" i="1" s="1"/>
  <c r="I33" i="1"/>
  <c r="H32" i="1"/>
  <c r="G32" i="1"/>
  <c r="E32" i="1"/>
  <c r="J32" i="1" s="1"/>
  <c r="H31" i="1"/>
  <c r="G31" i="1"/>
  <c r="E31" i="1"/>
  <c r="J48" i="1"/>
  <c r="I48" i="1"/>
  <c r="E30" i="1"/>
  <c r="J30" i="1" s="1"/>
  <c r="H29" i="1"/>
  <c r="E29" i="1"/>
  <c r="J29" i="1" s="1"/>
  <c r="I29" i="1"/>
  <c r="E28" i="1"/>
  <c r="J28" i="1" s="1"/>
  <c r="H27" i="1"/>
  <c r="G27" i="1"/>
  <c r="E27" i="1"/>
  <c r="J27" i="1" s="1"/>
  <c r="I28" i="1"/>
  <c r="H26" i="1"/>
  <c r="G26" i="1"/>
  <c r="E26" i="1"/>
  <c r="J26" i="1" s="1"/>
  <c r="H25" i="1"/>
  <c r="G25" i="1"/>
  <c r="E25" i="1"/>
  <c r="H24" i="1"/>
  <c r="I24" i="1" s="1"/>
  <c r="J24" i="1"/>
  <c r="H23" i="1"/>
  <c r="G23" i="1"/>
  <c r="E23" i="1"/>
  <c r="E22" i="1"/>
  <c r="G22" i="1"/>
  <c r="I22" i="1" s="1"/>
  <c r="H21" i="1"/>
  <c r="I21" i="1" s="1"/>
  <c r="H20" i="1"/>
  <c r="I20" i="1" s="1"/>
  <c r="E21" i="1"/>
  <c r="J21" i="1" s="1"/>
  <c r="E20" i="1"/>
  <c r="J20" i="1" s="1"/>
  <c r="H19" i="1"/>
  <c r="I19" i="1" s="1"/>
  <c r="E19" i="1"/>
  <c r="H18" i="1"/>
  <c r="I18" i="1" s="1"/>
  <c r="E18" i="1"/>
  <c r="J18" i="1" s="1"/>
  <c r="H17" i="1"/>
  <c r="I17" i="1" s="1"/>
  <c r="E17" i="1"/>
  <c r="J17" i="1" s="1"/>
  <c r="H16" i="1"/>
  <c r="I16" i="1" s="1"/>
  <c r="E16" i="1"/>
  <c r="J16" i="1" s="1"/>
  <c r="H15" i="1"/>
  <c r="I15" i="1" s="1"/>
  <c r="E15" i="1"/>
  <c r="J15" i="1" s="1"/>
  <c r="E14" i="1"/>
  <c r="J14" i="1" s="1"/>
  <c r="H14" i="1"/>
  <c r="I14" i="1" s="1"/>
  <c r="H13" i="1"/>
  <c r="I13" i="1" s="1"/>
  <c r="E13" i="1"/>
  <c r="J13" i="1" s="1"/>
  <c r="G12" i="1"/>
  <c r="I12" i="1" s="1"/>
  <c r="E12" i="1"/>
  <c r="G11" i="1"/>
  <c r="I11" i="1" s="1"/>
  <c r="E11" i="1"/>
  <c r="H10" i="1"/>
  <c r="I10" i="1" s="1"/>
  <c r="E10" i="1"/>
  <c r="J10" i="1" s="1"/>
  <c r="G9" i="1"/>
  <c r="I9" i="1" s="1"/>
  <c r="E9" i="1"/>
  <c r="E8" i="1"/>
  <c r="J8" i="1" s="1"/>
  <c r="H7" i="1"/>
  <c r="G7" i="1"/>
  <c r="J7" i="1" s="1"/>
  <c r="H6" i="1"/>
  <c r="I6" i="1" s="1"/>
  <c r="E6" i="1"/>
  <c r="J6" i="1" s="1"/>
  <c r="H4" i="1"/>
  <c r="H5" i="1"/>
  <c r="G5" i="1"/>
  <c r="E5" i="1"/>
  <c r="J36" i="1"/>
  <c r="J38" i="1"/>
  <c r="J46" i="1"/>
  <c r="I30" i="1"/>
  <c r="I34" i="1"/>
  <c r="I36" i="1"/>
  <c r="I38" i="1"/>
  <c r="I46" i="1"/>
  <c r="G4" i="1"/>
  <c r="G3" i="1"/>
  <c r="H3" i="1"/>
  <c r="H2" i="1"/>
  <c r="I2" i="1" s="1"/>
  <c r="E2" i="1"/>
  <c r="J2" i="1" s="1"/>
  <c r="J41" i="1" l="1"/>
  <c r="J47" i="1"/>
  <c r="I32" i="1"/>
  <c r="T57" i="1"/>
  <c r="I42" i="1"/>
  <c r="I45" i="1"/>
  <c r="J35" i="1"/>
  <c r="T58" i="1"/>
  <c r="T59" i="1" s="1"/>
  <c r="T51" i="1"/>
  <c r="I47" i="1"/>
  <c r="T52" i="1"/>
  <c r="T50" i="1"/>
  <c r="T53" i="1"/>
  <c r="J23" i="1"/>
  <c r="J37" i="1"/>
  <c r="J25" i="1"/>
  <c r="I3" i="1"/>
  <c r="J3" i="1"/>
  <c r="J12" i="1"/>
  <c r="I31" i="1"/>
  <c r="J31" i="1"/>
  <c r="I27" i="1"/>
  <c r="I26" i="1"/>
  <c r="I23" i="1"/>
  <c r="I25" i="1"/>
  <c r="J19" i="1"/>
  <c r="J22" i="1"/>
  <c r="J9" i="1"/>
  <c r="J11" i="1"/>
  <c r="I7" i="1"/>
  <c r="I4" i="1"/>
  <c r="I5" i="1"/>
  <c r="J4" i="1"/>
  <c r="J5" i="1"/>
  <c r="T60" i="1" l="1"/>
</calcChain>
</file>

<file path=xl/sharedStrings.xml><?xml version="1.0" encoding="utf-8"?>
<sst xmlns="http://schemas.openxmlformats.org/spreadsheetml/2006/main" count="605" uniqueCount="195">
  <si>
    <t>PnL</t>
  </si>
  <si>
    <t>L/S</t>
  </si>
  <si>
    <t>Risk</t>
  </si>
  <si>
    <t>Time</t>
  </si>
  <si>
    <t>Model</t>
  </si>
  <si>
    <t>Day of W</t>
  </si>
  <si>
    <t>Date</t>
  </si>
  <si>
    <t>Mon</t>
  </si>
  <si>
    <t>Tues</t>
  </si>
  <si>
    <t>Weds</t>
  </si>
  <si>
    <t>Thurs</t>
  </si>
  <si>
    <t>Fri</t>
  </si>
  <si>
    <t>Trail</t>
  </si>
  <si>
    <t xml:space="preserve">Reward </t>
  </si>
  <si>
    <t>Ratio</t>
  </si>
  <si>
    <t>Time in</t>
  </si>
  <si>
    <t>PXH/OB</t>
  </si>
  <si>
    <t>Yes</t>
  </si>
  <si>
    <t>Right?</t>
  </si>
  <si>
    <t>Poor Fill?</t>
  </si>
  <si>
    <t>Poor SL?</t>
  </si>
  <si>
    <t>DrL</t>
  </si>
  <si>
    <t>Long</t>
  </si>
  <si>
    <t>Short</t>
  </si>
  <si>
    <t>No</t>
  </si>
  <si>
    <t>Breaker</t>
  </si>
  <si>
    <t>Reactive or Anticipatory?</t>
  </si>
  <si>
    <t>9:11-9:12</t>
  </si>
  <si>
    <t>Tw</t>
  </si>
  <si>
    <t>Realized RR</t>
  </si>
  <si>
    <t>Reactive</t>
  </si>
  <si>
    <t>Anticipatory</t>
  </si>
  <si>
    <t>9:27-9:28</t>
  </si>
  <si>
    <t>Notes</t>
  </si>
  <si>
    <t>Not bad, why are we entering above pxh and not waiting for that 59 low and SMT ob</t>
  </si>
  <si>
    <t>Shit fill, why are we entering IN the breaker, decent trailing, one of my classic fade the market after losing trade.</t>
  </si>
  <si>
    <t>Literal 3.5 point stop, you gotta be using tactical wick entries to pull that shit off</t>
  </si>
  <si>
    <t>Basically the same entry but with a much better fill and SL, don’t mind this one too much, although spamming the am in between after we already distributed is kinda dumb.</t>
  </si>
  <si>
    <t>8:35-8:36</t>
  </si>
  <si>
    <t>Worth Taking?</t>
  </si>
  <si>
    <t>PXH CE, SMT ob anticipation</t>
  </si>
  <si>
    <t>Shit, Way too anticpatory, low entry criteria, just market order before a high was even put in. Bull shit entry with nothing there on unprobable price action, and then I took a long that wasn’t bad and then took 4 more trades shorting a long bias day. I am not going to log this because I want an idea of my SYSTEM, this wasnt permissible.</t>
  </si>
  <si>
    <t>TS Orderblock</t>
  </si>
  <si>
    <t>Actually a pretty good trade, ATT high got ran but not closed above Ts orderblock,</t>
  </si>
  <si>
    <t>8:47-8:49</t>
  </si>
  <si>
    <t>PXL</t>
  </si>
  <si>
    <t>No TP</t>
  </si>
  <si>
    <t>8:45-8:46</t>
  </si>
  <si>
    <t>This entry criteria just doesn't, make sense to a human, You'd want an entry in the sibi or the wick, or on the retrace to the TS OB, but you can really justify a great entry where I got in, just because the stop loss placement is nebulous</t>
  </si>
  <si>
    <t>Ts Orderblock in Sibi and PXL</t>
  </si>
  <si>
    <t>N/A</t>
  </si>
  <si>
    <t>Instrument</t>
  </si>
  <si>
    <t>NQ</t>
  </si>
  <si>
    <t>YM</t>
  </si>
  <si>
    <t>8:50-9:10</t>
  </si>
  <si>
    <t>SIBI</t>
  </si>
  <si>
    <t>This aint terrible You just wanna be MORE reactive, Getting in a candle later on the test of the wick is better, I just faded YM after NQ wasn’t really delivering back into Full penetration of the BISI.</t>
  </si>
  <si>
    <t>BE</t>
  </si>
  <si>
    <t>9:06-9:12</t>
  </si>
  <si>
    <t>SMT OB</t>
  </si>
  <si>
    <t>W trade, W Be, worth taking.</t>
  </si>
  <si>
    <t>8:52-9:00</t>
  </si>
  <si>
    <t>SMT YM</t>
  </si>
  <si>
    <t>W entry I believe</t>
  </si>
  <si>
    <t>8:41-8:49</t>
  </si>
  <si>
    <t>SIBI OB</t>
  </si>
  <si>
    <t>Sorta</t>
  </si>
  <si>
    <t>Good trade targeting an obivous SIBI, I js think my fill and sl was certainly not optimized.</t>
  </si>
  <si>
    <t>8:37-8:41</t>
  </si>
  <si>
    <t>SMT Disr PXH, BISI immediate rebalance</t>
  </si>
  <si>
    <t>Shoulda kept risk on or re-entered, got BE on a ATT low and that shit ran all day, Gotta stay objective on when to keep risk on, Its basically like taking as second trade.</t>
  </si>
  <si>
    <t>8:51-8:54</t>
  </si>
  <si>
    <t>HTF Liq dump expectation.</t>
  </si>
  <si>
    <t xml:space="preserve">Idk just another classic adam baba long , I feel like I gotta be ENTIRELY stringent with those type of entries and be UTTERLY Objective </t>
  </si>
  <si>
    <t>10:00-10:01</t>
  </si>
  <si>
    <t>Nothing</t>
  </si>
  <si>
    <t>Nothng</t>
  </si>
  <si>
    <t>Shit entries, both of these romo and fucked up trades.</t>
  </si>
  <si>
    <t>10:02-10:05</t>
  </si>
  <si>
    <t>Shit</t>
  </si>
  <si>
    <t>Another instance of the long adam fade, lock in</t>
  </si>
  <si>
    <t>11:16-11:17</t>
  </si>
  <si>
    <t>Really nothing, coulda waited for that lil ts wick retest, woulda been goated.</t>
  </si>
  <si>
    <t>Need more strigent entry criteria, got get these Bes</t>
  </si>
  <si>
    <t>TS OB</t>
  </si>
  <si>
    <t>Decent, shoulda been derisked</t>
  </si>
  <si>
    <t>8:56-9:03</t>
  </si>
  <si>
    <t>Reactive-Late</t>
  </si>
  <si>
    <t>9:08-9:10</t>
  </si>
  <si>
    <t>Gotta get Derisked on this</t>
  </si>
  <si>
    <t>Prolly derisked on this one too, SMT doesn’t work on these bullish ass days, be vigilant.</t>
  </si>
  <si>
    <t>ES</t>
  </si>
  <si>
    <t>TW</t>
  </si>
  <si>
    <t>8:46-9:05</t>
  </si>
  <si>
    <t>Good example of good Anticiaption SMT OB</t>
  </si>
  <si>
    <t>8:38-8:49</t>
  </si>
  <si>
    <t>OB</t>
  </si>
  <si>
    <t>Good entry, no model tho so the risk is a lot and sizing up is little audacious. I should'nt gotta size up, SL at that wick with like 12 cons is so much better.</t>
  </si>
  <si>
    <t>8:36-8:37</t>
  </si>
  <si>
    <t>In this case you wouldve had to had full risk on and kept it in, this little range that defined before distribution is gay, if u wait for the 41 low you get that every time.</t>
  </si>
  <si>
    <t>9:06-9:27</t>
  </si>
  <si>
    <t>W trade Probably shoulda got Breakeven on this one because I entered a little early, on ES Id have been stopped out</t>
  </si>
  <si>
    <t>8:37-8:48</t>
  </si>
  <si>
    <t>Taking this with a BETTER fill and a TIGHTER stop on the same candle is so tuff, you could've kept derisk on and caught whole day move, this profile was really tough though albeit.</t>
  </si>
  <si>
    <t>8:39-8:53</t>
  </si>
  <si>
    <t>BISI</t>
  </si>
  <si>
    <t>Huge fucking trade just need more risk on that bitch</t>
  </si>
  <si>
    <t>8:55-8:56</t>
  </si>
  <si>
    <t>Stay in the trade and trail or get a good re-entry model, not this shit.</t>
  </si>
  <si>
    <t>8:35-8:47</t>
  </si>
  <si>
    <t>YES</t>
  </si>
  <si>
    <t>NO</t>
  </si>
  <si>
    <t>HAVEEE to be more reactive, huge sibi rebalance SMT OB entry on the 39 candle with a 41 dud</t>
  </si>
  <si>
    <t>yes</t>
  </si>
  <si>
    <t>no</t>
  </si>
  <si>
    <t>Another classic fade but on the short side this time, so dum</t>
  </si>
  <si>
    <t>SMT Wick</t>
  </si>
  <si>
    <t>Equil SIBI SMT OB</t>
  </si>
  <si>
    <t>8:29-8:30</t>
  </si>
  <si>
    <t>Anticipatory and Reactive</t>
  </si>
  <si>
    <t>This is a huge premarket sell model, I definitely set my stop too liberal, obviously &lt;5 point stop is permissible because of slippage but honestly you coulda put stop at .5 of those wicks</t>
  </si>
  <si>
    <t>8:40-8:44</t>
  </si>
  <si>
    <t>Huge W</t>
  </si>
  <si>
    <t>TS Anticipation</t>
  </si>
  <si>
    <t>8:41 -- 8:42</t>
  </si>
  <si>
    <t>8:48 - 8:49</t>
  </si>
  <si>
    <t>Sum bullshit entires fasho, first short is good but its gonna be in the wick of that downclose candle out of the sibi with stops above. Second one is just a rare ass trade to hit but W risk</t>
  </si>
  <si>
    <t>8:45-8:49</t>
  </si>
  <si>
    <t>SIBI PXL wick</t>
  </si>
  <si>
    <t>W ass trade just really under risked for 5 point SL</t>
  </si>
  <si>
    <t>9:04-9:05</t>
  </si>
  <si>
    <t>This entry isnt bad but if you just waited and took the model that presented itself you literally add another HUGE W to the day, I really gotta just be snagging premo entries.</t>
  </si>
  <si>
    <t>8:47-8:50</t>
  </si>
  <si>
    <t>W ass trade im smacking that everytime I hope</t>
  </si>
  <si>
    <t>SMT/TS OB</t>
  </si>
  <si>
    <t>BISI immediate Rebalance</t>
  </si>
  <si>
    <t>8:34-8:36</t>
  </si>
  <si>
    <t>Idk prbably not the best entry, it'll get you break even but It doesn’t really feel like a whole day typa move from my entry point.</t>
  </si>
  <si>
    <t>n/a</t>
  </si>
  <si>
    <t>8:31-8:32</t>
  </si>
  <si>
    <t>SIBI immediate rebalance</t>
  </si>
  <si>
    <t>If I just wait for that candle to print a little more I get a better fill or I can just get in on the next engulfing candle with confirmation of the SMT OB</t>
  </si>
  <si>
    <t xml:space="preserve">ATT High </t>
  </si>
  <si>
    <t>Good trade but why are we trading WITHOUT STOPLOSSES and NOT REALIZING ITS  A PROBLEM, NIP THIS SHIT IN THE BUD RIGHT AWAY, IT’S A RECURRING THEME THAT MY REACTIVE ENTRIES WITH SOUND MODELS AND GOOD RISK MANAGEMENT IS MY EDGE.</t>
  </si>
  <si>
    <t>9:47 - 9:55</t>
  </si>
  <si>
    <t>W, risk is a little shit but I was shook up from the open, I really CANNOT allow myself to take dumbass trades thereby COMPRIMISING MY psychology</t>
  </si>
  <si>
    <t>9:56-9:59</t>
  </si>
  <si>
    <t>Really large stop, probably don’t want that on a re-entry</t>
  </si>
  <si>
    <t>TP</t>
  </si>
  <si>
    <t>8:42-8:47</t>
  </si>
  <si>
    <t>ATT Low</t>
  </si>
  <si>
    <t>This entry was really solid No real  model beside that ATT low, for a bullish ass Monday that’s all I really needed tho, Stop loss was pretty liberal though I coulda def put on like 5 points risk with 12 cons</t>
  </si>
  <si>
    <t>8:32-8:36</t>
  </si>
  <si>
    <t>8:41-8:45</t>
  </si>
  <si>
    <t>My most unpermissible and unnormalized entry in this log, never again</t>
  </si>
  <si>
    <t>8:48-9:00</t>
  </si>
  <si>
    <t>News TS OB</t>
  </si>
  <si>
    <t>One of the best trades I've taken ever, genuinely, should be a daily thang.</t>
  </si>
  <si>
    <t>TS OB anticipation</t>
  </si>
  <si>
    <t>Return Analytics:</t>
  </si>
  <si>
    <t>Mean:</t>
  </si>
  <si>
    <t>STD</t>
  </si>
  <si>
    <t>Min</t>
  </si>
  <si>
    <t>Max</t>
  </si>
  <si>
    <t>I AM PROFITABLE WITH ALL TERRIBLE DAYS REMOVED, I WILL NEVER TRADE OUT OF PERMISSIBLITY AGAIN I WILL RE RUN THIS analytical system in 3 more months and blow these numbers out of the fucking water.</t>
  </si>
  <si>
    <t>Dumb ah am session, stringent entry models are required, Stop losses are now a STRINGENT requirement.</t>
  </si>
  <si>
    <t>Average Realized RR:</t>
  </si>
  <si>
    <t>Avg Reward</t>
  </si>
  <si>
    <t>Average Risk</t>
  </si>
  <si>
    <t>Avg Realized</t>
  </si>
  <si>
    <t>Breakeven Rate:</t>
  </si>
  <si>
    <t>Loss Rate:</t>
  </si>
  <si>
    <t>WinRate:</t>
  </si>
  <si>
    <t>SL</t>
  </si>
  <si>
    <t>Tight SL</t>
  </si>
  <si>
    <t>Mkt close</t>
  </si>
  <si>
    <t>THIS DAY WAS SO ASS, STOP BEING DUMB, CHECK YOUR FUCKING STOPS, ok, another fade by me for no reason, like Im gonna make as ystem change right now, NO MORE anticipation,  ALL TRADES LEAN reactive NOT anticipatory. This log will feed families, I report here at least weekly. like deadass tho U missed the breaker premo entry (for no reason, you wanted to enter on that bisi getting closed in, then u got a immediate rebalance to CE its like you cant ask for a better place to enter and put 5 points on, LIKE deadass dude we got something special here, I do not gotta be throwing on so much risk in terms of my stop loss, IF i am WRONG within the same or consecutive candle, i dont want to be in anyway, and thats the biggest thing, I trust my skills and gumption now, I can snipe shit and not have to monkey brain short a down close wick off a premarket high.</t>
  </si>
  <si>
    <t>Total losses</t>
  </si>
  <si>
    <t>revenue:</t>
  </si>
  <si>
    <t>Gotta get my WINRATE and BREAKEVEN rate UP and my LOSS rate DOWN. Deadass tho I have been so wildly profitable with only those few REALLLLY bad psychology days removed. I can really start wiping these prop firms bad, I gotta lock in for the next two weeks, secure my payout, pass that funded</t>
  </si>
  <si>
    <t>Long %</t>
  </si>
  <si>
    <t>Short %</t>
  </si>
  <si>
    <t>long win%</t>
  </si>
  <si>
    <t>short win%</t>
  </si>
  <si>
    <t>long BE</t>
  </si>
  <si>
    <t>short BE</t>
  </si>
  <si>
    <t>Long L</t>
  </si>
  <si>
    <t>Short L</t>
  </si>
  <si>
    <t>I've been so blessed to have this 40% winrate and these high ass RR trades, but I need more, and I know I can attain more. I want my loss rate DOWN a LOT for the next 50 TRADES I will be getting my loss rate down under 40% my Breakeven rate up to 10-15%, and my win rate up HOPEFULLY in excess of my losses and over 50%</t>
  </si>
  <si>
    <t>I was very short biased for a while, and as we have been bulling I have had the poor tendency/heuristic to fade the market, especially emotionally after I miss entries, I did that today even, I seek utter objectivity in thought when I trade. My short and long rate should probably even out to 50/50 and as we bull probably be biased to the long side.</t>
  </si>
  <si>
    <t>I have a tendency to not want to re-enter that which I have been break even on, I am objective, I know my system calls for excessive derisking and breakeven stops, I have to be able to take the pain and put risk back on the table if I still like the entry.</t>
  </si>
  <si>
    <t>Reactive %</t>
  </si>
  <si>
    <t>Anticipatory %</t>
  </si>
  <si>
    <t>I should be anticipatorily entering more often that like 15%, I definitely win more reactively.</t>
  </si>
  <si>
    <t xml:space="preserve">Overall System tweaks, IE how I will trade until I rerun data analytics, two months say. I look to get breakeven a lot more, and I NEED to think in utter objectivity, I am nothing without my system, it is nothing with out me. I simply cannot think with emotion anymore, Not with how much I am risking. so, I get breakeven more, I can do this because I can TRUST myself to re-enter reactively. I enter reactively far more now, I don't really look to enter anticipations anymore, I only want models, I dont have to hop off the charts in 30 minutes every day. I've added PDR and HTF levels to my trading, ATT is a supreme Array to add, I can do TA out the ass and call shit but price will be stochastic so my edge is my execution. My executing have to be rock solid, same with SL placements and trails. My models present themselves all day its just up to me to spot them, take them, and get break even on the duds.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</si>
</sst>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6" fontId="0" fillId="0" borderId="0" xfId="0" applyNumberFormat="1"/>
    <xf numFmtId="20" fontId="0" fillId="0" borderId="0" xfId="0" applyNumberFormat="1"/>
    <xf numFmtId="2" fontId="0" fillId="0" borderId="0" xfId="0" applyNumberFormat="1"/>
    <xf numFmtId="20" fontId="0" fillId="0" borderId="0" xfId="0" applyNumberFormat="1" applyAlignment="1">
      <alignment horizontal="right"/>
    </xf>
    <xf numFmtId="0" fontId="0" fillId="0" borderId="0" xfId="0" applyAlignment="1">
      <alignment horizontal="right"/>
    </xf>
    <xf numFmtId="0" fontId="1" fillId="0" borderId="0" xfId="0" applyFont="1"/>
    <xf numFmtId="164" fontId="0" fillId="0" borderId="0" xfId="0" applyNumberFormat="1"/>
    <xf numFmtId="0" fontId="1" fillId="2" borderId="0" xfId="0" applyFont="1" applyFill="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Returns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Returns</a:t>
          </a:r>
        </a:p>
      </cx:txPr>
    </cx:title>
    <cx:plotArea>
      <cx:plotAreaRegion>
        <cx:series layoutId="clusteredColumn" uniqueId="{D56EC3B4-326E-4621-8935-0FA23C5E5835}">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100853</xdr:colOff>
      <xdr:row>49</xdr:row>
      <xdr:rowOff>68356</xdr:rowOff>
    </xdr:from>
    <xdr:to>
      <xdr:col>8</xdr:col>
      <xdr:colOff>291353</xdr:colOff>
      <xdr:row>63</xdr:row>
      <xdr:rowOff>144556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76FAE03-4A49-D4E3-C802-A1FD749B84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0453" y="9402856"/>
              <a:ext cx="46005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D7C6F-5690-44C1-8331-631457B5927F}">
  <dimension ref="A1:U73"/>
  <sheetViews>
    <sheetView tabSelected="1" topLeftCell="C25" zoomScale="85" zoomScaleNormal="85" workbookViewId="0">
      <selection activeCell="T54" sqref="T54"/>
    </sheetView>
  </sheetViews>
  <sheetFormatPr defaultRowHeight="15" x14ac:dyDescent="0.25"/>
  <cols>
    <col min="3" max="3" width="10.140625" customWidth="1"/>
    <col min="4" max="4" width="10.28515625" customWidth="1"/>
    <col min="10" max="10" width="11.28515625" customWidth="1"/>
    <col min="11" max="11" width="10.5703125" customWidth="1"/>
    <col min="13" max="13" width="23" customWidth="1"/>
    <col min="18" max="18" width="13.5703125" customWidth="1"/>
    <col min="19" max="19" width="19.7109375" customWidth="1"/>
  </cols>
  <sheetData>
    <row r="1" spans="1:19" x14ac:dyDescent="0.25">
      <c r="A1" t="s">
        <v>6</v>
      </c>
      <c r="B1" t="s">
        <v>5</v>
      </c>
      <c r="C1" t="s">
        <v>51</v>
      </c>
      <c r="D1" t="s">
        <v>12</v>
      </c>
      <c r="E1" t="s">
        <v>0</v>
      </c>
      <c r="F1" t="s">
        <v>1</v>
      </c>
      <c r="G1" t="s">
        <v>2</v>
      </c>
      <c r="H1" t="s">
        <v>13</v>
      </c>
      <c r="I1" t="s">
        <v>14</v>
      </c>
      <c r="J1" t="s">
        <v>29</v>
      </c>
      <c r="K1" t="s">
        <v>3</v>
      </c>
      <c r="L1" t="s">
        <v>15</v>
      </c>
      <c r="M1" t="s">
        <v>26</v>
      </c>
      <c r="N1" t="s">
        <v>4</v>
      </c>
      <c r="O1" t="s">
        <v>18</v>
      </c>
      <c r="P1" t="s">
        <v>19</v>
      </c>
      <c r="Q1" t="s">
        <v>20</v>
      </c>
      <c r="R1" t="s">
        <v>39</v>
      </c>
      <c r="S1" t="s">
        <v>33</v>
      </c>
    </row>
    <row r="2" spans="1:19" x14ac:dyDescent="0.25">
      <c r="A2" s="1">
        <v>45831</v>
      </c>
      <c r="B2" t="s">
        <v>7</v>
      </c>
      <c r="C2" t="s">
        <v>52</v>
      </c>
      <c r="D2" t="s">
        <v>173</v>
      </c>
      <c r="E2" s="8">
        <f>-1.2*20*10.75</f>
        <v>-258</v>
      </c>
      <c r="F2" s="6" t="s">
        <v>22</v>
      </c>
      <c r="G2">
        <v>258</v>
      </c>
      <c r="H2">
        <f>40.25*1.2*20</f>
        <v>966</v>
      </c>
      <c r="I2" s="3">
        <f>H2/G2</f>
        <v>3.7441860465116279</v>
      </c>
      <c r="J2" s="3">
        <f>E2/G2</f>
        <v>-1</v>
      </c>
      <c r="K2" s="4">
        <v>0.37291666666666667</v>
      </c>
      <c r="L2">
        <v>1</v>
      </c>
      <c r="M2" t="s">
        <v>31</v>
      </c>
      <c r="N2" t="s">
        <v>16</v>
      </c>
      <c r="O2" t="s">
        <v>17</v>
      </c>
      <c r="P2" t="s">
        <v>17</v>
      </c>
      <c r="Q2" t="s">
        <v>17</v>
      </c>
      <c r="R2" t="s">
        <v>17</v>
      </c>
      <c r="S2" t="s">
        <v>34</v>
      </c>
    </row>
    <row r="3" spans="1:19" x14ac:dyDescent="0.25">
      <c r="A3" s="1">
        <v>45831</v>
      </c>
      <c r="B3" t="s">
        <v>7</v>
      </c>
      <c r="C3" t="s">
        <v>52</v>
      </c>
      <c r="D3" t="s">
        <v>21</v>
      </c>
      <c r="E3" s="8">
        <f>1.2*2*20*-1</f>
        <v>-48</v>
      </c>
      <c r="F3" t="s">
        <v>23</v>
      </c>
      <c r="G3">
        <f>2.5*20*1.2</f>
        <v>60</v>
      </c>
      <c r="H3">
        <f>78*1.2*20</f>
        <v>1872</v>
      </c>
      <c r="I3" s="3">
        <f>H3/G3</f>
        <v>31.2</v>
      </c>
      <c r="J3" s="3">
        <f t="shared" ref="J3:J48" si="0">E3/G3</f>
        <v>-0.8</v>
      </c>
      <c r="K3" s="5" t="s">
        <v>27</v>
      </c>
      <c r="L3">
        <v>2</v>
      </c>
      <c r="M3" t="s">
        <v>30</v>
      </c>
      <c r="N3" t="s">
        <v>25</v>
      </c>
      <c r="O3" t="s">
        <v>24</v>
      </c>
      <c r="P3" t="s">
        <v>17</v>
      </c>
      <c r="Q3" t="s">
        <v>24</v>
      </c>
      <c r="R3" t="s">
        <v>17</v>
      </c>
      <c r="S3" t="s">
        <v>35</v>
      </c>
    </row>
    <row r="4" spans="1:19" x14ac:dyDescent="0.25">
      <c r="A4" s="1">
        <v>45831</v>
      </c>
      <c r="B4" t="s">
        <v>7</v>
      </c>
      <c r="C4" t="s">
        <v>52</v>
      </c>
      <c r="D4" t="s">
        <v>174</v>
      </c>
      <c r="E4" s="8">
        <f>3.5*1.2*20*-1</f>
        <v>-84</v>
      </c>
      <c r="F4" t="s">
        <v>23</v>
      </c>
      <c r="G4">
        <f>6*1.2*20</f>
        <v>144</v>
      </c>
      <c r="H4">
        <f>38.5*1.2*20</f>
        <v>923.99999999999989</v>
      </c>
      <c r="I4" s="3">
        <f>H4/G4</f>
        <v>6.4166666666666661</v>
      </c>
      <c r="J4" s="3">
        <f t="shared" si="0"/>
        <v>-0.58333333333333337</v>
      </c>
      <c r="K4" s="4">
        <v>0.3923611111111111</v>
      </c>
      <c r="L4">
        <v>1</v>
      </c>
      <c r="M4" t="s">
        <v>31</v>
      </c>
      <c r="N4" t="s">
        <v>25</v>
      </c>
      <c r="O4" t="s">
        <v>24</v>
      </c>
      <c r="P4" t="s">
        <v>24</v>
      </c>
      <c r="Q4" t="s">
        <v>17</v>
      </c>
      <c r="R4" t="s">
        <v>24</v>
      </c>
      <c r="S4" t="s">
        <v>36</v>
      </c>
    </row>
    <row r="5" spans="1:19" x14ac:dyDescent="0.25">
      <c r="A5" s="1">
        <v>45831</v>
      </c>
      <c r="B5" t="s">
        <v>7</v>
      </c>
      <c r="C5" t="s">
        <v>52</v>
      </c>
      <c r="D5" t="s">
        <v>28</v>
      </c>
      <c r="E5" s="6">
        <f>(96.75-85.85)*1.2*20</f>
        <v>261.60000000000014</v>
      </c>
      <c r="F5" t="s">
        <v>23</v>
      </c>
      <c r="G5">
        <f>6*1.2*20</f>
        <v>144</v>
      </c>
      <c r="H5">
        <f>38.5*1.2*20</f>
        <v>923.99999999999989</v>
      </c>
      <c r="I5" s="3">
        <f>H5/G5</f>
        <v>6.4166666666666661</v>
      </c>
      <c r="J5" s="3">
        <f t="shared" si="0"/>
        <v>1.8166666666666675</v>
      </c>
      <c r="K5" s="5" t="s">
        <v>32</v>
      </c>
      <c r="L5">
        <v>2</v>
      </c>
      <c r="M5" t="s">
        <v>30</v>
      </c>
      <c r="N5" t="s">
        <v>25</v>
      </c>
      <c r="O5" t="s">
        <v>24</v>
      </c>
      <c r="P5" t="s">
        <v>24</v>
      </c>
      <c r="Q5" t="s">
        <v>24</v>
      </c>
      <c r="R5" t="s">
        <v>17</v>
      </c>
      <c r="S5" t="s">
        <v>37</v>
      </c>
    </row>
    <row r="6" spans="1:19" x14ac:dyDescent="0.25">
      <c r="A6" s="1">
        <v>45832</v>
      </c>
      <c r="B6" t="s">
        <v>8</v>
      </c>
      <c r="C6" t="s">
        <v>52</v>
      </c>
      <c r="D6" t="s">
        <v>173</v>
      </c>
      <c r="E6" s="8">
        <f>-1*10.25*20*0.9</f>
        <v>-184.5</v>
      </c>
      <c r="F6" t="s">
        <v>23</v>
      </c>
      <c r="G6">
        <v>184.5</v>
      </c>
      <c r="H6">
        <f>42.75*0.9*20</f>
        <v>769.5</v>
      </c>
      <c r="I6" s="3">
        <f t="shared" ref="I6:I48" si="1">H6/G6</f>
        <v>4.1707317073170733</v>
      </c>
      <c r="J6" s="3">
        <f t="shared" si="0"/>
        <v>-1</v>
      </c>
      <c r="K6" s="4" t="s">
        <v>38</v>
      </c>
      <c r="L6">
        <v>2</v>
      </c>
      <c r="M6" t="s">
        <v>31</v>
      </c>
      <c r="N6" t="s">
        <v>40</v>
      </c>
      <c r="O6" t="s">
        <v>24</v>
      </c>
      <c r="P6" t="s">
        <v>17</v>
      </c>
      <c r="Q6" t="s">
        <v>17</v>
      </c>
      <c r="R6" t="s">
        <v>24</v>
      </c>
      <c r="S6" t="s">
        <v>41</v>
      </c>
    </row>
    <row r="7" spans="1:19" x14ac:dyDescent="0.25">
      <c r="A7" s="1">
        <v>45833</v>
      </c>
      <c r="B7" t="s">
        <v>9</v>
      </c>
      <c r="C7" t="s">
        <v>52</v>
      </c>
      <c r="D7" t="s">
        <v>148</v>
      </c>
      <c r="E7" s="6">
        <v>570</v>
      </c>
      <c r="F7" t="s">
        <v>23</v>
      </c>
      <c r="G7">
        <f>160*1.2</f>
        <v>192</v>
      </c>
      <c r="H7">
        <f>23.75*20*1.2</f>
        <v>570</v>
      </c>
      <c r="I7" s="3">
        <f t="shared" si="1"/>
        <v>2.96875</v>
      </c>
      <c r="J7" s="3">
        <f t="shared" si="0"/>
        <v>2.96875</v>
      </c>
      <c r="K7" s="5" t="s">
        <v>44</v>
      </c>
      <c r="L7">
        <v>3</v>
      </c>
      <c r="M7" t="s">
        <v>30</v>
      </c>
      <c r="N7" t="s">
        <v>42</v>
      </c>
      <c r="O7" t="s">
        <v>17</v>
      </c>
      <c r="P7" t="s">
        <v>24</v>
      </c>
      <c r="Q7" t="s">
        <v>17</v>
      </c>
      <c r="R7" t="s">
        <v>17</v>
      </c>
      <c r="S7" t="s">
        <v>43</v>
      </c>
    </row>
    <row r="8" spans="1:19" x14ac:dyDescent="0.25">
      <c r="A8" s="1">
        <v>45834</v>
      </c>
      <c r="B8" t="s">
        <v>10</v>
      </c>
      <c r="C8" t="s">
        <v>52</v>
      </c>
      <c r="D8" t="s">
        <v>28</v>
      </c>
      <c r="E8" s="6">
        <f>6*20*1.2</f>
        <v>144</v>
      </c>
      <c r="F8" t="s">
        <v>23</v>
      </c>
      <c r="G8">
        <v>200</v>
      </c>
      <c r="H8" t="s">
        <v>46</v>
      </c>
      <c r="I8" s="3" t="s">
        <v>50</v>
      </c>
      <c r="J8" s="3">
        <f t="shared" si="0"/>
        <v>0.72</v>
      </c>
      <c r="K8" s="4" t="s">
        <v>47</v>
      </c>
      <c r="L8">
        <v>2</v>
      </c>
      <c r="M8" t="s">
        <v>31</v>
      </c>
      <c r="N8" t="s">
        <v>49</v>
      </c>
      <c r="P8" t="s">
        <v>17</v>
      </c>
      <c r="Q8" t="s">
        <v>24</v>
      </c>
      <c r="R8" t="s">
        <v>24</v>
      </c>
      <c r="S8" t="s">
        <v>48</v>
      </c>
    </row>
    <row r="9" spans="1:19" x14ac:dyDescent="0.25">
      <c r="A9" s="1">
        <v>45834</v>
      </c>
      <c r="B9" t="s">
        <v>10</v>
      </c>
      <c r="C9" t="s">
        <v>53</v>
      </c>
      <c r="D9" t="s">
        <v>28</v>
      </c>
      <c r="E9" s="6">
        <f>0.7*5*23</f>
        <v>80.5</v>
      </c>
      <c r="F9" t="s">
        <v>23</v>
      </c>
      <c r="G9">
        <f>0.7*55</f>
        <v>38.5</v>
      </c>
      <c r="H9">
        <v>280</v>
      </c>
      <c r="I9" s="3">
        <f>H9/G9</f>
        <v>7.2727272727272725</v>
      </c>
      <c r="J9" s="3">
        <f>E9/G9</f>
        <v>2.0909090909090908</v>
      </c>
      <c r="K9" s="5" t="s">
        <v>54</v>
      </c>
      <c r="L9">
        <v>21</v>
      </c>
      <c r="M9" t="s">
        <v>30</v>
      </c>
      <c r="N9" t="s">
        <v>55</v>
      </c>
      <c r="S9" t="s">
        <v>56</v>
      </c>
    </row>
    <row r="10" spans="1:19" x14ac:dyDescent="0.25">
      <c r="A10" s="1">
        <v>45834</v>
      </c>
      <c r="B10" t="s">
        <v>10</v>
      </c>
      <c r="C10" t="s">
        <v>52</v>
      </c>
      <c r="D10" t="s">
        <v>28</v>
      </c>
      <c r="E10" s="6">
        <f>6*20</f>
        <v>120</v>
      </c>
      <c r="F10" t="s">
        <v>23</v>
      </c>
      <c r="G10">
        <v>40</v>
      </c>
      <c r="H10">
        <f>27.5*20</f>
        <v>550</v>
      </c>
      <c r="I10" s="3">
        <f>H10/G10</f>
        <v>13.75</v>
      </c>
      <c r="J10" s="3">
        <f>E10/G10</f>
        <v>3</v>
      </c>
      <c r="K10" s="4" t="s">
        <v>58</v>
      </c>
      <c r="L10">
        <v>7</v>
      </c>
      <c r="M10" t="s">
        <v>30</v>
      </c>
      <c r="N10" t="s">
        <v>59</v>
      </c>
      <c r="O10" t="s">
        <v>24</v>
      </c>
      <c r="P10" t="s">
        <v>24</v>
      </c>
      <c r="Q10" t="s">
        <v>24</v>
      </c>
      <c r="R10" t="s">
        <v>17</v>
      </c>
      <c r="S10" t="s">
        <v>60</v>
      </c>
    </row>
    <row r="11" spans="1:19" x14ac:dyDescent="0.25">
      <c r="A11" s="1">
        <v>45835</v>
      </c>
      <c r="B11" t="s">
        <v>11</v>
      </c>
      <c r="C11" t="s">
        <v>52</v>
      </c>
      <c r="D11" t="s">
        <v>148</v>
      </c>
      <c r="E11" s="6">
        <f>1.2*20*43.25</f>
        <v>1038</v>
      </c>
      <c r="F11" s="6" t="s">
        <v>22</v>
      </c>
      <c r="G11">
        <f>1.2*7*20</f>
        <v>168</v>
      </c>
      <c r="H11">
        <v>1038</v>
      </c>
      <c r="I11" s="3">
        <f t="shared" si="1"/>
        <v>6.1785714285714288</v>
      </c>
      <c r="J11" s="3">
        <f t="shared" si="0"/>
        <v>6.1785714285714288</v>
      </c>
      <c r="K11" s="5" t="s">
        <v>61</v>
      </c>
      <c r="L11">
        <v>9</v>
      </c>
      <c r="M11" t="s">
        <v>30</v>
      </c>
      <c r="N11" t="s">
        <v>62</v>
      </c>
      <c r="O11" t="s">
        <v>17</v>
      </c>
      <c r="P11" t="s">
        <v>17</v>
      </c>
      <c r="Q11" t="s">
        <v>24</v>
      </c>
      <c r="R11" t="s">
        <v>17</v>
      </c>
      <c r="S11" t="s">
        <v>63</v>
      </c>
    </row>
    <row r="12" spans="1:19" x14ac:dyDescent="0.25">
      <c r="A12" s="1">
        <v>45838</v>
      </c>
      <c r="B12" t="s">
        <v>7</v>
      </c>
      <c r="C12" t="s">
        <v>52</v>
      </c>
      <c r="D12" t="s">
        <v>148</v>
      </c>
      <c r="E12" s="6">
        <f>34.25*0.6*20</f>
        <v>411</v>
      </c>
      <c r="F12" t="s">
        <v>23</v>
      </c>
      <c r="G12">
        <f>16.75*20*0.6</f>
        <v>201</v>
      </c>
      <c r="H12">
        <v>411</v>
      </c>
      <c r="I12" s="3">
        <f t="shared" si="1"/>
        <v>2.044776119402985</v>
      </c>
      <c r="J12" s="3">
        <f t="shared" si="0"/>
        <v>2.044776119402985</v>
      </c>
      <c r="K12" s="4" t="s">
        <v>64</v>
      </c>
      <c r="L12">
        <v>9</v>
      </c>
      <c r="M12" t="s">
        <v>30</v>
      </c>
      <c r="N12" t="s">
        <v>65</v>
      </c>
      <c r="O12" t="s">
        <v>17</v>
      </c>
      <c r="P12" t="s">
        <v>17</v>
      </c>
      <c r="Q12" t="s">
        <v>17</v>
      </c>
      <c r="R12" t="s">
        <v>66</v>
      </c>
      <c r="S12" t="s">
        <v>67</v>
      </c>
    </row>
    <row r="13" spans="1:19" x14ac:dyDescent="0.25">
      <c r="A13" s="1">
        <v>45840</v>
      </c>
      <c r="B13" t="s">
        <v>9</v>
      </c>
      <c r="C13" t="s">
        <v>52</v>
      </c>
      <c r="D13" t="s">
        <v>57</v>
      </c>
      <c r="E13" s="6">
        <f>1.33*20</f>
        <v>26.6</v>
      </c>
      <c r="F13" s="6" t="s">
        <v>22</v>
      </c>
      <c r="G13">
        <v>210</v>
      </c>
      <c r="H13">
        <f>35.75*20</f>
        <v>715</v>
      </c>
      <c r="I13" s="3">
        <f t="shared" si="1"/>
        <v>3.4047619047619047</v>
      </c>
      <c r="J13" s="3">
        <f t="shared" si="0"/>
        <v>0.12666666666666668</v>
      </c>
      <c r="K13" s="5" t="s">
        <v>68</v>
      </c>
      <c r="L13">
        <v>5</v>
      </c>
      <c r="M13" t="s">
        <v>31</v>
      </c>
      <c r="N13" t="s">
        <v>69</v>
      </c>
      <c r="O13" t="s">
        <v>17</v>
      </c>
      <c r="P13" t="s">
        <v>24</v>
      </c>
      <c r="Q13" t="s">
        <v>24</v>
      </c>
      <c r="R13" t="s">
        <v>17</v>
      </c>
      <c r="S13" t="s">
        <v>70</v>
      </c>
    </row>
    <row r="14" spans="1:19" x14ac:dyDescent="0.25">
      <c r="A14" s="1">
        <v>45840</v>
      </c>
      <c r="B14" t="s">
        <v>9</v>
      </c>
      <c r="C14" t="s">
        <v>52</v>
      </c>
      <c r="D14" t="s">
        <v>173</v>
      </c>
      <c r="E14" s="8">
        <f>9*0.8*20*-1</f>
        <v>-144</v>
      </c>
      <c r="F14" t="s">
        <v>23</v>
      </c>
      <c r="G14">
        <v>144</v>
      </c>
      <c r="H14">
        <f>21.75*0.8*20</f>
        <v>348.00000000000006</v>
      </c>
      <c r="I14" s="3">
        <f t="shared" si="1"/>
        <v>2.416666666666667</v>
      </c>
      <c r="J14" s="3">
        <f t="shared" si="0"/>
        <v>-1</v>
      </c>
      <c r="K14" s="4" t="s">
        <v>71</v>
      </c>
      <c r="L14">
        <v>4</v>
      </c>
      <c r="M14" t="s">
        <v>31</v>
      </c>
      <c r="N14" t="s">
        <v>72</v>
      </c>
      <c r="O14" t="s">
        <v>24</v>
      </c>
      <c r="P14" t="s">
        <v>17</v>
      </c>
      <c r="Q14" t="s">
        <v>17</v>
      </c>
      <c r="R14" t="s">
        <v>24</v>
      </c>
      <c r="S14" t="s">
        <v>73</v>
      </c>
    </row>
    <row r="15" spans="1:19" x14ac:dyDescent="0.25">
      <c r="A15" s="1">
        <v>45840</v>
      </c>
      <c r="B15" t="s">
        <v>9</v>
      </c>
      <c r="C15" t="s">
        <v>52</v>
      </c>
      <c r="D15" t="s">
        <v>173</v>
      </c>
      <c r="E15" s="8">
        <f>-1*1.1*15*20</f>
        <v>-330</v>
      </c>
      <c r="F15" t="s">
        <v>23</v>
      </c>
      <c r="G15">
        <v>330</v>
      </c>
      <c r="H15">
        <f>68.5*1.1*20</f>
        <v>1507.0000000000002</v>
      </c>
      <c r="I15" s="3">
        <f t="shared" si="1"/>
        <v>4.5666666666666673</v>
      </c>
      <c r="J15" s="3">
        <f t="shared" si="0"/>
        <v>-1</v>
      </c>
      <c r="K15" s="5" t="s">
        <v>74</v>
      </c>
      <c r="L15">
        <v>2</v>
      </c>
      <c r="M15" t="s">
        <v>31</v>
      </c>
      <c r="N15" t="s">
        <v>75</v>
      </c>
      <c r="O15" t="s">
        <v>24</v>
      </c>
      <c r="P15" t="s">
        <v>17</v>
      </c>
      <c r="Q15" t="s">
        <v>17</v>
      </c>
      <c r="R15" t="s">
        <v>24</v>
      </c>
    </row>
    <row r="16" spans="1:19" x14ac:dyDescent="0.25">
      <c r="A16" s="1">
        <v>45840</v>
      </c>
      <c r="B16" t="s">
        <v>9</v>
      </c>
      <c r="C16" t="s">
        <v>52</v>
      </c>
      <c r="D16" t="s">
        <v>21</v>
      </c>
      <c r="E16" s="8">
        <f>1.1*4*20*-1</f>
        <v>-88</v>
      </c>
      <c r="F16" t="s">
        <v>23</v>
      </c>
      <c r="G16">
        <v>88</v>
      </c>
      <c r="H16">
        <f>68.5*1.1*20</f>
        <v>1507.0000000000002</v>
      </c>
      <c r="I16" s="3">
        <f t="shared" si="1"/>
        <v>17.125000000000004</v>
      </c>
      <c r="J16" s="3">
        <f t="shared" si="0"/>
        <v>-1</v>
      </c>
      <c r="K16" s="4" t="s">
        <v>78</v>
      </c>
      <c r="L16">
        <v>4</v>
      </c>
      <c r="M16" t="s">
        <v>31</v>
      </c>
      <c r="N16" t="s">
        <v>76</v>
      </c>
      <c r="O16" t="s">
        <v>24</v>
      </c>
      <c r="P16" t="s">
        <v>24</v>
      </c>
      <c r="Q16" t="s">
        <v>24</v>
      </c>
      <c r="R16" t="s">
        <v>24</v>
      </c>
      <c r="S16" t="s">
        <v>77</v>
      </c>
    </row>
    <row r="17" spans="1:19" x14ac:dyDescent="0.25">
      <c r="A17" s="1">
        <v>45841</v>
      </c>
      <c r="B17" t="s">
        <v>10</v>
      </c>
      <c r="C17" t="s">
        <v>52</v>
      </c>
      <c r="D17" t="s">
        <v>173</v>
      </c>
      <c r="E17" s="8">
        <f>1.1*8*20*-1</f>
        <v>-176</v>
      </c>
      <c r="F17" t="s">
        <v>23</v>
      </c>
      <c r="G17">
        <v>176</v>
      </c>
      <c r="H17">
        <f>1.1*31*20</f>
        <v>682</v>
      </c>
      <c r="I17" s="3">
        <f t="shared" si="1"/>
        <v>3.875</v>
      </c>
      <c r="J17" s="3">
        <f t="shared" si="0"/>
        <v>-1</v>
      </c>
      <c r="K17" s="4">
        <v>0.4</v>
      </c>
      <c r="L17">
        <v>1</v>
      </c>
      <c r="M17" t="s">
        <v>31</v>
      </c>
      <c r="N17" t="s">
        <v>79</v>
      </c>
      <c r="O17" t="s">
        <v>24</v>
      </c>
      <c r="P17" t="s">
        <v>17</v>
      </c>
      <c r="Q17" t="s">
        <v>17</v>
      </c>
      <c r="R17" t="s">
        <v>24</v>
      </c>
      <c r="S17" t="s">
        <v>80</v>
      </c>
    </row>
    <row r="18" spans="1:19" x14ac:dyDescent="0.25">
      <c r="A18" s="1">
        <v>45845</v>
      </c>
      <c r="B18" t="s">
        <v>7</v>
      </c>
      <c r="C18" t="s">
        <v>52</v>
      </c>
      <c r="D18" t="s">
        <v>173</v>
      </c>
      <c r="E18" s="8">
        <f>-1*1.1*20*6.25</f>
        <v>-137.5</v>
      </c>
      <c r="F18" t="s">
        <v>23</v>
      </c>
      <c r="G18">
        <v>137.5</v>
      </c>
      <c r="H18">
        <f>50.25*1.1*20</f>
        <v>1105.5</v>
      </c>
      <c r="I18" s="3">
        <f t="shared" si="1"/>
        <v>8.0399999999999991</v>
      </c>
      <c r="J18" s="3">
        <f t="shared" si="0"/>
        <v>-1</v>
      </c>
      <c r="K18" s="4" t="s">
        <v>81</v>
      </c>
      <c r="L18">
        <v>2</v>
      </c>
      <c r="M18" t="s">
        <v>31</v>
      </c>
      <c r="N18" t="s">
        <v>82</v>
      </c>
      <c r="O18" t="s">
        <v>17</v>
      </c>
      <c r="P18" t="s">
        <v>17</v>
      </c>
      <c r="Q18" t="s">
        <v>24</v>
      </c>
      <c r="R18" t="s">
        <v>24</v>
      </c>
      <c r="S18" t="s">
        <v>83</v>
      </c>
    </row>
    <row r="19" spans="1:19" x14ac:dyDescent="0.25">
      <c r="A19" s="1">
        <v>45846</v>
      </c>
      <c r="B19" t="s">
        <v>8</v>
      </c>
      <c r="C19" t="s">
        <v>52</v>
      </c>
      <c r="D19" t="s">
        <v>173</v>
      </c>
      <c r="E19" s="8">
        <f>3*20*-1</f>
        <v>-60</v>
      </c>
      <c r="F19" t="s">
        <v>23</v>
      </c>
      <c r="G19">
        <v>60</v>
      </c>
      <c r="H19">
        <f>18.25*20</f>
        <v>365</v>
      </c>
      <c r="I19" s="3" t="e">
        <f>#REF!/H19</f>
        <v>#REF!</v>
      </c>
      <c r="J19" s="3">
        <f>E19/H19</f>
        <v>-0.16438356164383561</v>
      </c>
      <c r="K19" s="4">
        <v>0.66041666666666665</v>
      </c>
      <c r="L19">
        <v>1</v>
      </c>
      <c r="M19" t="s">
        <v>31</v>
      </c>
      <c r="N19" t="s">
        <v>84</v>
      </c>
      <c r="O19" t="s">
        <v>24</v>
      </c>
      <c r="P19" t="s">
        <v>24</v>
      </c>
      <c r="Q19" t="s">
        <v>17</v>
      </c>
      <c r="R19" t="s">
        <v>17</v>
      </c>
      <c r="S19" t="s">
        <v>85</v>
      </c>
    </row>
    <row r="20" spans="1:19" x14ac:dyDescent="0.25">
      <c r="A20" s="1">
        <v>45852</v>
      </c>
      <c r="B20" t="s">
        <v>7</v>
      </c>
      <c r="C20" t="s">
        <v>52</v>
      </c>
      <c r="D20" t="s">
        <v>173</v>
      </c>
      <c r="E20" s="8">
        <f>12.25*0.8*20*-1</f>
        <v>-196</v>
      </c>
      <c r="F20" t="s">
        <v>23</v>
      </c>
      <c r="G20">
        <v>196</v>
      </c>
      <c r="H20">
        <f>42.25*20*0.8</f>
        <v>676</v>
      </c>
      <c r="I20" s="3">
        <f t="shared" si="1"/>
        <v>3.4489795918367347</v>
      </c>
      <c r="J20" s="3">
        <f t="shared" si="0"/>
        <v>-1</v>
      </c>
      <c r="K20" s="4" t="s">
        <v>86</v>
      </c>
      <c r="L20">
        <v>8</v>
      </c>
      <c r="M20" t="s">
        <v>87</v>
      </c>
      <c r="N20" t="s">
        <v>59</v>
      </c>
      <c r="O20" t="s">
        <v>24</v>
      </c>
      <c r="P20" t="s">
        <v>17</v>
      </c>
      <c r="Q20" t="s">
        <v>17</v>
      </c>
      <c r="R20" t="s">
        <v>17</v>
      </c>
      <c r="S20" t="s">
        <v>89</v>
      </c>
    </row>
    <row r="21" spans="1:19" x14ac:dyDescent="0.25">
      <c r="A21" s="1">
        <v>45852</v>
      </c>
      <c r="B21" t="s">
        <v>7</v>
      </c>
      <c r="C21" t="s">
        <v>52</v>
      </c>
      <c r="D21" t="s">
        <v>173</v>
      </c>
      <c r="E21" s="8">
        <f>7.75*20*1.2*-1</f>
        <v>-186</v>
      </c>
      <c r="F21" t="s">
        <v>23</v>
      </c>
      <c r="G21">
        <v>186</v>
      </c>
      <c r="H21">
        <f>43.5*20*1.2</f>
        <v>1044</v>
      </c>
      <c r="I21" s="3">
        <f t="shared" si="1"/>
        <v>5.612903225806452</v>
      </c>
      <c r="J21" s="3">
        <f t="shared" si="0"/>
        <v>-1</v>
      </c>
      <c r="K21" s="4" t="s">
        <v>88</v>
      </c>
      <c r="L21">
        <v>3</v>
      </c>
      <c r="M21" t="s">
        <v>30</v>
      </c>
      <c r="N21" t="s">
        <v>59</v>
      </c>
      <c r="O21" t="s">
        <v>24</v>
      </c>
      <c r="P21" t="s">
        <v>24</v>
      </c>
      <c r="Q21" t="s">
        <v>17</v>
      </c>
      <c r="R21" t="s">
        <v>24</v>
      </c>
      <c r="S21" t="s">
        <v>90</v>
      </c>
    </row>
    <row r="22" spans="1:19" x14ac:dyDescent="0.25">
      <c r="A22" s="1">
        <v>45853</v>
      </c>
      <c r="B22" t="s">
        <v>8</v>
      </c>
      <c r="C22" t="s">
        <v>91</v>
      </c>
      <c r="D22" t="s">
        <v>92</v>
      </c>
      <c r="E22" s="6">
        <f>9.5*50</f>
        <v>475</v>
      </c>
      <c r="F22" t="s">
        <v>23</v>
      </c>
      <c r="G22">
        <f>1.5*50</f>
        <v>75</v>
      </c>
      <c r="H22">
        <v>625</v>
      </c>
      <c r="I22" s="3">
        <f t="shared" si="1"/>
        <v>8.3333333333333339</v>
      </c>
      <c r="J22" s="3">
        <f t="shared" si="0"/>
        <v>6.333333333333333</v>
      </c>
      <c r="K22" s="4" t="s">
        <v>93</v>
      </c>
      <c r="L22">
        <v>20</v>
      </c>
      <c r="M22" t="s">
        <v>31</v>
      </c>
      <c r="N22" t="s">
        <v>59</v>
      </c>
      <c r="O22" t="s">
        <v>17</v>
      </c>
      <c r="P22" t="s">
        <v>24</v>
      </c>
      <c r="Q22" t="s">
        <v>24</v>
      </c>
      <c r="R22" t="s">
        <v>17</v>
      </c>
      <c r="S22" t="s">
        <v>94</v>
      </c>
    </row>
    <row r="23" spans="1:19" x14ac:dyDescent="0.25">
      <c r="A23" s="1">
        <v>45854</v>
      </c>
      <c r="B23" t="s">
        <v>9</v>
      </c>
      <c r="C23" t="s">
        <v>52</v>
      </c>
      <c r="D23" t="s">
        <v>148</v>
      </c>
      <c r="E23" s="6">
        <f>43.5*0.7*20 +23.5*20*0.7</f>
        <v>938</v>
      </c>
      <c r="F23" t="s">
        <v>23</v>
      </c>
      <c r="G23">
        <f>10.25*0.7*20</f>
        <v>143.5</v>
      </c>
      <c r="H23">
        <f>0.7*20*44.5</f>
        <v>623</v>
      </c>
      <c r="I23" s="3">
        <f t="shared" si="1"/>
        <v>4.3414634146341466</v>
      </c>
      <c r="J23" s="3">
        <f t="shared" si="0"/>
        <v>6.5365853658536581</v>
      </c>
      <c r="K23" s="4" t="s">
        <v>95</v>
      </c>
      <c r="L23">
        <v>12</v>
      </c>
      <c r="M23" t="s">
        <v>30</v>
      </c>
      <c r="N23" t="s">
        <v>96</v>
      </c>
      <c r="O23" t="s">
        <v>17</v>
      </c>
      <c r="P23" t="s">
        <v>24</v>
      </c>
      <c r="Q23" t="s">
        <v>17</v>
      </c>
      <c r="R23" t="s">
        <v>17</v>
      </c>
      <c r="S23" t="s">
        <v>97</v>
      </c>
    </row>
    <row r="24" spans="1:19" x14ac:dyDescent="0.25">
      <c r="A24" s="1">
        <v>45855</v>
      </c>
      <c r="B24" t="s">
        <v>10</v>
      </c>
      <c r="C24" t="s">
        <v>52</v>
      </c>
      <c r="D24" t="s">
        <v>21</v>
      </c>
      <c r="E24" s="8">
        <f>0.9*20*1.5*-1</f>
        <v>-27</v>
      </c>
      <c r="F24" s="6" t="s">
        <v>22</v>
      </c>
      <c r="G24">
        <v>27</v>
      </c>
      <c r="H24">
        <f>0.9*20*30</f>
        <v>540</v>
      </c>
      <c r="I24" s="3">
        <f t="shared" si="1"/>
        <v>20</v>
      </c>
      <c r="J24" s="3">
        <f t="shared" si="0"/>
        <v>-1</v>
      </c>
      <c r="K24" s="4" t="s">
        <v>98</v>
      </c>
      <c r="L24">
        <v>2</v>
      </c>
      <c r="M24" t="s">
        <v>30</v>
      </c>
      <c r="N24" t="s">
        <v>59</v>
      </c>
      <c r="O24" t="s">
        <v>17</v>
      </c>
      <c r="P24" t="s">
        <v>24</v>
      </c>
      <c r="Q24" t="s">
        <v>17</v>
      </c>
      <c r="R24" t="s">
        <v>17</v>
      </c>
      <c r="S24" t="s">
        <v>99</v>
      </c>
    </row>
    <row r="25" spans="1:19" x14ac:dyDescent="0.25">
      <c r="A25" s="1">
        <v>45855</v>
      </c>
      <c r="B25" t="s">
        <v>10</v>
      </c>
      <c r="C25" t="s">
        <v>52</v>
      </c>
      <c r="D25" t="s">
        <v>148</v>
      </c>
      <c r="E25" s="6">
        <f>0.9*20*54.75+0.3*20*25.75</f>
        <v>1140</v>
      </c>
      <c r="F25" t="s">
        <v>23</v>
      </c>
      <c r="G25">
        <f>1.2*20*6.25</f>
        <v>150</v>
      </c>
      <c r="H25">
        <f>1.2*20*54.75</f>
        <v>1314</v>
      </c>
      <c r="I25" s="3">
        <f t="shared" si="1"/>
        <v>8.76</v>
      </c>
      <c r="J25" s="3">
        <f t="shared" si="0"/>
        <v>7.6</v>
      </c>
      <c r="K25" s="4" t="s">
        <v>100</v>
      </c>
      <c r="L25">
        <v>22</v>
      </c>
      <c r="M25" t="s">
        <v>30</v>
      </c>
      <c r="N25" t="s">
        <v>59</v>
      </c>
      <c r="O25" t="s">
        <v>17</v>
      </c>
      <c r="P25" t="s">
        <v>24</v>
      </c>
      <c r="Q25" t="s">
        <v>24</v>
      </c>
      <c r="R25" t="s">
        <v>17</v>
      </c>
      <c r="S25" t="s">
        <v>101</v>
      </c>
    </row>
    <row r="26" spans="1:19" x14ac:dyDescent="0.25">
      <c r="A26" s="1">
        <v>45856</v>
      </c>
      <c r="B26" t="s">
        <v>11</v>
      </c>
      <c r="C26" t="s">
        <v>52</v>
      </c>
      <c r="D26" t="s">
        <v>21</v>
      </c>
      <c r="E26" s="8">
        <f>-1*0.6*9*20 +-1*0.3*20*15.25</f>
        <v>-199.5</v>
      </c>
      <c r="F26" t="s">
        <v>23</v>
      </c>
      <c r="G26">
        <f>0.6*20*21.5</f>
        <v>258</v>
      </c>
      <c r="H26">
        <f>66.25*0.6*20</f>
        <v>795</v>
      </c>
      <c r="I26" s="3">
        <f t="shared" si="1"/>
        <v>3.0813953488372094</v>
      </c>
      <c r="J26" s="3">
        <f t="shared" si="0"/>
        <v>-0.77325581395348841</v>
      </c>
      <c r="K26" s="4" t="s">
        <v>102</v>
      </c>
      <c r="L26">
        <v>12</v>
      </c>
      <c r="M26" t="s">
        <v>30</v>
      </c>
      <c r="N26" t="s">
        <v>96</v>
      </c>
      <c r="O26" t="s">
        <v>17</v>
      </c>
      <c r="P26" t="s">
        <v>24</v>
      </c>
      <c r="Q26" t="s">
        <v>24</v>
      </c>
      <c r="R26" t="s">
        <v>17</v>
      </c>
      <c r="S26" t="s">
        <v>103</v>
      </c>
    </row>
    <row r="27" spans="1:19" x14ac:dyDescent="0.25">
      <c r="A27" s="1">
        <v>45859</v>
      </c>
      <c r="B27" t="s">
        <v>7</v>
      </c>
      <c r="C27" t="s">
        <v>52</v>
      </c>
      <c r="D27" t="s">
        <v>148</v>
      </c>
      <c r="E27" s="6">
        <f>58.5*20*0.7</f>
        <v>819</v>
      </c>
      <c r="F27" s="6" t="s">
        <v>22</v>
      </c>
      <c r="G27">
        <f>8*20*0.7</f>
        <v>112</v>
      </c>
      <c r="H27">
        <f>57.5*20*0.7</f>
        <v>805</v>
      </c>
      <c r="I27" s="3">
        <f t="shared" si="1"/>
        <v>7.1875</v>
      </c>
      <c r="J27" s="3">
        <f t="shared" si="0"/>
        <v>7.3125</v>
      </c>
      <c r="K27" s="4" t="s">
        <v>104</v>
      </c>
      <c r="L27">
        <v>15</v>
      </c>
      <c r="M27" t="s">
        <v>30</v>
      </c>
      <c r="N27" t="s">
        <v>105</v>
      </c>
      <c r="O27" t="s">
        <v>17</v>
      </c>
      <c r="P27" t="s">
        <v>24</v>
      </c>
      <c r="Q27" t="s">
        <v>24</v>
      </c>
      <c r="R27" t="s">
        <v>17</v>
      </c>
      <c r="S27" t="s">
        <v>106</v>
      </c>
    </row>
    <row r="28" spans="1:19" x14ac:dyDescent="0.25">
      <c r="A28" s="1">
        <v>45859</v>
      </c>
      <c r="B28" t="s">
        <v>7</v>
      </c>
      <c r="C28" t="s">
        <v>52</v>
      </c>
      <c r="D28" t="s">
        <v>173</v>
      </c>
      <c r="E28" s="8">
        <f>-1*11.75*0.7*20</f>
        <v>-164.5</v>
      </c>
      <c r="F28" s="6" t="s">
        <v>22</v>
      </c>
      <c r="G28">
        <v>164.5</v>
      </c>
      <c r="H28">
        <v>560</v>
      </c>
      <c r="I28" s="3">
        <f t="shared" si="1"/>
        <v>3.4042553191489362</v>
      </c>
      <c r="J28" s="3">
        <f>E28/G28</f>
        <v>-1</v>
      </c>
      <c r="K28" s="4" t="s">
        <v>107</v>
      </c>
      <c r="L28">
        <v>2</v>
      </c>
      <c r="M28" t="s">
        <v>31</v>
      </c>
      <c r="N28" t="s">
        <v>75</v>
      </c>
      <c r="O28" t="s">
        <v>17</v>
      </c>
      <c r="P28" t="s">
        <v>17</v>
      </c>
      <c r="Q28" t="s">
        <v>17</v>
      </c>
      <c r="R28" t="s">
        <v>24</v>
      </c>
      <c r="S28" t="s">
        <v>108</v>
      </c>
    </row>
    <row r="29" spans="1:19" x14ac:dyDescent="0.25">
      <c r="A29" s="1">
        <v>45860</v>
      </c>
      <c r="B29" t="s">
        <v>8</v>
      </c>
      <c r="C29" t="s">
        <v>52</v>
      </c>
      <c r="D29" t="s">
        <v>173</v>
      </c>
      <c r="E29" s="8">
        <f>-1*12*0.9*20</f>
        <v>-216</v>
      </c>
      <c r="F29" t="s">
        <v>23</v>
      </c>
      <c r="G29">
        <v>216</v>
      </c>
      <c r="H29">
        <f>0.9*68*20</f>
        <v>1224</v>
      </c>
      <c r="I29" s="3">
        <f t="shared" si="1"/>
        <v>5.666666666666667</v>
      </c>
      <c r="J29" s="3">
        <f>E29/G29</f>
        <v>-1</v>
      </c>
      <c r="K29" s="4" t="s">
        <v>109</v>
      </c>
      <c r="L29">
        <v>14</v>
      </c>
      <c r="M29" t="s">
        <v>31</v>
      </c>
      <c r="N29" t="s">
        <v>75</v>
      </c>
      <c r="O29" t="s">
        <v>17</v>
      </c>
      <c r="P29" t="s">
        <v>110</v>
      </c>
      <c r="Q29" t="s">
        <v>110</v>
      </c>
      <c r="R29" t="s">
        <v>111</v>
      </c>
      <c r="S29" t="s">
        <v>112</v>
      </c>
    </row>
    <row r="30" spans="1:19" x14ac:dyDescent="0.25">
      <c r="A30" s="1">
        <v>45860</v>
      </c>
      <c r="B30" t="s">
        <v>8</v>
      </c>
      <c r="C30" t="s">
        <v>52</v>
      </c>
      <c r="D30" t="s">
        <v>173</v>
      </c>
      <c r="E30" s="8">
        <f>-1*0.9*20*9.25</f>
        <v>-166.5</v>
      </c>
      <c r="F30" s="6" t="s">
        <v>22</v>
      </c>
      <c r="G30">
        <v>166.5</v>
      </c>
      <c r="H30">
        <v>900</v>
      </c>
      <c r="I30" s="3">
        <f>H30/G30</f>
        <v>5.4054054054054053</v>
      </c>
      <c r="J30" s="3">
        <f t="shared" si="0"/>
        <v>-1</v>
      </c>
      <c r="K30" s="4">
        <v>0.36319444444444443</v>
      </c>
      <c r="L30">
        <v>1</v>
      </c>
      <c r="M30" t="s">
        <v>31</v>
      </c>
      <c r="N30" t="s">
        <v>59</v>
      </c>
      <c r="O30" t="s">
        <v>111</v>
      </c>
      <c r="P30" t="s">
        <v>113</v>
      </c>
      <c r="Q30" t="s">
        <v>113</v>
      </c>
      <c r="R30" t="s">
        <v>114</v>
      </c>
      <c r="S30" t="s">
        <v>115</v>
      </c>
    </row>
    <row r="31" spans="1:19" x14ac:dyDescent="0.25">
      <c r="A31" s="1">
        <v>45861</v>
      </c>
      <c r="B31" t="s">
        <v>9</v>
      </c>
      <c r="C31" t="s">
        <v>52</v>
      </c>
      <c r="D31" t="s">
        <v>28</v>
      </c>
      <c r="E31" s="6">
        <f>6.33*20*0.9</f>
        <v>113.94</v>
      </c>
      <c r="F31" t="s">
        <v>23</v>
      </c>
      <c r="G31">
        <f>2.25*20*0.9</f>
        <v>40.5</v>
      </c>
      <c r="H31">
        <f>105.5*20*0.9</f>
        <v>1899</v>
      </c>
      <c r="I31" s="3">
        <f>H31/G31</f>
        <v>46.888888888888886</v>
      </c>
      <c r="J31" s="3">
        <f t="shared" si="0"/>
        <v>2.8133333333333335</v>
      </c>
      <c r="K31" s="4" t="s">
        <v>118</v>
      </c>
      <c r="L31">
        <v>2</v>
      </c>
      <c r="M31" t="s">
        <v>119</v>
      </c>
      <c r="N31" t="s">
        <v>116</v>
      </c>
      <c r="O31" t="s">
        <v>17</v>
      </c>
      <c r="P31" t="s">
        <v>24</v>
      </c>
      <c r="Q31" t="s">
        <v>17</v>
      </c>
      <c r="R31" t="s">
        <v>17</v>
      </c>
      <c r="S31" t="s">
        <v>120</v>
      </c>
    </row>
    <row r="32" spans="1:19" x14ac:dyDescent="0.25">
      <c r="A32" s="1">
        <v>45861</v>
      </c>
      <c r="B32" t="s">
        <v>9</v>
      </c>
      <c r="C32" t="s">
        <v>52</v>
      </c>
      <c r="D32" t="s">
        <v>148</v>
      </c>
      <c r="E32" s="6">
        <f>0.8*20*52.42+0.4*0.92*20</f>
        <v>846.08</v>
      </c>
      <c r="F32" t="s">
        <v>23</v>
      </c>
      <c r="G32">
        <f>0.8*20*4.25</f>
        <v>68</v>
      </c>
      <c r="H32">
        <f>47.5*0.8*20</f>
        <v>760</v>
      </c>
      <c r="I32" s="3">
        <f t="shared" si="1"/>
        <v>11.176470588235293</v>
      </c>
      <c r="J32" s="3">
        <f t="shared" si="0"/>
        <v>12.442352941176472</v>
      </c>
      <c r="K32" s="4" t="s">
        <v>121</v>
      </c>
      <c r="L32">
        <v>5</v>
      </c>
      <c r="M32" t="s">
        <v>30</v>
      </c>
      <c r="N32" t="s">
        <v>117</v>
      </c>
      <c r="O32" t="s">
        <v>17</v>
      </c>
      <c r="P32" t="s">
        <v>24</v>
      </c>
      <c r="Q32" t="s">
        <v>24</v>
      </c>
      <c r="R32" t="s">
        <v>17</v>
      </c>
      <c r="S32" t="s">
        <v>122</v>
      </c>
    </row>
    <row r="33" spans="1:19" x14ac:dyDescent="0.25">
      <c r="A33" s="1">
        <v>45863</v>
      </c>
      <c r="B33" t="s">
        <v>11</v>
      </c>
      <c r="C33" t="s">
        <v>52</v>
      </c>
      <c r="D33" t="s">
        <v>173</v>
      </c>
      <c r="E33" s="8">
        <f>0.8*-1*8.5*20 + -1*0.8*20*3</f>
        <v>-184</v>
      </c>
      <c r="F33" t="s">
        <v>23</v>
      </c>
      <c r="G33">
        <v>184</v>
      </c>
      <c r="H33">
        <v>700</v>
      </c>
      <c r="I33" s="3">
        <f t="shared" si="1"/>
        <v>3.8043478260869565</v>
      </c>
      <c r="J33" s="3">
        <f t="shared" si="0"/>
        <v>-1</v>
      </c>
      <c r="K33" s="4" t="s">
        <v>124</v>
      </c>
      <c r="L33">
        <v>1</v>
      </c>
      <c r="M33" t="s">
        <v>31</v>
      </c>
      <c r="N33" t="s">
        <v>45</v>
      </c>
      <c r="O33" t="s">
        <v>24</v>
      </c>
      <c r="P33" t="s">
        <v>17</v>
      </c>
      <c r="Q33" t="s">
        <v>24</v>
      </c>
      <c r="R33" t="s">
        <v>24</v>
      </c>
    </row>
    <row r="34" spans="1:19" x14ac:dyDescent="0.25">
      <c r="A34" s="1">
        <v>45863</v>
      </c>
      <c r="B34" t="s">
        <v>11</v>
      </c>
      <c r="C34" t="s">
        <v>52</v>
      </c>
      <c r="D34" t="s">
        <v>21</v>
      </c>
      <c r="E34" s="8">
        <f>-1*0.7*20*3.5</f>
        <v>-49</v>
      </c>
      <c r="F34" t="s">
        <v>23</v>
      </c>
      <c r="G34">
        <v>49</v>
      </c>
      <c r="H34">
        <v>700</v>
      </c>
      <c r="I34" s="3">
        <f t="shared" si="1"/>
        <v>14.285714285714286</v>
      </c>
      <c r="J34" s="3">
        <f t="shared" si="0"/>
        <v>-1</v>
      </c>
      <c r="K34" s="4" t="s">
        <v>125</v>
      </c>
      <c r="L34">
        <v>2</v>
      </c>
      <c r="M34" t="s">
        <v>31</v>
      </c>
      <c r="N34" t="s">
        <v>123</v>
      </c>
      <c r="O34" t="s">
        <v>24</v>
      </c>
      <c r="P34" t="s">
        <v>24</v>
      </c>
      <c r="Q34" t="s">
        <v>24</v>
      </c>
      <c r="R34" t="s">
        <v>24</v>
      </c>
      <c r="S34" t="s">
        <v>126</v>
      </c>
    </row>
    <row r="35" spans="1:19" x14ac:dyDescent="0.25">
      <c r="A35" s="1">
        <v>45867</v>
      </c>
      <c r="B35" t="s">
        <v>7</v>
      </c>
      <c r="C35" t="s">
        <v>52</v>
      </c>
      <c r="D35" t="s">
        <v>148</v>
      </c>
      <c r="E35" s="6">
        <f>0.9*38.25*20</f>
        <v>688.50000000000011</v>
      </c>
      <c r="F35" t="s">
        <v>23</v>
      </c>
      <c r="G35">
        <f>5.25*20*0.9</f>
        <v>94.5</v>
      </c>
      <c r="H35">
        <v>688.5</v>
      </c>
      <c r="I35" s="3">
        <f t="shared" si="1"/>
        <v>7.2857142857142856</v>
      </c>
      <c r="J35" s="3">
        <f t="shared" si="0"/>
        <v>7.2857142857142865</v>
      </c>
      <c r="K35" s="4" t="s">
        <v>127</v>
      </c>
      <c r="L35">
        <v>5</v>
      </c>
      <c r="M35" t="s">
        <v>30</v>
      </c>
      <c r="N35" t="s">
        <v>128</v>
      </c>
      <c r="O35" t="s">
        <v>17</v>
      </c>
      <c r="P35" t="s">
        <v>24</v>
      </c>
      <c r="Q35" t="s">
        <v>24</v>
      </c>
      <c r="R35" t="s">
        <v>17</v>
      </c>
      <c r="S35" t="s">
        <v>129</v>
      </c>
    </row>
    <row r="36" spans="1:19" x14ac:dyDescent="0.25">
      <c r="A36" s="1">
        <v>45867</v>
      </c>
      <c r="B36" t="s">
        <v>7</v>
      </c>
      <c r="C36" t="s">
        <v>53</v>
      </c>
      <c r="D36" t="s">
        <v>57</v>
      </c>
      <c r="E36" s="6">
        <v>0</v>
      </c>
      <c r="F36" t="s">
        <v>23</v>
      </c>
      <c r="G36">
        <v>50</v>
      </c>
      <c r="H36">
        <v>300</v>
      </c>
      <c r="I36" s="3">
        <f>H36/G36</f>
        <v>6</v>
      </c>
      <c r="J36" s="3">
        <f t="shared" si="0"/>
        <v>0</v>
      </c>
      <c r="K36" s="4" t="s">
        <v>130</v>
      </c>
      <c r="L36">
        <v>2</v>
      </c>
      <c r="M36" t="s">
        <v>31</v>
      </c>
      <c r="N36" t="s">
        <v>75</v>
      </c>
      <c r="O36" t="s">
        <v>17</v>
      </c>
      <c r="P36" t="s">
        <v>17</v>
      </c>
      <c r="Q36" t="s">
        <v>17</v>
      </c>
      <c r="R36" t="s">
        <v>24</v>
      </c>
      <c r="S36" t="s">
        <v>131</v>
      </c>
    </row>
    <row r="37" spans="1:19" x14ac:dyDescent="0.25">
      <c r="A37" s="1">
        <v>45868</v>
      </c>
      <c r="B37" t="s">
        <v>8</v>
      </c>
      <c r="C37" t="s">
        <v>52</v>
      </c>
      <c r="D37" t="s">
        <v>148</v>
      </c>
      <c r="E37" s="6">
        <f>1.4*20*29</f>
        <v>812</v>
      </c>
      <c r="F37" t="s">
        <v>23</v>
      </c>
      <c r="G37">
        <f>1.4*20*6.25</f>
        <v>175</v>
      </c>
      <c r="H37">
        <v>812</v>
      </c>
      <c r="I37" s="3">
        <f>H37/G37</f>
        <v>4.6399999999999997</v>
      </c>
      <c r="J37" s="3">
        <f t="shared" si="0"/>
        <v>4.6399999999999997</v>
      </c>
      <c r="K37" s="2" t="s">
        <v>132</v>
      </c>
      <c r="L37">
        <v>4</v>
      </c>
      <c r="M37" t="s">
        <v>30</v>
      </c>
      <c r="N37" t="s">
        <v>134</v>
      </c>
      <c r="O37" t="s">
        <v>17</v>
      </c>
      <c r="P37" t="s">
        <v>24</v>
      </c>
      <c r="Q37" t="s">
        <v>24</v>
      </c>
      <c r="R37" t="s">
        <v>17</v>
      </c>
      <c r="S37" t="s">
        <v>133</v>
      </c>
    </row>
    <row r="38" spans="1:19" x14ac:dyDescent="0.25">
      <c r="A38" s="1">
        <v>45868</v>
      </c>
      <c r="B38" t="s">
        <v>8</v>
      </c>
      <c r="C38" t="s">
        <v>91</v>
      </c>
      <c r="D38" t="s">
        <v>57</v>
      </c>
      <c r="E38" s="6">
        <v>0</v>
      </c>
      <c r="F38" s="6" t="s">
        <v>22</v>
      </c>
      <c r="G38">
        <v>100</v>
      </c>
      <c r="H38">
        <v>400</v>
      </c>
      <c r="I38" s="3">
        <f t="shared" si="1"/>
        <v>4</v>
      </c>
      <c r="J38" s="3">
        <f t="shared" si="0"/>
        <v>0</v>
      </c>
      <c r="K38" s="4" t="s">
        <v>136</v>
      </c>
      <c r="L38">
        <v>3</v>
      </c>
      <c r="M38" t="s">
        <v>30</v>
      </c>
      <c r="N38" t="s">
        <v>135</v>
      </c>
      <c r="O38" t="s">
        <v>24</v>
      </c>
      <c r="P38" t="s">
        <v>24</v>
      </c>
      <c r="Q38" t="s">
        <v>24</v>
      </c>
      <c r="R38" t="s">
        <v>17</v>
      </c>
      <c r="S38" t="s">
        <v>137</v>
      </c>
    </row>
    <row r="39" spans="1:19" x14ac:dyDescent="0.25">
      <c r="A39" s="1">
        <v>45870</v>
      </c>
      <c r="B39" t="s">
        <v>11</v>
      </c>
      <c r="C39" t="s">
        <v>52</v>
      </c>
      <c r="D39" t="s">
        <v>21</v>
      </c>
      <c r="E39" s="8">
        <f>0.8*20*8.25*-1</f>
        <v>-132</v>
      </c>
      <c r="F39" t="s">
        <v>23</v>
      </c>
      <c r="G39" t="s">
        <v>138</v>
      </c>
      <c r="H39">
        <f>0.8*20*64.5</f>
        <v>1032</v>
      </c>
      <c r="I39" s="3" t="s">
        <v>138</v>
      </c>
      <c r="J39" s="3">
        <v>0</v>
      </c>
      <c r="K39" s="4" t="s">
        <v>139</v>
      </c>
      <c r="L39">
        <v>2</v>
      </c>
      <c r="M39" t="s">
        <v>31</v>
      </c>
      <c r="N39" t="s">
        <v>140</v>
      </c>
      <c r="O39" t="s">
        <v>17</v>
      </c>
      <c r="P39" t="s">
        <v>17</v>
      </c>
      <c r="Q39" t="s">
        <v>17</v>
      </c>
      <c r="R39" t="s">
        <v>17</v>
      </c>
      <c r="S39" t="s">
        <v>141</v>
      </c>
    </row>
    <row r="40" spans="1:19" x14ac:dyDescent="0.25">
      <c r="A40" s="1">
        <v>45870</v>
      </c>
      <c r="B40" t="s">
        <v>11</v>
      </c>
      <c r="C40" t="s">
        <v>52</v>
      </c>
      <c r="D40" t="s">
        <v>28</v>
      </c>
      <c r="E40" s="6">
        <f>26.62*20*0.8</f>
        <v>425.92</v>
      </c>
      <c r="F40" t="s">
        <v>23</v>
      </c>
      <c r="G40" t="s">
        <v>138</v>
      </c>
      <c r="H40">
        <v>425.92</v>
      </c>
      <c r="I40" s="3" t="s">
        <v>138</v>
      </c>
      <c r="J40">
        <v>0</v>
      </c>
      <c r="K40" s="4" t="s">
        <v>132</v>
      </c>
      <c r="L40">
        <v>4</v>
      </c>
      <c r="M40" t="s">
        <v>31</v>
      </c>
      <c r="N40" t="s">
        <v>142</v>
      </c>
      <c r="O40" t="s">
        <v>17</v>
      </c>
      <c r="P40" t="s">
        <v>17</v>
      </c>
      <c r="Q40" t="s">
        <v>17</v>
      </c>
      <c r="R40" t="s">
        <v>17</v>
      </c>
      <c r="S40" t="s">
        <v>143</v>
      </c>
    </row>
    <row r="41" spans="1:19" x14ac:dyDescent="0.25">
      <c r="A41" s="1">
        <v>45870</v>
      </c>
      <c r="B41" t="s">
        <v>11</v>
      </c>
      <c r="C41" t="s">
        <v>52</v>
      </c>
      <c r="D41" t="s">
        <v>28</v>
      </c>
      <c r="E41" s="6">
        <f>0.6*20*(99.25-56.5)</f>
        <v>513</v>
      </c>
      <c r="F41" t="s">
        <v>23</v>
      </c>
      <c r="G41">
        <f>0.6*20*13.75</f>
        <v>165</v>
      </c>
      <c r="H41">
        <v>513</v>
      </c>
      <c r="I41" s="3">
        <f t="shared" si="1"/>
        <v>3.1090909090909089</v>
      </c>
      <c r="J41" s="3">
        <f t="shared" si="0"/>
        <v>3.1090909090909089</v>
      </c>
      <c r="K41" s="2" t="s">
        <v>144</v>
      </c>
      <c r="L41">
        <v>9</v>
      </c>
      <c r="M41" t="s">
        <v>30</v>
      </c>
      <c r="N41" t="s">
        <v>59</v>
      </c>
      <c r="O41" t="s">
        <v>17</v>
      </c>
      <c r="P41" t="s">
        <v>24</v>
      </c>
      <c r="Q41" t="s">
        <v>24</v>
      </c>
      <c r="R41" t="s">
        <v>17</v>
      </c>
      <c r="S41" t="s">
        <v>145</v>
      </c>
    </row>
    <row r="42" spans="1:19" x14ac:dyDescent="0.25">
      <c r="A42" s="1">
        <v>45870</v>
      </c>
      <c r="B42" t="s">
        <v>11</v>
      </c>
      <c r="C42" t="s">
        <v>52</v>
      </c>
      <c r="D42" t="s">
        <v>28</v>
      </c>
      <c r="E42" s="6">
        <f>19.25*0.8*20</f>
        <v>308</v>
      </c>
      <c r="F42" t="s">
        <v>23</v>
      </c>
      <c r="G42">
        <f>0.6*20*17.5</f>
        <v>210</v>
      </c>
      <c r="H42">
        <f>60*0.6*20</f>
        <v>720</v>
      </c>
      <c r="I42" s="3">
        <f t="shared" si="1"/>
        <v>3.4285714285714284</v>
      </c>
      <c r="J42" s="3">
        <f t="shared" si="0"/>
        <v>1.4666666666666666</v>
      </c>
      <c r="K42" s="4" t="s">
        <v>146</v>
      </c>
      <c r="L42">
        <v>4</v>
      </c>
      <c r="M42" t="s">
        <v>30</v>
      </c>
      <c r="N42" t="s">
        <v>59</v>
      </c>
      <c r="O42" t="s">
        <v>17</v>
      </c>
      <c r="P42" t="s">
        <v>24</v>
      </c>
      <c r="Q42" t="s">
        <v>17</v>
      </c>
      <c r="R42" t="s">
        <v>17</v>
      </c>
      <c r="S42" t="s">
        <v>147</v>
      </c>
    </row>
    <row r="43" spans="1:19" x14ac:dyDescent="0.25">
      <c r="A43" s="1">
        <v>45873</v>
      </c>
      <c r="B43" t="s">
        <v>7</v>
      </c>
      <c r="C43" t="s">
        <v>52</v>
      </c>
      <c r="D43" t="s">
        <v>148</v>
      </c>
      <c r="E43" s="6">
        <f>0.9*20*61.5</f>
        <v>1107</v>
      </c>
      <c r="F43" s="6" t="s">
        <v>22</v>
      </c>
      <c r="G43">
        <f>9.5*20*0.9</f>
        <v>171</v>
      </c>
      <c r="H43">
        <v>1107</v>
      </c>
      <c r="I43" s="3">
        <f t="shared" si="1"/>
        <v>6.4736842105263159</v>
      </c>
      <c r="J43" s="3">
        <f t="shared" si="0"/>
        <v>6.4736842105263159</v>
      </c>
      <c r="K43" s="4" t="s">
        <v>149</v>
      </c>
      <c r="L43">
        <v>6</v>
      </c>
      <c r="M43" t="s">
        <v>31</v>
      </c>
      <c r="N43" t="s">
        <v>150</v>
      </c>
      <c r="O43" t="s">
        <v>17</v>
      </c>
      <c r="P43" t="s">
        <v>24</v>
      </c>
      <c r="Q43" t="s">
        <v>24</v>
      </c>
      <c r="R43" t="s">
        <v>17</v>
      </c>
      <c r="S43" t="s">
        <v>151</v>
      </c>
    </row>
    <row r="44" spans="1:19" x14ac:dyDescent="0.25">
      <c r="A44" s="1">
        <v>45874</v>
      </c>
      <c r="B44" t="s">
        <v>8</v>
      </c>
      <c r="C44" t="s">
        <v>52</v>
      </c>
      <c r="D44" t="s">
        <v>175</v>
      </c>
      <c r="E44" s="8">
        <v>-310.5</v>
      </c>
      <c r="F44" t="s">
        <v>23</v>
      </c>
      <c r="G44">
        <f>0.9*20*17.25</f>
        <v>310.5</v>
      </c>
      <c r="H44">
        <v>1000</v>
      </c>
      <c r="I44" s="3">
        <f t="shared" si="1"/>
        <v>3.2206119162640903</v>
      </c>
      <c r="J44" s="3">
        <f t="shared" si="0"/>
        <v>-1</v>
      </c>
      <c r="K44" s="4" t="s">
        <v>152</v>
      </c>
      <c r="L44">
        <v>5</v>
      </c>
      <c r="M44" t="s">
        <v>31</v>
      </c>
      <c r="N44" t="s">
        <v>75</v>
      </c>
      <c r="O44" t="s">
        <v>24</v>
      </c>
      <c r="P44" t="s">
        <v>17</v>
      </c>
      <c r="Q44" t="s">
        <v>17</v>
      </c>
      <c r="R44" t="s">
        <v>111</v>
      </c>
    </row>
    <row r="45" spans="1:19" x14ac:dyDescent="0.25">
      <c r="A45" s="1">
        <v>45874</v>
      </c>
      <c r="B45" t="s">
        <v>8</v>
      </c>
      <c r="C45" t="s">
        <v>52</v>
      </c>
      <c r="D45" t="s">
        <v>21</v>
      </c>
      <c r="E45" s="8">
        <v>-67.5</v>
      </c>
      <c r="F45" s="6" t="s">
        <v>22</v>
      </c>
      <c r="G45">
        <f>3.75*0.9*20</f>
        <v>67.5</v>
      </c>
      <c r="H45">
        <v>720</v>
      </c>
      <c r="I45" s="3">
        <f t="shared" si="1"/>
        <v>10.666666666666666</v>
      </c>
      <c r="J45" s="3">
        <f t="shared" si="0"/>
        <v>-1</v>
      </c>
      <c r="K45" s="2">
        <v>0.37152777777777779</v>
      </c>
      <c r="L45">
        <v>1</v>
      </c>
      <c r="M45" t="s">
        <v>31</v>
      </c>
      <c r="N45" t="s">
        <v>75</v>
      </c>
      <c r="O45" t="s">
        <v>24</v>
      </c>
      <c r="P45" t="s">
        <v>17</v>
      </c>
      <c r="Q45" t="s">
        <v>17</v>
      </c>
      <c r="R45" t="s">
        <v>111</v>
      </c>
      <c r="S45" t="s">
        <v>165</v>
      </c>
    </row>
    <row r="46" spans="1:19" x14ac:dyDescent="0.25">
      <c r="A46" s="1">
        <v>45875</v>
      </c>
      <c r="B46" t="s">
        <v>9</v>
      </c>
      <c r="C46" t="s">
        <v>52</v>
      </c>
      <c r="D46" t="s">
        <v>175</v>
      </c>
      <c r="E46" s="8">
        <v>-898</v>
      </c>
      <c r="F46" t="s">
        <v>23</v>
      </c>
      <c r="G46">
        <v>900</v>
      </c>
      <c r="H46">
        <v>1000</v>
      </c>
      <c r="I46" s="3">
        <f t="shared" si="1"/>
        <v>1.1111111111111112</v>
      </c>
      <c r="J46" s="3">
        <f t="shared" si="0"/>
        <v>-0.99777777777777776</v>
      </c>
      <c r="K46" s="4" t="s">
        <v>153</v>
      </c>
      <c r="L46">
        <v>5</v>
      </c>
      <c r="M46" t="s">
        <v>31</v>
      </c>
      <c r="N46" t="s">
        <v>45</v>
      </c>
      <c r="O46" t="s">
        <v>24</v>
      </c>
      <c r="P46" t="s">
        <v>17</v>
      </c>
      <c r="Q46" t="s">
        <v>17</v>
      </c>
      <c r="R46" t="s">
        <v>111</v>
      </c>
      <c r="S46" t="s">
        <v>154</v>
      </c>
    </row>
    <row r="47" spans="1:19" x14ac:dyDescent="0.25">
      <c r="A47" s="1">
        <v>45876</v>
      </c>
      <c r="B47" t="s">
        <v>10</v>
      </c>
      <c r="C47" t="s">
        <v>52</v>
      </c>
      <c r="D47" t="s">
        <v>28</v>
      </c>
      <c r="E47" s="6">
        <f>0.8*20*(159.75-84.5)</f>
        <v>1204</v>
      </c>
      <c r="F47" s="6" t="s">
        <v>22</v>
      </c>
      <c r="G47">
        <f>5.75*0.8*20</f>
        <v>92.000000000000014</v>
      </c>
      <c r="H47">
        <f>0.8*20*(167.25-84.5)</f>
        <v>1324</v>
      </c>
      <c r="I47" s="3">
        <f t="shared" si="1"/>
        <v>14.391304347826084</v>
      </c>
      <c r="J47" s="3">
        <f t="shared" si="0"/>
        <v>13.086956521739129</v>
      </c>
      <c r="K47" s="4" t="s">
        <v>155</v>
      </c>
      <c r="L47">
        <v>13</v>
      </c>
      <c r="M47" t="s">
        <v>30</v>
      </c>
      <c r="N47" t="s">
        <v>156</v>
      </c>
      <c r="O47" t="s">
        <v>17</v>
      </c>
      <c r="P47" t="s">
        <v>24</v>
      </c>
      <c r="Q47" t="s">
        <v>24</v>
      </c>
      <c r="R47" t="s">
        <v>110</v>
      </c>
      <c r="S47" t="s">
        <v>157</v>
      </c>
    </row>
    <row r="48" spans="1:19" x14ac:dyDescent="0.25">
      <c r="A48" s="1">
        <v>45877</v>
      </c>
      <c r="B48" t="s">
        <v>11</v>
      </c>
      <c r="C48" t="s">
        <v>52</v>
      </c>
      <c r="D48" t="s">
        <v>173</v>
      </c>
      <c r="E48" s="8">
        <f>1.7*20*-1*(85.32-78.28)</f>
        <v>-239.35999999999973</v>
      </c>
      <c r="F48" t="s">
        <v>23</v>
      </c>
      <c r="G48">
        <v>239.36</v>
      </c>
      <c r="H48">
        <f>28*20*1.7</f>
        <v>952</v>
      </c>
      <c r="I48" s="3">
        <f t="shared" si="1"/>
        <v>3.9772727272727271</v>
      </c>
      <c r="J48" s="3">
        <f t="shared" si="0"/>
        <v>-0.99999999999999878</v>
      </c>
      <c r="K48" s="2">
        <v>0.36180555555555555</v>
      </c>
      <c r="L48">
        <v>1</v>
      </c>
      <c r="M48" t="s">
        <v>31</v>
      </c>
      <c r="N48" t="s">
        <v>158</v>
      </c>
      <c r="O48" t="s">
        <v>24</v>
      </c>
      <c r="P48" t="s">
        <v>17</v>
      </c>
      <c r="Q48" t="s">
        <v>17</v>
      </c>
      <c r="R48" t="s">
        <v>24</v>
      </c>
      <c r="S48" t="s">
        <v>176</v>
      </c>
    </row>
    <row r="49" spans="19:21" x14ac:dyDescent="0.25">
      <c r="S49" s="6" t="s">
        <v>159</v>
      </c>
    </row>
    <row r="50" spans="19:21" x14ac:dyDescent="0.25">
      <c r="S50" t="s">
        <v>160</v>
      </c>
      <c r="T50">
        <f>AVERAGE(E2:E48)</f>
        <v>159.49531914893618</v>
      </c>
      <c r="U50" t="s">
        <v>164</v>
      </c>
    </row>
    <row r="51" spans="19:21" x14ac:dyDescent="0.25">
      <c r="S51" t="s">
        <v>161</v>
      </c>
      <c r="T51" s="7">
        <f>_xlfn.STDEV.S(E2:E48)</f>
        <v>470.27047131943613</v>
      </c>
    </row>
    <row r="52" spans="19:21" x14ac:dyDescent="0.25">
      <c r="S52" t="s">
        <v>162</v>
      </c>
      <c r="T52" s="7">
        <f>MIN(E2:E48)</f>
        <v>-898</v>
      </c>
    </row>
    <row r="53" spans="19:21" x14ac:dyDescent="0.25">
      <c r="S53" t="s">
        <v>163</v>
      </c>
      <c r="T53" s="7">
        <f>MAX(E2:E48)</f>
        <v>1204</v>
      </c>
    </row>
    <row r="54" spans="19:21" x14ac:dyDescent="0.25">
      <c r="S54" t="s">
        <v>170</v>
      </c>
      <c r="T54" s="9">
        <f>3/47</f>
        <v>6.3829787234042548E-2</v>
      </c>
      <c r="U54" t="s">
        <v>190</v>
      </c>
    </row>
    <row r="55" spans="19:21" x14ac:dyDescent="0.25">
      <c r="S55" t="s">
        <v>171</v>
      </c>
      <c r="T55" s="9">
        <f>24/47</f>
        <v>0.51063829787234039</v>
      </c>
    </row>
    <row r="56" spans="19:21" x14ac:dyDescent="0.25">
      <c r="S56" t="s">
        <v>172</v>
      </c>
      <c r="T56" s="9">
        <f>20/47</f>
        <v>0.42553191489361702</v>
      </c>
      <c r="U56" t="s">
        <v>179</v>
      </c>
    </row>
    <row r="57" spans="19:21" x14ac:dyDescent="0.25">
      <c r="S57" t="s">
        <v>168</v>
      </c>
      <c r="T57" s="7">
        <f>AVERAGE(G2:G48)</f>
        <v>164.14133333333334</v>
      </c>
      <c r="U57" t="s">
        <v>188</v>
      </c>
    </row>
    <row r="58" spans="19:21" x14ac:dyDescent="0.25">
      <c r="S58" t="s">
        <v>167</v>
      </c>
      <c r="T58" s="7">
        <f>AVERAGE(H2:H48)</f>
        <v>841.1613043478261</v>
      </c>
    </row>
    <row r="59" spans="19:21" x14ac:dyDescent="0.25">
      <c r="S59" t="s">
        <v>169</v>
      </c>
      <c r="T59" s="7">
        <f>T58/T57</f>
        <v>5.1246160078377132</v>
      </c>
    </row>
    <row r="60" spans="19:21" x14ac:dyDescent="0.25">
      <c r="S60" t="s">
        <v>166</v>
      </c>
      <c r="T60" s="7">
        <f>AVERAGE(J2:J48)</f>
        <v>1.6325065330413298</v>
      </c>
    </row>
    <row r="61" spans="19:21" x14ac:dyDescent="0.25">
      <c r="S61" t="s">
        <v>177</v>
      </c>
      <c r="T61">
        <f>SUM(E14:E21,E24,E26,E28:E30,E33:E34,E39,E44:E46,E48)</f>
        <v>-3971.3599999999997</v>
      </c>
    </row>
    <row r="62" spans="19:21" x14ac:dyDescent="0.25">
      <c r="S62" t="s">
        <v>178</v>
      </c>
      <c r="T62">
        <f>SUM(E7:E13,E22:E23,E25,E27,E31:E32,E35:E38,E40:E43,E47)</f>
        <v>11780.539999999999</v>
      </c>
    </row>
    <row r="63" spans="19:21" x14ac:dyDescent="0.25">
      <c r="S63" t="s">
        <v>180</v>
      </c>
      <c r="T63" s="9">
        <f>11/47</f>
        <v>0.23404255319148937</v>
      </c>
    </row>
    <row r="64" spans="19:21" x14ac:dyDescent="0.25">
      <c r="S64" t="s">
        <v>181</v>
      </c>
      <c r="T64" s="9">
        <f>36/47</f>
        <v>0.76595744680851063</v>
      </c>
      <c r="U64" t="s">
        <v>189</v>
      </c>
    </row>
    <row r="65" spans="19:21" x14ac:dyDescent="0.25">
      <c r="S65" t="s">
        <v>182</v>
      </c>
      <c r="T65" s="9">
        <f>4/11</f>
        <v>0.36363636363636365</v>
      </c>
    </row>
    <row r="66" spans="19:21" x14ac:dyDescent="0.25">
      <c r="S66" t="s">
        <v>183</v>
      </c>
      <c r="T66" s="9">
        <f>15/36</f>
        <v>0.41666666666666669</v>
      </c>
    </row>
    <row r="67" spans="19:21" x14ac:dyDescent="0.25">
      <c r="S67" t="s">
        <v>184</v>
      </c>
      <c r="T67" s="9">
        <f>2/11</f>
        <v>0.18181818181818182</v>
      </c>
    </row>
    <row r="68" spans="19:21" x14ac:dyDescent="0.25">
      <c r="S68" t="s">
        <v>185</v>
      </c>
      <c r="T68" s="9">
        <f>1/36</f>
        <v>2.7777777777777776E-2</v>
      </c>
    </row>
    <row r="69" spans="19:21" x14ac:dyDescent="0.25">
      <c r="S69" t="s">
        <v>186</v>
      </c>
      <c r="T69" s="9">
        <f>7/11</f>
        <v>0.63636363636363635</v>
      </c>
    </row>
    <row r="70" spans="19:21" x14ac:dyDescent="0.25">
      <c r="S70" t="s">
        <v>187</v>
      </c>
      <c r="T70" s="9">
        <f>22/36</f>
        <v>0.61111111111111116</v>
      </c>
    </row>
    <row r="71" spans="19:21" x14ac:dyDescent="0.25">
      <c r="S71" t="s">
        <v>191</v>
      </c>
      <c r="T71" s="9">
        <f>21/47</f>
        <v>0.44680851063829785</v>
      </c>
      <c r="U71" t="s">
        <v>193</v>
      </c>
    </row>
    <row r="72" spans="19:21" x14ac:dyDescent="0.25">
      <c r="S72" t="s">
        <v>192</v>
      </c>
      <c r="T72" s="9">
        <f>26/47</f>
        <v>0.55319148936170215</v>
      </c>
    </row>
    <row r="73" spans="19:21" x14ac:dyDescent="0.25">
      <c r="S73" t="s">
        <v>194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BurgShot Homie</dc:creator>
  <cp:lastModifiedBy>BurgShot Homie</cp:lastModifiedBy>
  <dcterms:created xsi:type="dcterms:W3CDTF">2025-08-08T23:54:46Z</dcterms:created>
  <dcterms:modified xsi:type="dcterms:W3CDTF">2025-08-09T06:15:39Z</dcterms:modified>
</cp:coreProperties>
</file>