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vt20_ic_ac_uk/Documents/4th year/Final Project/Draft 3.0/"/>
    </mc:Choice>
  </mc:AlternateContent>
  <xr:revisionPtr revIDLastSave="2121" documentId="8_{DA6DFB71-C06A-41C5-9DD5-13BECECD164C}" xr6:coauthVersionLast="47" xr6:coauthVersionMax="47" xr10:uidLastSave="{6490FE8F-C51B-4CEC-A660-97210A0CE066}"/>
  <bookViews>
    <workbookView xWindow="-108" yWindow="-108" windowWidth="23256" windowHeight="12576" xr2:uid="{686E1F2B-110C-47EA-866A-7AF6180042C1}"/>
  </bookViews>
  <sheets>
    <sheet name="Contents Page" sheetId="1" r:id="rId1"/>
    <sheet name="1.1 ST Baseline" sheetId="2" r:id="rId2"/>
    <sheet name="1.2 ST Uncertainty " sheetId="12" r:id="rId3"/>
    <sheet name="1.3 ST High Growth" sheetId="15" r:id="rId4"/>
    <sheet name="1.4 ST worse case" sheetId="17" r:id="rId5"/>
    <sheet name="1.5 Historic Model" sheetId="3" r:id="rId6"/>
    <sheet name="2.1 Labour " sheetId="4" r:id="rId7"/>
    <sheet name="2.2 Conservative " sheetId="5" r:id="rId8"/>
    <sheet name="2.3 Health Crisis" sheetId="6" r:id="rId9"/>
    <sheet name="2.4 War" sheetId="9" r:id="rId10"/>
    <sheet name="2.5 Housing Crisis" sheetId="7" r:id="rId11"/>
    <sheet name="2.6 Immigration" sheetId="8" r:id="rId12"/>
    <sheet name="3.1 LT Baseline" sheetId="10" r:id="rId13"/>
    <sheet name="3.2 LT Uncertainty" sheetId="13" r:id="rId14"/>
    <sheet name="3.3 LT High Growth" sheetId="14" r:id="rId15"/>
    <sheet name="3.4 Climate Change" sheetId="11" r:id="rId16"/>
    <sheet name="3.5 2010-2050" sheetId="16" r:id="rId17"/>
  </sheets>
  <externalReferences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7" l="1"/>
  <c r="B30" i="17"/>
  <c r="C30" i="17"/>
  <c r="B27" i="17"/>
  <c r="C12" i="17"/>
  <c r="D12" i="17"/>
  <c r="E12" i="17"/>
  <c r="F12" i="17"/>
  <c r="G12" i="17"/>
  <c r="H12" i="17"/>
  <c r="I12" i="17"/>
  <c r="J12" i="17"/>
  <c r="K12" i="17"/>
  <c r="L12" i="17"/>
  <c r="B13" i="17"/>
  <c r="C13" i="17"/>
  <c r="C11" i="17" s="1"/>
  <c r="D13" i="17"/>
  <c r="E13" i="17"/>
  <c r="F13" i="17"/>
  <c r="G13" i="17"/>
  <c r="H13" i="17"/>
  <c r="I13" i="17"/>
  <c r="J13" i="17"/>
  <c r="K13" i="17"/>
  <c r="L13" i="17"/>
  <c r="C14" i="17"/>
  <c r="C26" i="17" s="1"/>
  <c r="C17" i="17"/>
  <c r="B19" i="17"/>
  <c r="C19" i="17"/>
  <c r="C22" i="17"/>
  <c r="C23" i="17"/>
  <c r="B24" i="17"/>
  <c r="B5" i="17"/>
  <c r="C5" i="17"/>
  <c r="C16" i="17" s="1"/>
  <c r="D5" i="17"/>
  <c r="E5" i="17"/>
  <c r="F5" i="17"/>
  <c r="G5" i="17"/>
  <c r="H5" i="17"/>
  <c r="I5" i="17"/>
  <c r="J5" i="17"/>
  <c r="K5" i="17"/>
  <c r="L5" i="17"/>
  <c r="B6" i="17"/>
  <c r="C6" i="17"/>
  <c r="D6" i="17"/>
  <c r="E6" i="17"/>
  <c r="F6" i="17"/>
  <c r="G6" i="17"/>
  <c r="H6" i="17"/>
  <c r="I6" i="17"/>
  <c r="J6" i="17"/>
  <c r="K6" i="17"/>
  <c r="L6" i="17"/>
  <c r="B7" i="17"/>
  <c r="C7" i="17"/>
  <c r="D7" i="17"/>
  <c r="E7" i="17"/>
  <c r="F7" i="17"/>
  <c r="G7" i="17"/>
  <c r="H7" i="17"/>
  <c r="I7" i="17"/>
  <c r="J7" i="17"/>
  <c r="K7" i="17"/>
  <c r="L7" i="17"/>
  <c r="B8" i="17"/>
  <c r="C19" i="2"/>
  <c r="M8" i="6"/>
  <c r="Z8" i="9"/>
  <c r="M8" i="9"/>
  <c r="Z8" i="6"/>
  <c r="M8" i="4"/>
  <c r="D16" i="17" l="1"/>
  <c r="C24" i="17"/>
  <c r="B48" i="17"/>
  <c r="B32" i="17"/>
  <c r="B33" i="17" s="1"/>
  <c r="B4" i="17" s="1"/>
  <c r="C27" i="17"/>
  <c r="D11" i="17"/>
  <c r="B24" i="2"/>
  <c r="D20" i="7"/>
  <c r="E11" i="17" l="1"/>
  <c r="D14" i="17"/>
  <c r="D17" i="17"/>
  <c r="D18" i="17"/>
  <c r="D20" i="17"/>
  <c r="D22" i="17"/>
  <c r="C45" i="17"/>
  <c r="B49" i="17"/>
  <c r="B9" i="17" s="1"/>
  <c r="C48" i="17"/>
  <c r="C49" i="17" s="1"/>
  <c r="C9" i="17" s="1"/>
  <c r="C32" i="17"/>
  <c r="C33" i="17" s="1"/>
  <c r="C4" i="17" s="1"/>
  <c r="E16" i="17"/>
  <c r="D18" i="7"/>
  <c r="F16" i="17" l="1"/>
  <c r="D45" i="17"/>
  <c r="D29" i="17"/>
  <c r="D30" i="17" s="1"/>
  <c r="C8" i="17"/>
  <c r="D19" i="17"/>
  <c r="D23" i="17"/>
  <c r="D26" i="17"/>
  <c r="F11" i="17"/>
  <c r="E14" i="17"/>
  <c r="E17" i="17"/>
  <c r="E18" i="17"/>
  <c r="E20" i="17"/>
  <c r="E22" i="17"/>
  <c r="E52" i="12"/>
  <c r="G52" i="12"/>
  <c r="I52" i="12"/>
  <c r="K52" i="12"/>
  <c r="E53" i="12"/>
  <c r="G53" i="12"/>
  <c r="I53" i="12"/>
  <c r="K53" i="12"/>
  <c r="E54" i="12"/>
  <c r="G54" i="12"/>
  <c r="I54" i="12"/>
  <c r="K54" i="12"/>
  <c r="E55" i="12"/>
  <c r="G55" i="12"/>
  <c r="I55" i="12"/>
  <c r="K55" i="12"/>
  <c r="E56" i="12"/>
  <c r="G56" i="12"/>
  <c r="I56" i="12"/>
  <c r="K56" i="12"/>
  <c r="E57" i="12"/>
  <c r="G57" i="12"/>
  <c r="I57" i="12"/>
  <c r="K57" i="12"/>
  <c r="E58" i="12"/>
  <c r="G58" i="12"/>
  <c r="I58" i="12"/>
  <c r="K58" i="12"/>
  <c r="E59" i="12"/>
  <c r="G59" i="12"/>
  <c r="I59" i="12"/>
  <c r="K59" i="12"/>
  <c r="E60" i="12"/>
  <c r="G60" i="12"/>
  <c r="I60" i="12"/>
  <c r="K60" i="12"/>
  <c r="E61" i="12"/>
  <c r="G61" i="12"/>
  <c r="I61" i="12"/>
  <c r="K61" i="12"/>
  <c r="I51" i="12"/>
  <c r="K51" i="12"/>
  <c r="G51" i="12"/>
  <c r="E51" i="12"/>
  <c r="C52" i="12"/>
  <c r="C53" i="12"/>
  <c r="C54" i="12"/>
  <c r="C55" i="12"/>
  <c r="C56" i="12"/>
  <c r="C57" i="12"/>
  <c r="C58" i="12"/>
  <c r="C59" i="12"/>
  <c r="C60" i="12"/>
  <c r="C61" i="12"/>
  <c r="C51" i="12"/>
  <c r="A52" i="12"/>
  <c r="A53" i="12"/>
  <c r="A54" i="12"/>
  <c r="A55" i="12"/>
  <c r="A56" i="12"/>
  <c r="A57" i="12"/>
  <c r="A58" i="12"/>
  <c r="A59" i="12"/>
  <c r="A60" i="12"/>
  <c r="A61" i="12"/>
  <c r="A51" i="12"/>
  <c r="N26" i="10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M26" i="10"/>
  <c r="D26" i="10"/>
  <c r="E26" i="10"/>
  <c r="F26" i="10" s="1"/>
  <c r="G26" i="10" s="1"/>
  <c r="H26" i="10" s="1"/>
  <c r="I26" i="10" s="1"/>
  <c r="J26" i="10" s="1"/>
  <c r="K26" i="10" s="1"/>
  <c r="L26" i="10" s="1"/>
  <c r="C26" i="10"/>
  <c r="D23" i="10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C23" i="10"/>
  <c r="D19" i="10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C19" i="10"/>
  <c r="N26" i="14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M26" i="14"/>
  <c r="D26" i="14"/>
  <c r="E26" i="14" s="1"/>
  <c r="F26" i="14" s="1"/>
  <c r="G26" i="14" s="1"/>
  <c r="H26" i="14" s="1"/>
  <c r="I26" i="14" s="1"/>
  <c r="J26" i="14" s="1"/>
  <c r="K26" i="14" s="1"/>
  <c r="L26" i="14" s="1"/>
  <c r="C26" i="14"/>
  <c r="D23" i="14"/>
  <c r="E23" i="14"/>
  <c r="F23" i="14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C23" i="14"/>
  <c r="D19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C19" i="14"/>
  <c r="N27" i="11"/>
  <c r="O27" i="1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M27" i="11"/>
  <c r="F27" i="11"/>
  <c r="G27" i="11" s="1"/>
  <c r="H27" i="11" s="1"/>
  <c r="I27" i="11" s="1"/>
  <c r="J27" i="11" s="1"/>
  <c r="K27" i="11" s="1"/>
  <c r="L27" i="11" s="1"/>
  <c r="E27" i="11"/>
  <c r="D27" i="11"/>
  <c r="C27" i="11"/>
  <c r="D19" i="1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AB19" i="11" s="1"/>
  <c r="AC19" i="11" s="1"/>
  <c r="AD19" i="11" s="1"/>
  <c r="D23" i="1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C23" i="11"/>
  <c r="C19" i="11"/>
  <c r="D26" i="8"/>
  <c r="E26" i="8"/>
  <c r="F26" i="8" s="1"/>
  <c r="G26" i="8" s="1"/>
  <c r="H26" i="8" s="1"/>
  <c r="I26" i="8" s="1"/>
  <c r="J26" i="8" s="1"/>
  <c r="K26" i="8" s="1"/>
  <c r="L26" i="8" s="1"/>
  <c r="C26" i="8"/>
  <c r="D23" i="8"/>
  <c r="E23" i="8" s="1"/>
  <c r="F23" i="8" s="1"/>
  <c r="G23" i="8" s="1"/>
  <c r="H23" i="8" s="1"/>
  <c r="I23" i="8" s="1"/>
  <c r="J23" i="8" s="1"/>
  <c r="K23" i="8" s="1"/>
  <c r="L23" i="8" s="1"/>
  <c r="C23" i="8"/>
  <c r="D19" i="8"/>
  <c r="E19" i="8" s="1"/>
  <c r="F19" i="8" s="1"/>
  <c r="G19" i="8" s="1"/>
  <c r="H19" i="8" s="1"/>
  <c r="I19" i="8" s="1"/>
  <c r="J19" i="8" s="1"/>
  <c r="K19" i="8" s="1"/>
  <c r="L19" i="8" s="1"/>
  <c r="C19" i="8"/>
  <c r="C30" i="7"/>
  <c r="B30" i="7"/>
  <c r="B19" i="7" s="1"/>
  <c r="C29" i="7"/>
  <c r="B27" i="7"/>
  <c r="C16" i="7"/>
  <c r="I13" i="7"/>
  <c r="G13" i="7"/>
  <c r="E13" i="7"/>
  <c r="B13" i="7"/>
  <c r="L12" i="7"/>
  <c r="L13" i="7" s="1"/>
  <c r="K12" i="7"/>
  <c r="K13" i="7" s="1"/>
  <c r="J12" i="7"/>
  <c r="J13" i="7" s="1"/>
  <c r="I12" i="7"/>
  <c r="H12" i="7"/>
  <c r="H13" i="7" s="1"/>
  <c r="G12" i="7"/>
  <c r="F12" i="7"/>
  <c r="F13" i="7" s="1"/>
  <c r="E12" i="7"/>
  <c r="D12" i="7"/>
  <c r="D13" i="7" s="1"/>
  <c r="C12" i="7"/>
  <c r="C13" i="7" s="1"/>
  <c r="B8" i="7"/>
  <c r="L7" i="7"/>
  <c r="K7" i="7"/>
  <c r="J7" i="7"/>
  <c r="I7" i="7"/>
  <c r="H7" i="7"/>
  <c r="G7" i="7"/>
  <c r="F7" i="7"/>
  <c r="E7" i="7"/>
  <c r="D7" i="7"/>
  <c r="C7" i="7"/>
  <c r="B7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Q28" i="9"/>
  <c r="R28" i="9" s="1"/>
  <c r="S28" i="9" s="1"/>
  <c r="T28" i="9" s="1"/>
  <c r="U28" i="9" s="1"/>
  <c r="V28" i="9" s="1"/>
  <c r="W28" i="9" s="1"/>
  <c r="X28" i="9" s="1"/>
  <c r="Y28" i="9" s="1"/>
  <c r="P28" i="9"/>
  <c r="Q25" i="9"/>
  <c r="R25" i="9"/>
  <c r="S25" i="9" s="1"/>
  <c r="T25" i="9" s="1"/>
  <c r="U25" i="9" s="1"/>
  <c r="V25" i="9" s="1"/>
  <c r="W25" i="9" s="1"/>
  <c r="X25" i="9" s="1"/>
  <c r="Y25" i="9" s="1"/>
  <c r="P25" i="9"/>
  <c r="Q19" i="9"/>
  <c r="R19" i="9" s="1"/>
  <c r="S19" i="9" s="1"/>
  <c r="T19" i="9" s="1"/>
  <c r="U19" i="9" s="1"/>
  <c r="V19" i="9" s="1"/>
  <c r="W19" i="9" s="1"/>
  <c r="X19" i="9" s="1"/>
  <c r="Y19" i="9" s="1"/>
  <c r="P19" i="9"/>
  <c r="D28" i="9"/>
  <c r="E28" i="9" s="1"/>
  <c r="F28" i="9" s="1"/>
  <c r="G28" i="9" s="1"/>
  <c r="H28" i="9" s="1"/>
  <c r="I28" i="9" s="1"/>
  <c r="J28" i="9" s="1"/>
  <c r="K28" i="9" s="1"/>
  <c r="L28" i="9" s="1"/>
  <c r="C28" i="9"/>
  <c r="D25" i="9"/>
  <c r="E25" i="9" s="1"/>
  <c r="F25" i="9" s="1"/>
  <c r="G25" i="9" s="1"/>
  <c r="H25" i="9" s="1"/>
  <c r="I25" i="9" s="1"/>
  <c r="J25" i="9" s="1"/>
  <c r="K25" i="9" s="1"/>
  <c r="L25" i="9" s="1"/>
  <c r="C25" i="9"/>
  <c r="D19" i="9"/>
  <c r="E19" i="9" s="1"/>
  <c r="F19" i="9" s="1"/>
  <c r="G19" i="9" s="1"/>
  <c r="H19" i="9" s="1"/>
  <c r="I19" i="9" s="1"/>
  <c r="J19" i="9" s="1"/>
  <c r="K19" i="9" s="1"/>
  <c r="L19" i="9" s="1"/>
  <c r="C19" i="9"/>
  <c r="Q26" i="6"/>
  <c r="R26" i="6" s="1"/>
  <c r="S26" i="6" s="1"/>
  <c r="T26" i="6" s="1"/>
  <c r="U26" i="6" s="1"/>
  <c r="V26" i="6" s="1"/>
  <c r="W26" i="6" s="1"/>
  <c r="X26" i="6" s="1"/>
  <c r="Y26" i="6" s="1"/>
  <c r="P26" i="6"/>
  <c r="Q23" i="6"/>
  <c r="R23" i="6" s="1"/>
  <c r="S23" i="6" s="1"/>
  <c r="T23" i="6" s="1"/>
  <c r="U23" i="6" s="1"/>
  <c r="V23" i="6" s="1"/>
  <c r="W23" i="6" s="1"/>
  <c r="X23" i="6" s="1"/>
  <c r="Y23" i="6" s="1"/>
  <c r="P23" i="6"/>
  <c r="Q19" i="6"/>
  <c r="R19" i="6" s="1"/>
  <c r="S19" i="6" s="1"/>
  <c r="T19" i="6" s="1"/>
  <c r="U19" i="6" s="1"/>
  <c r="V19" i="6" s="1"/>
  <c r="W19" i="6" s="1"/>
  <c r="X19" i="6" s="1"/>
  <c r="Y19" i="6" s="1"/>
  <c r="P19" i="6"/>
  <c r="D26" i="6"/>
  <c r="E26" i="6" s="1"/>
  <c r="F26" i="6" s="1"/>
  <c r="G26" i="6" s="1"/>
  <c r="H26" i="6" s="1"/>
  <c r="I26" i="6" s="1"/>
  <c r="J26" i="6" s="1"/>
  <c r="K26" i="6" s="1"/>
  <c r="L26" i="6" s="1"/>
  <c r="C26" i="6"/>
  <c r="D23" i="6"/>
  <c r="E23" i="6" s="1"/>
  <c r="F23" i="6" s="1"/>
  <c r="G23" i="6" s="1"/>
  <c r="H23" i="6" s="1"/>
  <c r="I23" i="6" s="1"/>
  <c r="J23" i="6" s="1"/>
  <c r="K23" i="6" s="1"/>
  <c r="L23" i="6" s="1"/>
  <c r="C23" i="6"/>
  <c r="D19" i="6"/>
  <c r="E19" i="6" s="1"/>
  <c r="F19" i="6" s="1"/>
  <c r="G19" i="6" s="1"/>
  <c r="H19" i="6" s="1"/>
  <c r="I19" i="6" s="1"/>
  <c r="J19" i="6" s="1"/>
  <c r="K19" i="6" s="1"/>
  <c r="L19" i="6" s="1"/>
  <c r="D18" i="6"/>
  <c r="E18" i="6"/>
  <c r="F18" i="6"/>
  <c r="G18" i="6"/>
  <c r="H18" i="6"/>
  <c r="I18" i="6"/>
  <c r="J18" i="6"/>
  <c r="K18" i="6"/>
  <c r="L18" i="6"/>
  <c r="C19" i="6"/>
  <c r="Q26" i="5"/>
  <c r="R26" i="5" s="1"/>
  <c r="S26" i="5" s="1"/>
  <c r="T26" i="5" s="1"/>
  <c r="U26" i="5" s="1"/>
  <c r="V26" i="5" s="1"/>
  <c r="W26" i="5" s="1"/>
  <c r="X26" i="5" s="1"/>
  <c r="Y26" i="5" s="1"/>
  <c r="P26" i="5"/>
  <c r="P23" i="5"/>
  <c r="Q23" i="5" s="1"/>
  <c r="R23" i="5" s="1"/>
  <c r="S23" i="5" s="1"/>
  <c r="T23" i="5" s="1"/>
  <c r="U23" i="5" s="1"/>
  <c r="V23" i="5" s="1"/>
  <c r="W23" i="5" s="1"/>
  <c r="X23" i="5" s="1"/>
  <c r="Y23" i="5" s="1"/>
  <c r="Y22" i="5"/>
  <c r="X22" i="5"/>
  <c r="W22" i="5"/>
  <c r="V22" i="5"/>
  <c r="U22" i="5"/>
  <c r="T22" i="5"/>
  <c r="S22" i="5"/>
  <c r="R22" i="5"/>
  <c r="Q22" i="5"/>
  <c r="P22" i="5"/>
  <c r="Y20" i="5"/>
  <c r="X20" i="5"/>
  <c r="W20" i="5"/>
  <c r="V20" i="5"/>
  <c r="U20" i="5"/>
  <c r="T20" i="5"/>
  <c r="S20" i="5"/>
  <c r="R20" i="5"/>
  <c r="Q20" i="5"/>
  <c r="O19" i="5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Y18" i="5"/>
  <c r="X18" i="5"/>
  <c r="W18" i="5"/>
  <c r="V18" i="5"/>
  <c r="U18" i="5"/>
  <c r="T18" i="5"/>
  <c r="S18" i="5"/>
  <c r="R18" i="5"/>
  <c r="Q18" i="5"/>
  <c r="P17" i="5"/>
  <c r="Q17" i="5" s="1"/>
  <c r="R17" i="5" s="1"/>
  <c r="S17" i="5" s="1"/>
  <c r="T17" i="5" s="1"/>
  <c r="U17" i="5" s="1"/>
  <c r="V17" i="5" s="1"/>
  <c r="W17" i="5" s="1"/>
  <c r="X17" i="5" s="1"/>
  <c r="Y17" i="5" s="1"/>
  <c r="P16" i="5"/>
  <c r="Q16" i="5" s="1"/>
  <c r="R16" i="5" s="1"/>
  <c r="S16" i="5" s="1"/>
  <c r="T16" i="5" s="1"/>
  <c r="U16" i="5" s="1"/>
  <c r="V16" i="5" s="1"/>
  <c r="W16" i="5" s="1"/>
  <c r="X16" i="5" s="1"/>
  <c r="Y16" i="5" s="1"/>
  <c r="J26" i="5"/>
  <c r="K26" i="5" s="1"/>
  <c r="L26" i="5" s="1"/>
  <c r="I26" i="5"/>
  <c r="H26" i="5"/>
  <c r="G26" i="5"/>
  <c r="F26" i="5"/>
  <c r="E26" i="5"/>
  <c r="D26" i="5"/>
  <c r="C26" i="5"/>
  <c r="D23" i="5"/>
  <c r="E23" i="5" s="1"/>
  <c r="F23" i="5" s="1"/>
  <c r="G23" i="5" s="1"/>
  <c r="H23" i="5" s="1"/>
  <c r="I23" i="5" s="1"/>
  <c r="J23" i="5" s="1"/>
  <c r="K23" i="5" s="1"/>
  <c r="L23" i="5" s="1"/>
  <c r="C23" i="5"/>
  <c r="D19" i="5"/>
  <c r="E19" i="5" s="1"/>
  <c r="F19" i="5" s="1"/>
  <c r="G19" i="5" s="1"/>
  <c r="H19" i="5" s="1"/>
  <c r="I19" i="5" s="1"/>
  <c r="J19" i="5" s="1"/>
  <c r="K19" i="5" s="1"/>
  <c r="L19" i="5" s="1"/>
  <c r="C19" i="5"/>
  <c r="H18" i="4"/>
  <c r="H17" i="4"/>
  <c r="C28" i="3"/>
  <c r="K22" i="3"/>
  <c r="L22" i="3"/>
  <c r="D22" i="3"/>
  <c r="E22" i="3"/>
  <c r="F22" i="3" s="1"/>
  <c r="G22" i="3" s="1"/>
  <c r="H22" i="3" s="1"/>
  <c r="I22" i="3" s="1"/>
  <c r="J22" i="3" s="1"/>
  <c r="C22" i="3"/>
  <c r="G11" i="17" l="1"/>
  <c r="F14" i="17"/>
  <c r="F17" i="17"/>
  <c r="F18" i="17"/>
  <c r="F20" i="17"/>
  <c r="F22" i="17"/>
  <c r="E26" i="17"/>
  <c r="D27" i="17"/>
  <c r="E23" i="17"/>
  <c r="F23" i="17" s="1"/>
  <c r="E19" i="17"/>
  <c r="D24" i="17"/>
  <c r="E29" i="17"/>
  <c r="E30" i="17" s="1"/>
  <c r="D8" i="17"/>
  <c r="G16" i="17"/>
  <c r="C23" i="7"/>
  <c r="D23" i="7" s="1"/>
  <c r="E23" i="7" s="1"/>
  <c r="F23" i="7" s="1"/>
  <c r="G23" i="7" s="1"/>
  <c r="H23" i="7" s="1"/>
  <c r="I23" i="7" s="1"/>
  <c r="J23" i="7" s="1"/>
  <c r="K23" i="7" s="1"/>
  <c r="L23" i="7" s="1"/>
  <c r="C11" i="7"/>
  <c r="C26" i="7"/>
  <c r="C19" i="7"/>
  <c r="D19" i="7" s="1"/>
  <c r="E19" i="7" s="1"/>
  <c r="F19" i="7" s="1"/>
  <c r="G19" i="7" s="1"/>
  <c r="H19" i="7" s="1"/>
  <c r="I19" i="7" s="1"/>
  <c r="J19" i="7" s="1"/>
  <c r="K19" i="7" s="1"/>
  <c r="L19" i="7" s="1"/>
  <c r="B24" i="7"/>
  <c r="D16" i="7"/>
  <c r="H16" i="17" l="1"/>
  <c r="D48" i="17"/>
  <c r="D32" i="17"/>
  <c r="D33" i="17" s="1"/>
  <c r="D4" i="17" s="1"/>
  <c r="F19" i="17"/>
  <c r="E24" i="17"/>
  <c r="F26" i="17"/>
  <c r="E27" i="17"/>
  <c r="H11" i="17"/>
  <c r="G14" i="17"/>
  <c r="G23" i="17" s="1"/>
  <c r="G17" i="17"/>
  <c r="G18" i="17"/>
  <c r="G20" i="17"/>
  <c r="G22" i="17"/>
  <c r="E16" i="7"/>
  <c r="B48" i="7"/>
  <c r="B32" i="7"/>
  <c r="B33" i="7" s="1"/>
  <c r="B4" i="7" s="1"/>
  <c r="C27" i="7"/>
  <c r="D26" i="7"/>
  <c r="C17" i="7"/>
  <c r="C24" i="7" s="1"/>
  <c r="D11" i="7"/>
  <c r="C22" i="7"/>
  <c r="I11" i="17" l="1"/>
  <c r="H14" i="17"/>
  <c r="H23" i="17" s="1"/>
  <c r="H17" i="17"/>
  <c r="H18" i="17"/>
  <c r="H20" i="17"/>
  <c r="H22" i="17"/>
  <c r="G26" i="17"/>
  <c r="F27" i="17"/>
  <c r="E48" i="17"/>
  <c r="E49" i="17" s="1"/>
  <c r="E9" i="17" s="1"/>
  <c r="E32" i="17"/>
  <c r="E33" i="17" s="1"/>
  <c r="E4" i="17" s="1"/>
  <c r="G19" i="17"/>
  <c r="F24" i="17"/>
  <c r="D49" i="17"/>
  <c r="D9" i="17" s="1"/>
  <c r="E45" i="17"/>
  <c r="I16" i="17"/>
  <c r="E17" i="7"/>
  <c r="D17" i="7"/>
  <c r="E11" i="7"/>
  <c r="D22" i="7"/>
  <c r="D27" i="7"/>
  <c r="E26" i="7"/>
  <c r="C48" i="7"/>
  <c r="C49" i="7" s="1"/>
  <c r="C9" i="7" s="1"/>
  <c r="C32" i="7"/>
  <c r="C33" i="7" s="1"/>
  <c r="C4" i="7" s="1"/>
  <c r="B49" i="7"/>
  <c r="B9" i="7" s="1"/>
  <c r="C45" i="7"/>
  <c r="F16" i="7"/>
  <c r="J16" i="17" l="1"/>
  <c r="F45" i="17"/>
  <c r="F29" i="17"/>
  <c r="F30" i="17" s="1"/>
  <c r="E8" i="17"/>
  <c r="F48" i="17"/>
  <c r="F49" i="17" s="1"/>
  <c r="F9" i="17" s="1"/>
  <c r="F32" i="17"/>
  <c r="F33" i="17" s="1"/>
  <c r="F4" i="17" s="1"/>
  <c r="H19" i="17"/>
  <c r="G24" i="17"/>
  <c r="H26" i="17"/>
  <c r="G27" i="17"/>
  <c r="J11" i="17"/>
  <c r="I14" i="17"/>
  <c r="I23" i="17" s="1"/>
  <c r="I17" i="17"/>
  <c r="I18" i="17"/>
  <c r="I20" i="17"/>
  <c r="I22" i="17"/>
  <c r="E27" i="7"/>
  <c r="F26" i="7"/>
  <c r="G16" i="7"/>
  <c r="D29" i="7"/>
  <c r="D30" i="7" s="1"/>
  <c r="C8" i="7"/>
  <c r="D45" i="7"/>
  <c r="E18" i="7"/>
  <c r="E24" i="7" s="1"/>
  <c r="F11" i="7"/>
  <c r="E22" i="7"/>
  <c r="E20" i="7"/>
  <c r="D24" i="7"/>
  <c r="K11" i="17" l="1"/>
  <c r="J14" i="17"/>
  <c r="J23" i="17" s="1"/>
  <c r="J17" i="17"/>
  <c r="J18" i="17"/>
  <c r="J20" i="17"/>
  <c r="J22" i="17"/>
  <c r="I26" i="17"/>
  <c r="H27" i="17"/>
  <c r="G32" i="17"/>
  <c r="G33" i="17" s="1"/>
  <c r="G4" i="17" s="1"/>
  <c r="I19" i="17"/>
  <c r="H24" i="17"/>
  <c r="G45" i="17"/>
  <c r="G29" i="17"/>
  <c r="G30" i="17" s="1"/>
  <c r="G48" i="17" s="1"/>
  <c r="G49" i="17" s="1"/>
  <c r="G9" i="17" s="1"/>
  <c r="F8" i="17"/>
  <c r="K16" i="17"/>
  <c r="E32" i="7"/>
  <c r="E33" i="7" s="1"/>
  <c r="E4" i="7" s="1"/>
  <c r="D48" i="7"/>
  <c r="D49" i="7" s="1"/>
  <c r="D9" i="7" s="1"/>
  <c r="D32" i="7"/>
  <c r="D33" i="7" s="1"/>
  <c r="D4" i="7" s="1"/>
  <c r="H16" i="7"/>
  <c r="E29" i="7"/>
  <c r="E30" i="7" s="1"/>
  <c r="E48" i="7" s="1"/>
  <c r="E49" i="7" s="1"/>
  <c r="E9" i="7" s="1"/>
  <c r="D8" i="7"/>
  <c r="E45" i="7"/>
  <c r="F27" i="7"/>
  <c r="G26" i="7"/>
  <c r="F18" i="7"/>
  <c r="F17" i="7"/>
  <c r="G11" i="7"/>
  <c r="F22" i="7"/>
  <c r="F20" i="7"/>
  <c r="L16" i="17" l="1"/>
  <c r="H45" i="17"/>
  <c r="H29" i="17"/>
  <c r="H30" i="17" s="1"/>
  <c r="G8" i="17"/>
  <c r="H48" i="17"/>
  <c r="H49" i="17" s="1"/>
  <c r="H9" i="17" s="1"/>
  <c r="H32" i="17"/>
  <c r="H33" i="17" s="1"/>
  <c r="H4" i="17" s="1"/>
  <c r="J19" i="17"/>
  <c r="I24" i="17"/>
  <c r="J26" i="17"/>
  <c r="I27" i="17"/>
  <c r="L11" i="17"/>
  <c r="K14" i="17"/>
  <c r="K23" i="17" s="1"/>
  <c r="K17" i="17"/>
  <c r="K18" i="17"/>
  <c r="K20" i="17"/>
  <c r="K22" i="17"/>
  <c r="G18" i="7"/>
  <c r="G17" i="7"/>
  <c r="H11" i="7"/>
  <c r="G22" i="7"/>
  <c r="G20" i="7"/>
  <c r="F24" i="7"/>
  <c r="I16" i="7"/>
  <c r="G27" i="7"/>
  <c r="H26" i="7"/>
  <c r="E8" i="7"/>
  <c r="F45" i="7"/>
  <c r="F29" i="7"/>
  <c r="F30" i="7" s="1"/>
  <c r="L14" i="17" l="1"/>
  <c r="L23" i="17" s="1"/>
  <c r="L17" i="17"/>
  <c r="L18" i="17"/>
  <c r="L20" i="17"/>
  <c r="L22" i="17"/>
  <c r="K26" i="17"/>
  <c r="J27" i="17"/>
  <c r="I32" i="17"/>
  <c r="I33" i="17" s="1"/>
  <c r="I4" i="17" s="1"/>
  <c r="K19" i="17"/>
  <c r="J24" i="17"/>
  <c r="I45" i="17"/>
  <c r="I29" i="17"/>
  <c r="I30" i="17" s="1"/>
  <c r="I48" i="17" s="1"/>
  <c r="I49" i="17" s="1"/>
  <c r="I9" i="17" s="1"/>
  <c r="H8" i="17"/>
  <c r="J16" i="7"/>
  <c r="F48" i="7"/>
  <c r="F49" i="7" s="1"/>
  <c r="F9" i="7" s="1"/>
  <c r="F32" i="7"/>
  <c r="F33" i="7" s="1"/>
  <c r="F4" i="7" s="1"/>
  <c r="F8" i="7"/>
  <c r="G29" i="7"/>
  <c r="G30" i="7" s="1"/>
  <c r="H17" i="7"/>
  <c r="I11" i="7"/>
  <c r="H22" i="7"/>
  <c r="H20" i="7"/>
  <c r="H18" i="7"/>
  <c r="I26" i="7"/>
  <c r="H27" i="7"/>
  <c r="G24" i="7"/>
  <c r="J45" i="17" l="1"/>
  <c r="J29" i="17"/>
  <c r="J30" i="17" s="1"/>
  <c r="I8" i="17"/>
  <c r="J48" i="17"/>
  <c r="J49" i="17" s="1"/>
  <c r="J9" i="17" s="1"/>
  <c r="J32" i="17"/>
  <c r="J33" i="17" s="1"/>
  <c r="J4" i="17" s="1"/>
  <c r="L19" i="17"/>
  <c r="L24" i="17" s="1"/>
  <c r="K24" i="17"/>
  <c r="L26" i="17"/>
  <c r="L27" i="17" s="1"/>
  <c r="K27" i="17"/>
  <c r="H24" i="7"/>
  <c r="G48" i="7"/>
  <c r="G49" i="7" s="1"/>
  <c r="G9" i="7" s="1"/>
  <c r="G32" i="7"/>
  <c r="G33" i="7" s="1"/>
  <c r="G4" i="7" s="1"/>
  <c r="K16" i="7"/>
  <c r="G45" i="7"/>
  <c r="J26" i="7"/>
  <c r="I27" i="7"/>
  <c r="I22" i="7"/>
  <c r="I20" i="7"/>
  <c r="I18" i="7"/>
  <c r="I17" i="7"/>
  <c r="J11" i="7"/>
  <c r="K32" i="17" l="1"/>
  <c r="K33" i="17" s="1"/>
  <c r="K4" i="17" s="1"/>
  <c r="L32" i="17"/>
  <c r="L33" i="17" s="1"/>
  <c r="L4" i="17" s="1"/>
  <c r="K45" i="17"/>
  <c r="K29" i="17"/>
  <c r="K30" i="17" s="1"/>
  <c r="K48" i="17" s="1"/>
  <c r="K49" i="17" s="1"/>
  <c r="K9" i="17" s="1"/>
  <c r="J8" i="17"/>
  <c r="J27" i="7"/>
  <c r="K26" i="7"/>
  <c r="H45" i="7"/>
  <c r="H29" i="7"/>
  <c r="H30" i="7" s="1"/>
  <c r="H48" i="7" s="1"/>
  <c r="H49" i="7" s="1"/>
  <c r="H9" i="7" s="1"/>
  <c r="G8" i="7"/>
  <c r="J20" i="7"/>
  <c r="J18" i="7"/>
  <c r="J17" i="7"/>
  <c r="K11" i="7"/>
  <c r="J22" i="7"/>
  <c r="L16" i="7"/>
  <c r="H32" i="7"/>
  <c r="H33" i="7" s="1"/>
  <c r="H4" i="7" s="1"/>
  <c r="I24" i="7"/>
  <c r="L45" i="17" l="1"/>
  <c r="L8" i="17" s="1"/>
  <c r="L29" i="17"/>
  <c r="L30" i="17" s="1"/>
  <c r="L48" i="17" s="1"/>
  <c r="L49" i="17" s="1"/>
  <c r="L9" i="17" s="1"/>
  <c r="K8" i="17"/>
  <c r="K27" i="7"/>
  <c r="L26" i="7"/>
  <c r="L27" i="7" s="1"/>
  <c r="I32" i="7"/>
  <c r="I33" i="7" s="1"/>
  <c r="I4" i="7" s="1"/>
  <c r="J24" i="7"/>
  <c r="K20" i="7"/>
  <c r="L11" i="7"/>
  <c r="K18" i="7"/>
  <c r="K17" i="7"/>
  <c r="K22" i="7"/>
  <c r="I45" i="7"/>
  <c r="I29" i="7"/>
  <c r="I30" i="7" s="1"/>
  <c r="I48" i="7" s="1"/>
  <c r="I49" i="7" s="1"/>
  <c r="I9" i="7" s="1"/>
  <c r="H8" i="7"/>
  <c r="J32" i="7" l="1"/>
  <c r="J33" i="7" s="1"/>
  <c r="J4" i="7" s="1"/>
  <c r="J45" i="7"/>
  <c r="J29" i="7"/>
  <c r="J30" i="7" s="1"/>
  <c r="J48" i="7" s="1"/>
  <c r="J49" i="7" s="1"/>
  <c r="J9" i="7" s="1"/>
  <c r="I8" i="7"/>
  <c r="L18" i="7"/>
  <c r="L17" i="7"/>
  <c r="L22" i="7"/>
  <c r="L20" i="7"/>
  <c r="K24" i="7"/>
  <c r="L24" i="7" l="1"/>
  <c r="K29" i="7"/>
  <c r="K30" i="7" s="1"/>
  <c r="K48" i="7" s="1"/>
  <c r="K49" i="7" s="1"/>
  <c r="K9" i="7" s="1"/>
  <c r="J8" i="7"/>
  <c r="K45" i="7"/>
  <c r="K32" i="7"/>
  <c r="K33" i="7" s="1"/>
  <c r="K4" i="7" s="1"/>
  <c r="L29" i="7" l="1"/>
  <c r="L30" i="7" s="1"/>
  <c r="L48" i="7" s="1"/>
  <c r="L49" i="7" s="1"/>
  <c r="L9" i="7" s="1"/>
  <c r="K8" i="7"/>
  <c r="L45" i="7"/>
  <c r="L8" i="7" s="1"/>
  <c r="L32" i="7"/>
  <c r="L33" i="7" s="1"/>
  <c r="L4" i="7" s="1"/>
  <c r="E6" i="3" l="1"/>
  <c r="F6" i="3"/>
  <c r="B29" i="3"/>
  <c r="B19" i="3" s="1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D23" i="15"/>
  <c r="E23" i="15"/>
  <c r="F23" i="15" s="1"/>
  <c r="G23" i="15" s="1"/>
  <c r="H23" i="15" s="1"/>
  <c r="I23" i="15" s="1"/>
  <c r="J23" i="15" s="1"/>
  <c r="K23" i="15" s="1"/>
  <c r="L23" i="15" s="1"/>
  <c r="C23" i="15"/>
  <c r="D26" i="15"/>
  <c r="E26" i="15" s="1"/>
  <c r="F26" i="15" s="1"/>
  <c r="G26" i="15" s="1"/>
  <c r="H26" i="15" s="1"/>
  <c r="I26" i="15" s="1"/>
  <c r="J26" i="15" s="1"/>
  <c r="K26" i="15" s="1"/>
  <c r="L26" i="15" s="1"/>
  <c r="C26" i="15"/>
  <c r="D19" i="15"/>
  <c r="E19" i="15"/>
  <c r="F19" i="15"/>
  <c r="G19" i="15" s="1"/>
  <c r="H19" i="15" s="1"/>
  <c r="I19" i="15" s="1"/>
  <c r="J19" i="15" s="1"/>
  <c r="K19" i="15" s="1"/>
  <c r="L19" i="15" s="1"/>
  <c r="C19" i="15"/>
  <c r="D26" i="2"/>
  <c r="E26" i="2"/>
  <c r="F26" i="2"/>
  <c r="G26" i="2" s="1"/>
  <c r="H26" i="2" s="1"/>
  <c r="I26" i="2" s="1"/>
  <c r="J26" i="2" s="1"/>
  <c r="K26" i="2" s="1"/>
  <c r="L26" i="2" s="1"/>
  <c r="C26" i="2"/>
  <c r="C24" i="2"/>
  <c r="D23" i="2"/>
  <c r="E23" i="2"/>
  <c r="F23" i="2" s="1"/>
  <c r="G23" i="2" s="1"/>
  <c r="H23" i="2" s="1"/>
  <c r="I23" i="2" s="1"/>
  <c r="J23" i="2" s="1"/>
  <c r="K23" i="2" s="1"/>
  <c r="L23" i="2" s="1"/>
  <c r="C23" i="2"/>
  <c r="D19" i="2"/>
  <c r="D24" i="2" s="1"/>
  <c r="E19" i="2"/>
  <c r="D13" i="2"/>
  <c r="I13" i="2"/>
  <c r="J13" i="2"/>
  <c r="K13" i="2"/>
  <c r="L13" i="2"/>
  <c r="C30" i="15"/>
  <c r="B30" i="15"/>
  <c r="C29" i="15"/>
  <c r="B27" i="15"/>
  <c r="B19" i="15"/>
  <c r="C16" i="15"/>
  <c r="I13" i="15"/>
  <c r="G13" i="15"/>
  <c r="F13" i="15"/>
  <c r="B13" i="15"/>
  <c r="L12" i="15"/>
  <c r="L13" i="15" s="1"/>
  <c r="K12" i="15"/>
  <c r="K13" i="15" s="1"/>
  <c r="J12" i="15"/>
  <c r="J13" i="15" s="1"/>
  <c r="I12" i="15"/>
  <c r="H12" i="15"/>
  <c r="H13" i="15" s="1"/>
  <c r="G12" i="15"/>
  <c r="F12" i="15"/>
  <c r="E12" i="15"/>
  <c r="E13" i="15" s="1"/>
  <c r="D12" i="15"/>
  <c r="D13" i="15" s="1"/>
  <c r="C12" i="15"/>
  <c r="C13" i="15" s="1"/>
  <c r="C11" i="15" s="1"/>
  <c r="B8" i="15"/>
  <c r="L7" i="15"/>
  <c r="K7" i="15"/>
  <c r="J7" i="15"/>
  <c r="I7" i="15"/>
  <c r="H7" i="15"/>
  <c r="G7" i="15"/>
  <c r="F7" i="15"/>
  <c r="E7" i="15"/>
  <c r="D7" i="15"/>
  <c r="C7" i="15"/>
  <c r="B7" i="15"/>
  <c r="L6" i="15"/>
  <c r="K6" i="15"/>
  <c r="J6" i="15"/>
  <c r="I6" i="15"/>
  <c r="H6" i="15"/>
  <c r="G6" i="15"/>
  <c r="F6" i="15"/>
  <c r="E6" i="15"/>
  <c r="D6" i="15"/>
  <c r="C6" i="15"/>
  <c r="B6" i="15"/>
  <c r="L5" i="15"/>
  <c r="K5" i="15"/>
  <c r="J5" i="15"/>
  <c r="I5" i="15"/>
  <c r="H5" i="15"/>
  <c r="G5" i="15"/>
  <c r="F5" i="15"/>
  <c r="E5" i="15"/>
  <c r="D5" i="15"/>
  <c r="C5" i="15"/>
  <c r="B5" i="15"/>
  <c r="W37" i="14"/>
  <c r="C31" i="14"/>
  <c r="B31" i="14"/>
  <c r="C30" i="14"/>
  <c r="D29" i="14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AB29" i="14" s="1"/>
  <c r="AC29" i="14" s="1"/>
  <c r="AD29" i="14" s="1"/>
  <c r="C29" i="14"/>
  <c r="B27" i="14"/>
  <c r="B19" i="14"/>
  <c r="U13" i="14"/>
  <c r="J13" i="14"/>
  <c r="E13" i="14"/>
  <c r="B13" i="14"/>
  <c r="L12" i="14"/>
  <c r="L13" i="14" s="1"/>
  <c r="K12" i="14"/>
  <c r="K13" i="14" s="1"/>
  <c r="J12" i="14"/>
  <c r="I12" i="14"/>
  <c r="I13" i="14" s="1"/>
  <c r="H12" i="14"/>
  <c r="H13" i="14" s="1"/>
  <c r="G12" i="14"/>
  <c r="G13" i="14" s="1"/>
  <c r="F12" i="14"/>
  <c r="F13" i="14" s="1"/>
  <c r="E12" i="14"/>
  <c r="D12" i="14"/>
  <c r="D13" i="14" s="1"/>
  <c r="C12" i="14"/>
  <c r="C13" i="14" s="1"/>
  <c r="C11" i="14" s="1"/>
  <c r="D11" i="14"/>
  <c r="B8" i="14"/>
  <c r="AD7" i="14"/>
  <c r="AD13" i="14" s="1"/>
  <c r="AD6" i="14" s="1"/>
  <c r="AD40" i="14" s="1"/>
  <c r="AC7" i="14"/>
  <c r="AC13" i="14" s="1"/>
  <c r="AC6" i="14" s="1"/>
  <c r="AC40" i="14" s="1"/>
  <c r="AB7" i="14"/>
  <c r="AA7" i="14"/>
  <c r="Z7" i="14"/>
  <c r="Y7" i="14"/>
  <c r="X7" i="14"/>
  <c r="X13" i="14" s="1"/>
  <c r="X6" i="14" s="1"/>
  <c r="X40" i="14" s="1"/>
  <c r="W7" i="14"/>
  <c r="V7" i="14"/>
  <c r="V13" i="14" s="1"/>
  <c r="V6" i="14" s="1"/>
  <c r="V40" i="14" s="1"/>
  <c r="U7" i="14"/>
  <c r="T7" i="14"/>
  <c r="S7" i="14"/>
  <c r="R7" i="14"/>
  <c r="Q7" i="14"/>
  <c r="P7" i="14"/>
  <c r="P13" i="14" s="1"/>
  <c r="P6" i="14" s="1"/>
  <c r="P40" i="14" s="1"/>
  <c r="O7" i="14"/>
  <c r="N7" i="14"/>
  <c r="N13" i="14" s="1"/>
  <c r="N6" i="14" s="1"/>
  <c r="N40" i="14" s="1"/>
  <c r="M7" i="14"/>
  <c r="M13" i="14" s="1"/>
  <c r="M6" i="14" s="1"/>
  <c r="M40" i="14" s="1"/>
  <c r="L7" i="14"/>
  <c r="K7" i="14"/>
  <c r="J7" i="14"/>
  <c r="I7" i="14"/>
  <c r="H7" i="14"/>
  <c r="G7" i="14"/>
  <c r="F7" i="14"/>
  <c r="E7" i="14"/>
  <c r="D7" i="14"/>
  <c r="C7" i="14"/>
  <c r="B7" i="14"/>
  <c r="U6" i="14"/>
  <c r="U40" i="14" s="1"/>
  <c r="L6" i="14"/>
  <c r="K6" i="14"/>
  <c r="J6" i="14"/>
  <c r="I6" i="14"/>
  <c r="H6" i="14"/>
  <c r="G6" i="14"/>
  <c r="F6" i="14"/>
  <c r="E6" i="14"/>
  <c r="D6" i="14"/>
  <c r="C6" i="14"/>
  <c r="B6" i="14"/>
  <c r="AD5" i="14"/>
  <c r="AD37" i="14" s="1"/>
  <c r="AC5" i="14"/>
  <c r="AC37" i="14" s="1"/>
  <c r="AB5" i="14"/>
  <c r="AB37" i="14" s="1"/>
  <c r="AA5" i="14"/>
  <c r="AA37" i="14" s="1"/>
  <c r="Z5" i="14"/>
  <c r="Z37" i="14" s="1"/>
  <c r="Y5" i="14"/>
  <c r="Y37" i="14" s="1"/>
  <c r="X5" i="14"/>
  <c r="X37" i="14" s="1"/>
  <c r="W5" i="14"/>
  <c r="V5" i="14"/>
  <c r="V37" i="14" s="1"/>
  <c r="U5" i="14"/>
  <c r="U37" i="14" s="1"/>
  <c r="T5" i="14"/>
  <c r="T37" i="14" s="1"/>
  <c r="S5" i="14"/>
  <c r="S37" i="14" s="1"/>
  <c r="R5" i="14"/>
  <c r="R37" i="14" s="1"/>
  <c r="Q5" i="14"/>
  <c r="Q37" i="14" s="1"/>
  <c r="P5" i="14"/>
  <c r="P37" i="14" s="1"/>
  <c r="O5" i="14"/>
  <c r="O37" i="14" s="1"/>
  <c r="N5" i="14"/>
  <c r="N37" i="14" s="1"/>
  <c r="M5" i="14"/>
  <c r="M37" i="14" s="1"/>
  <c r="L5" i="14"/>
  <c r="K5" i="14"/>
  <c r="J5" i="14"/>
  <c r="I5" i="14"/>
  <c r="H5" i="14"/>
  <c r="G5" i="14"/>
  <c r="F5" i="14"/>
  <c r="E5" i="14"/>
  <c r="D5" i="14"/>
  <c r="C5" i="14"/>
  <c r="C16" i="14" s="1"/>
  <c r="B5" i="14"/>
  <c r="M38" i="11"/>
  <c r="C32" i="11"/>
  <c r="B32" i="11"/>
  <c r="B19" i="11" s="1"/>
  <c r="B25" i="11" s="1"/>
  <c r="C31" i="11"/>
  <c r="D30" i="1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AA30" i="11" s="1"/>
  <c r="AB30" i="11" s="1"/>
  <c r="AC30" i="11" s="1"/>
  <c r="AD30" i="11" s="1"/>
  <c r="C30" i="11"/>
  <c r="B28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C17" i="11"/>
  <c r="R13" i="11"/>
  <c r="P13" i="11"/>
  <c r="I13" i="11"/>
  <c r="H13" i="11"/>
  <c r="G13" i="11"/>
  <c r="B13" i="11"/>
  <c r="L12" i="11"/>
  <c r="L13" i="11" s="1"/>
  <c r="K12" i="11"/>
  <c r="K13" i="11" s="1"/>
  <c r="J12" i="11"/>
  <c r="J13" i="11" s="1"/>
  <c r="I12" i="11"/>
  <c r="H12" i="11"/>
  <c r="G12" i="11"/>
  <c r="F12" i="11"/>
  <c r="F13" i="11" s="1"/>
  <c r="E12" i="11"/>
  <c r="E13" i="11" s="1"/>
  <c r="D12" i="11"/>
  <c r="D13" i="11" s="1"/>
  <c r="C12" i="11"/>
  <c r="C13" i="11" s="1"/>
  <c r="C11" i="11"/>
  <c r="B8" i="11"/>
  <c r="AD7" i="11"/>
  <c r="AC7" i="11"/>
  <c r="AC13" i="11" s="1"/>
  <c r="AC6" i="11" s="1"/>
  <c r="AC41" i="11" s="1"/>
  <c r="AB7" i="11"/>
  <c r="AB13" i="11" s="1"/>
  <c r="AB6" i="11" s="1"/>
  <c r="AB41" i="11" s="1"/>
  <c r="AA7" i="11"/>
  <c r="AA13" i="11" s="1"/>
  <c r="AA6" i="11" s="1"/>
  <c r="AA41" i="11" s="1"/>
  <c r="Z7" i="11"/>
  <c r="Z13" i="11" s="1"/>
  <c r="Z6" i="11" s="1"/>
  <c r="Z41" i="11" s="1"/>
  <c r="Y7" i="11"/>
  <c r="Y13" i="11" s="1"/>
  <c r="Y6" i="11" s="1"/>
  <c r="Y41" i="11" s="1"/>
  <c r="X7" i="11"/>
  <c r="X13" i="11" s="1"/>
  <c r="X6" i="11" s="1"/>
  <c r="X41" i="11" s="1"/>
  <c r="W7" i="11"/>
  <c r="W13" i="11" s="1"/>
  <c r="W6" i="11" s="1"/>
  <c r="W41" i="11" s="1"/>
  <c r="V7" i="11"/>
  <c r="U7" i="11"/>
  <c r="U13" i="11" s="1"/>
  <c r="U6" i="11" s="1"/>
  <c r="U41" i="11" s="1"/>
  <c r="T7" i="11"/>
  <c r="T13" i="11" s="1"/>
  <c r="T6" i="11" s="1"/>
  <c r="T41" i="11" s="1"/>
  <c r="S7" i="11"/>
  <c r="S13" i="11" s="1"/>
  <c r="S6" i="11" s="1"/>
  <c r="S41" i="11" s="1"/>
  <c r="R7" i="11"/>
  <c r="Q7" i="11"/>
  <c r="P7" i="11"/>
  <c r="O7" i="11"/>
  <c r="O13" i="11" s="1"/>
  <c r="O6" i="11" s="1"/>
  <c r="O41" i="11" s="1"/>
  <c r="N7" i="11"/>
  <c r="M7" i="11"/>
  <c r="M13" i="11" s="1"/>
  <c r="M6" i="11" s="1"/>
  <c r="M41" i="11" s="1"/>
  <c r="L7" i="11"/>
  <c r="K7" i="11"/>
  <c r="J7" i="11"/>
  <c r="I7" i="11"/>
  <c r="H7" i="11"/>
  <c r="G7" i="11"/>
  <c r="F7" i="11"/>
  <c r="E7" i="11"/>
  <c r="D7" i="11"/>
  <c r="C7" i="11"/>
  <c r="B7" i="11"/>
  <c r="R6" i="11"/>
  <c r="R41" i="11" s="1"/>
  <c r="P6" i="11"/>
  <c r="P41" i="11" s="1"/>
  <c r="L6" i="11"/>
  <c r="K6" i="11"/>
  <c r="J6" i="11"/>
  <c r="I6" i="11"/>
  <c r="H6" i="11"/>
  <c r="G6" i="11"/>
  <c r="F6" i="11"/>
  <c r="E6" i="11"/>
  <c r="D6" i="11"/>
  <c r="C6" i="11"/>
  <c r="B6" i="11"/>
  <c r="AD5" i="11"/>
  <c r="AD38" i="11" s="1"/>
  <c r="AC5" i="11"/>
  <c r="AC38" i="11" s="1"/>
  <c r="AB5" i="11"/>
  <c r="AB38" i="11" s="1"/>
  <c r="AA5" i="11"/>
  <c r="AA38" i="11" s="1"/>
  <c r="Z5" i="11"/>
  <c r="Z38" i="11" s="1"/>
  <c r="Y5" i="11"/>
  <c r="Y38" i="11" s="1"/>
  <c r="X5" i="11"/>
  <c r="X38" i="11" s="1"/>
  <c r="W5" i="11"/>
  <c r="W38" i="11" s="1"/>
  <c r="V5" i="11"/>
  <c r="V38" i="11" s="1"/>
  <c r="U5" i="11"/>
  <c r="U38" i="11" s="1"/>
  <c r="T5" i="11"/>
  <c r="T38" i="11" s="1"/>
  <c r="S5" i="11"/>
  <c r="S38" i="11" s="1"/>
  <c r="R5" i="11"/>
  <c r="R38" i="11" s="1"/>
  <c r="Q5" i="11"/>
  <c r="Q13" i="11" s="1"/>
  <c r="Q6" i="11" s="1"/>
  <c r="Q41" i="11" s="1"/>
  <c r="P5" i="11"/>
  <c r="P38" i="11" s="1"/>
  <c r="O5" i="11"/>
  <c r="O38" i="11" s="1"/>
  <c r="N5" i="11"/>
  <c r="N38" i="11" s="1"/>
  <c r="M5" i="11"/>
  <c r="L5" i="11"/>
  <c r="K5" i="11"/>
  <c r="J5" i="11"/>
  <c r="I5" i="11"/>
  <c r="H5" i="11"/>
  <c r="G5" i="11"/>
  <c r="F5" i="11"/>
  <c r="E5" i="11"/>
  <c r="D5" i="11"/>
  <c r="D16" i="11" s="1"/>
  <c r="C5" i="11"/>
  <c r="C16" i="11" s="1"/>
  <c r="B5" i="11"/>
  <c r="Q37" i="10"/>
  <c r="C31" i="10"/>
  <c r="B31" i="10"/>
  <c r="B19" i="10" s="1"/>
  <c r="B24" i="10" s="1"/>
  <c r="C30" i="10"/>
  <c r="D29" i="10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C29" i="10"/>
  <c r="B27" i="10"/>
  <c r="D16" i="10"/>
  <c r="AB13" i="10"/>
  <c r="AB6" i="10" s="1"/>
  <c r="AB40" i="10" s="1"/>
  <c r="L13" i="10"/>
  <c r="G13" i="10"/>
  <c r="E13" i="10"/>
  <c r="D13" i="10"/>
  <c r="B13" i="10"/>
  <c r="L12" i="10"/>
  <c r="K12" i="10"/>
  <c r="K13" i="10" s="1"/>
  <c r="J12" i="10"/>
  <c r="J13" i="10" s="1"/>
  <c r="I12" i="10"/>
  <c r="I13" i="10" s="1"/>
  <c r="H12" i="10"/>
  <c r="H13" i="10" s="1"/>
  <c r="G12" i="10"/>
  <c r="F12" i="10"/>
  <c r="F13" i="10" s="1"/>
  <c r="E12" i="10"/>
  <c r="D12" i="10"/>
  <c r="C12" i="10"/>
  <c r="C13" i="10" s="1"/>
  <c r="C11" i="10" s="1"/>
  <c r="B8" i="10"/>
  <c r="AD7" i="10"/>
  <c r="AD13" i="10" s="1"/>
  <c r="AD6" i="10" s="1"/>
  <c r="AD40" i="10" s="1"/>
  <c r="AC7" i="10"/>
  <c r="AC13" i="10" s="1"/>
  <c r="AC6" i="10" s="1"/>
  <c r="AC40" i="10" s="1"/>
  <c r="AB7" i="10"/>
  <c r="AA7" i="10"/>
  <c r="AA13" i="10" s="1"/>
  <c r="Z7" i="10"/>
  <c r="Z13" i="10" s="1"/>
  <c r="Z6" i="10" s="1"/>
  <c r="Z40" i="10" s="1"/>
  <c r="Y7" i="10"/>
  <c r="X7" i="10"/>
  <c r="W7" i="10"/>
  <c r="V7" i="10"/>
  <c r="V13" i="10" s="1"/>
  <c r="V6" i="10" s="1"/>
  <c r="V40" i="10" s="1"/>
  <c r="U7" i="10"/>
  <c r="U13" i="10" s="1"/>
  <c r="U6" i="10" s="1"/>
  <c r="U40" i="10" s="1"/>
  <c r="T7" i="10"/>
  <c r="T13" i="10" s="1"/>
  <c r="T6" i="10" s="1"/>
  <c r="T40" i="10" s="1"/>
  <c r="S7" i="10"/>
  <c r="S13" i="10" s="1"/>
  <c r="R7" i="10"/>
  <c r="R13" i="10" s="1"/>
  <c r="R6" i="10" s="1"/>
  <c r="R40" i="10" s="1"/>
  <c r="Q7" i="10"/>
  <c r="Q13" i="10" s="1"/>
  <c r="Q6" i="10" s="1"/>
  <c r="Q40" i="10" s="1"/>
  <c r="P7" i="10"/>
  <c r="O7" i="10"/>
  <c r="O13" i="10" s="1"/>
  <c r="O6" i="10" s="1"/>
  <c r="O40" i="10" s="1"/>
  <c r="N7" i="10"/>
  <c r="N13" i="10" s="1"/>
  <c r="N6" i="10" s="1"/>
  <c r="N40" i="10" s="1"/>
  <c r="M7" i="10"/>
  <c r="M13" i="10" s="1"/>
  <c r="M6" i="10" s="1"/>
  <c r="M40" i="10" s="1"/>
  <c r="L7" i="10"/>
  <c r="K7" i="10"/>
  <c r="J7" i="10"/>
  <c r="I7" i="10"/>
  <c r="H7" i="10"/>
  <c r="G7" i="10"/>
  <c r="F7" i="10"/>
  <c r="E7" i="10"/>
  <c r="D7" i="10"/>
  <c r="C7" i="10"/>
  <c r="B7" i="10"/>
  <c r="AA6" i="10"/>
  <c r="AA40" i="10" s="1"/>
  <c r="S6" i="10"/>
  <c r="S40" i="10" s="1"/>
  <c r="L6" i="10"/>
  <c r="K6" i="10"/>
  <c r="J6" i="10"/>
  <c r="I6" i="10"/>
  <c r="H6" i="10"/>
  <c r="G6" i="10"/>
  <c r="F6" i="10"/>
  <c r="E6" i="10"/>
  <c r="D6" i="10"/>
  <c r="C6" i="10"/>
  <c r="B6" i="10"/>
  <c r="AD5" i="10"/>
  <c r="AD37" i="10" s="1"/>
  <c r="AC5" i="10"/>
  <c r="AC37" i="10" s="1"/>
  <c r="AB5" i="10"/>
  <c r="AB37" i="10" s="1"/>
  <c r="AA5" i="10"/>
  <c r="AA37" i="10" s="1"/>
  <c r="Z5" i="10"/>
  <c r="Z37" i="10" s="1"/>
  <c r="Y5" i="10"/>
  <c r="Y37" i="10" s="1"/>
  <c r="X5" i="10"/>
  <c r="X37" i="10" s="1"/>
  <c r="W5" i="10"/>
  <c r="W37" i="10" s="1"/>
  <c r="V5" i="10"/>
  <c r="V37" i="10" s="1"/>
  <c r="U5" i="10"/>
  <c r="U37" i="10" s="1"/>
  <c r="T5" i="10"/>
  <c r="T37" i="10" s="1"/>
  <c r="S5" i="10"/>
  <c r="S37" i="10" s="1"/>
  <c r="R5" i="10"/>
  <c r="R37" i="10" s="1"/>
  <c r="Q5" i="10"/>
  <c r="P5" i="10"/>
  <c r="P37" i="10" s="1"/>
  <c r="O5" i="10"/>
  <c r="O37" i="10" s="1"/>
  <c r="N5" i="10"/>
  <c r="N37" i="10" s="1"/>
  <c r="M5" i="10"/>
  <c r="M37" i="10" s="1"/>
  <c r="L5" i="10"/>
  <c r="K5" i="10"/>
  <c r="J5" i="10"/>
  <c r="I5" i="10"/>
  <c r="H5" i="10"/>
  <c r="G5" i="10"/>
  <c r="F5" i="10"/>
  <c r="E5" i="10"/>
  <c r="D5" i="10"/>
  <c r="C5" i="10"/>
  <c r="C16" i="10" s="1"/>
  <c r="B5" i="10"/>
  <c r="P30" i="5"/>
  <c r="O30" i="5"/>
  <c r="B30" i="5"/>
  <c r="P29" i="5"/>
  <c r="C29" i="5"/>
  <c r="C30" i="5" s="1"/>
  <c r="O27" i="5"/>
  <c r="B27" i="5"/>
  <c r="B19" i="5"/>
  <c r="Y13" i="5"/>
  <c r="Q13" i="5"/>
  <c r="O13" i="5"/>
  <c r="F13" i="5"/>
  <c r="B13" i="5"/>
  <c r="Y12" i="5"/>
  <c r="X12" i="5"/>
  <c r="X13" i="5" s="1"/>
  <c r="W12" i="5"/>
  <c r="W13" i="5" s="1"/>
  <c r="V12" i="5"/>
  <c r="V13" i="5" s="1"/>
  <c r="U12" i="5"/>
  <c r="U13" i="5" s="1"/>
  <c r="T12" i="5"/>
  <c r="T13" i="5" s="1"/>
  <c r="S12" i="5"/>
  <c r="S13" i="5" s="1"/>
  <c r="R12" i="5"/>
  <c r="R13" i="5" s="1"/>
  <c r="Q12" i="5"/>
  <c r="P12" i="5"/>
  <c r="P13" i="5" s="1"/>
  <c r="P11" i="5" s="1"/>
  <c r="L12" i="5"/>
  <c r="L13" i="5" s="1"/>
  <c r="K12" i="5"/>
  <c r="K13" i="5" s="1"/>
  <c r="J12" i="5"/>
  <c r="J13" i="5" s="1"/>
  <c r="I12" i="5"/>
  <c r="I13" i="5" s="1"/>
  <c r="H12" i="5"/>
  <c r="H13" i="5" s="1"/>
  <c r="G12" i="5"/>
  <c r="G13" i="5" s="1"/>
  <c r="F12" i="5"/>
  <c r="E12" i="5"/>
  <c r="E13" i="5" s="1"/>
  <c r="D12" i="5"/>
  <c r="D13" i="5" s="1"/>
  <c r="C12" i="5"/>
  <c r="C13" i="5" s="1"/>
  <c r="C11" i="5" s="1"/>
  <c r="O8" i="5"/>
  <c r="B8" i="5"/>
  <c r="Y7" i="5"/>
  <c r="X7" i="5"/>
  <c r="W7" i="5"/>
  <c r="V7" i="5"/>
  <c r="U7" i="5"/>
  <c r="T7" i="5"/>
  <c r="S7" i="5"/>
  <c r="R7" i="5"/>
  <c r="Q7" i="5"/>
  <c r="P7" i="5"/>
  <c r="O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L5" i="5"/>
  <c r="K5" i="5"/>
  <c r="J5" i="5"/>
  <c r="I5" i="5"/>
  <c r="H5" i="5"/>
  <c r="G5" i="5"/>
  <c r="F5" i="5"/>
  <c r="E5" i="5"/>
  <c r="D5" i="5"/>
  <c r="C5" i="5"/>
  <c r="C16" i="5" s="1"/>
  <c r="B5" i="5"/>
  <c r="B30" i="4"/>
  <c r="B19" i="4" s="1"/>
  <c r="B24" i="4" s="1"/>
  <c r="C29" i="4"/>
  <c r="C30" i="4" s="1"/>
  <c r="B27" i="4"/>
  <c r="B13" i="4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D12" i="4"/>
  <c r="D13" i="4" s="1"/>
  <c r="C12" i="4"/>
  <c r="C13" i="4" s="1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C16" i="4" s="1"/>
  <c r="B5" i="4"/>
  <c r="P30" i="6"/>
  <c r="O30" i="6"/>
  <c r="B30" i="6"/>
  <c r="P29" i="6"/>
  <c r="C29" i="6"/>
  <c r="C30" i="6" s="1"/>
  <c r="O27" i="6"/>
  <c r="B27" i="6"/>
  <c r="O19" i="6"/>
  <c r="B19" i="6"/>
  <c r="P16" i="6"/>
  <c r="C16" i="6"/>
  <c r="X13" i="6"/>
  <c r="W13" i="6"/>
  <c r="V13" i="6"/>
  <c r="U13" i="6"/>
  <c r="P13" i="6"/>
  <c r="O13" i="6"/>
  <c r="L13" i="6"/>
  <c r="F13" i="6"/>
  <c r="E13" i="6"/>
  <c r="D13" i="6"/>
  <c r="B13" i="6"/>
  <c r="Y12" i="6"/>
  <c r="Y13" i="6" s="1"/>
  <c r="X12" i="6"/>
  <c r="W12" i="6"/>
  <c r="V12" i="6"/>
  <c r="U12" i="6"/>
  <c r="T12" i="6"/>
  <c r="T13" i="6" s="1"/>
  <c r="S12" i="6"/>
  <c r="S13" i="6" s="1"/>
  <c r="R12" i="6"/>
  <c r="R13" i="6" s="1"/>
  <c r="Q12" i="6"/>
  <c r="Q13" i="6" s="1"/>
  <c r="P12" i="6"/>
  <c r="L12" i="6"/>
  <c r="K12" i="6"/>
  <c r="K13" i="6" s="1"/>
  <c r="J12" i="6"/>
  <c r="J13" i="6" s="1"/>
  <c r="I12" i="6"/>
  <c r="I13" i="6" s="1"/>
  <c r="H12" i="6"/>
  <c r="H13" i="6" s="1"/>
  <c r="G12" i="6"/>
  <c r="G13" i="6" s="1"/>
  <c r="F12" i="6"/>
  <c r="E12" i="6"/>
  <c r="D12" i="6"/>
  <c r="C12" i="6"/>
  <c r="C13" i="6" s="1"/>
  <c r="C11" i="6" s="1"/>
  <c r="P11" i="6"/>
  <c r="P17" i="6" s="1"/>
  <c r="O8" i="6"/>
  <c r="B8" i="6"/>
  <c r="Y7" i="6"/>
  <c r="X7" i="6"/>
  <c r="W7" i="6"/>
  <c r="V7" i="6"/>
  <c r="U7" i="6"/>
  <c r="T7" i="6"/>
  <c r="S7" i="6"/>
  <c r="R7" i="6"/>
  <c r="Q7" i="6"/>
  <c r="P7" i="6"/>
  <c r="O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L5" i="6"/>
  <c r="K5" i="6"/>
  <c r="J5" i="6"/>
  <c r="I5" i="6"/>
  <c r="H5" i="6"/>
  <c r="G5" i="6"/>
  <c r="F5" i="6"/>
  <c r="E5" i="6"/>
  <c r="D5" i="6"/>
  <c r="C5" i="6"/>
  <c r="B5" i="6"/>
  <c r="P32" i="9"/>
  <c r="O32" i="9"/>
  <c r="B32" i="9"/>
  <c r="P31" i="9"/>
  <c r="C31" i="9"/>
  <c r="C32" i="9" s="1"/>
  <c r="O29" i="9"/>
  <c r="B29" i="9"/>
  <c r="O26" i="9"/>
  <c r="O50" i="9" s="1"/>
  <c r="Y23" i="9"/>
  <c r="X23" i="9"/>
  <c r="W23" i="9"/>
  <c r="V23" i="9"/>
  <c r="U23" i="9"/>
  <c r="T23" i="9"/>
  <c r="S23" i="9"/>
  <c r="R23" i="9"/>
  <c r="Q23" i="9"/>
  <c r="P23" i="9"/>
  <c r="O23" i="9"/>
  <c r="L23" i="9"/>
  <c r="K23" i="9"/>
  <c r="J23" i="9"/>
  <c r="I23" i="9"/>
  <c r="H23" i="9"/>
  <c r="G23" i="9"/>
  <c r="F23" i="9"/>
  <c r="E23" i="9"/>
  <c r="D23" i="9"/>
  <c r="C23" i="9"/>
  <c r="B23" i="9"/>
  <c r="O19" i="9"/>
  <c r="B19" i="9"/>
  <c r="B26" i="9" s="1"/>
  <c r="P16" i="9"/>
  <c r="C16" i="9"/>
  <c r="Y13" i="9"/>
  <c r="X13" i="9"/>
  <c r="R13" i="9"/>
  <c r="Q13" i="9"/>
  <c r="P13" i="9"/>
  <c r="P11" i="9" s="1"/>
  <c r="O13" i="9"/>
  <c r="H13" i="9"/>
  <c r="G13" i="9"/>
  <c r="F13" i="9"/>
  <c r="B13" i="9"/>
  <c r="Y12" i="9"/>
  <c r="X12" i="9"/>
  <c r="W12" i="9"/>
  <c r="W13" i="9" s="1"/>
  <c r="V12" i="9"/>
  <c r="V13" i="9" s="1"/>
  <c r="U12" i="9"/>
  <c r="U13" i="9" s="1"/>
  <c r="T12" i="9"/>
  <c r="T13" i="9" s="1"/>
  <c r="S12" i="9"/>
  <c r="S13" i="9" s="1"/>
  <c r="R12" i="9"/>
  <c r="Q12" i="9"/>
  <c r="P12" i="9"/>
  <c r="L12" i="9"/>
  <c r="L13" i="9" s="1"/>
  <c r="K12" i="9"/>
  <c r="K13" i="9" s="1"/>
  <c r="J12" i="9"/>
  <c r="J13" i="9" s="1"/>
  <c r="I12" i="9"/>
  <c r="I13" i="9" s="1"/>
  <c r="H12" i="9"/>
  <c r="G12" i="9"/>
  <c r="F12" i="9"/>
  <c r="E12" i="9"/>
  <c r="E13" i="9" s="1"/>
  <c r="D12" i="9"/>
  <c r="D13" i="9" s="1"/>
  <c r="C12" i="9"/>
  <c r="C13" i="9" s="1"/>
  <c r="C11" i="9" s="1"/>
  <c r="O8" i="9"/>
  <c r="B8" i="9"/>
  <c r="Y7" i="9"/>
  <c r="X7" i="9"/>
  <c r="W7" i="9"/>
  <c r="V7" i="9"/>
  <c r="U7" i="9"/>
  <c r="T7" i="9"/>
  <c r="S7" i="9"/>
  <c r="R7" i="9"/>
  <c r="Q7" i="9"/>
  <c r="P7" i="9"/>
  <c r="O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L5" i="9"/>
  <c r="K5" i="9"/>
  <c r="J5" i="9"/>
  <c r="I5" i="9"/>
  <c r="H5" i="9"/>
  <c r="G5" i="9"/>
  <c r="F5" i="9"/>
  <c r="E5" i="9"/>
  <c r="D5" i="9"/>
  <c r="C5" i="9"/>
  <c r="B5" i="9"/>
  <c r="B30" i="8"/>
  <c r="B19" i="8" s="1"/>
  <c r="B24" i="8" s="1"/>
  <c r="C29" i="8"/>
  <c r="C30" i="8" s="1"/>
  <c r="B27" i="8"/>
  <c r="B13" i="8"/>
  <c r="L12" i="8"/>
  <c r="L13" i="8" s="1"/>
  <c r="K12" i="8"/>
  <c r="K13" i="8" s="1"/>
  <c r="J12" i="8"/>
  <c r="J13" i="8" s="1"/>
  <c r="I12" i="8"/>
  <c r="I13" i="8" s="1"/>
  <c r="H12" i="8"/>
  <c r="H13" i="8" s="1"/>
  <c r="G12" i="8"/>
  <c r="G13" i="8" s="1"/>
  <c r="F12" i="8"/>
  <c r="F13" i="8" s="1"/>
  <c r="E12" i="8"/>
  <c r="E13" i="8" s="1"/>
  <c r="D12" i="8"/>
  <c r="D13" i="8" s="1"/>
  <c r="C12" i="8"/>
  <c r="C13" i="8" s="1"/>
  <c r="C11" i="8" s="1"/>
  <c r="B8" i="8"/>
  <c r="L7" i="8"/>
  <c r="K7" i="8"/>
  <c r="J7" i="8"/>
  <c r="I7" i="8"/>
  <c r="H7" i="8"/>
  <c r="G7" i="8"/>
  <c r="F7" i="8"/>
  <c r="E7" i="8"/>
  <c r="D7" i="8"/>
  <c r="C7" i="8"/>
  <c r="B7" i="8"/>
  <c r="L6" i="8"/>
  <c r="K6" i="8"/>
  <c r="J6" i="8"/>
  <c r="I6" i="8"/>
  <c r="H6" i="8"/>
  <c r="G6" i="8"/>
  <c r="F6" i="8"/>
  <c r="E6" i="8"/>
  <c r="D6" i="8"/>
  <c r="C6" i="8"/>
  <c r="B6" i="8"/>
  <c r="L5" i="8"/>
  <c r="K5" i="8"/>
  <c r="J5" i="8"/>
  <c r="I5" i="8"/>
  <c r="H5" i="8"/>
  <c r="G5" i="8"/>
  <c r="F5" i="8"/>
  <c r="E5" i="8"/>
  <c r="D5" i="8"/>
  <c r="C5" i="8"/>
  <c r="C16" i="8" s="1"/>
  <c r="B5" i="8"/>
  <c r="B26" i="3"/>
  <c r="L21" i="3"/>
  <c r="K21" i="3"/>
  <c r="J21" i="3"/>
  <c r="I21" i="3"/>
  <c r="H21" i="3"/>
  <c r="G21" i="3"/>
  <c r="F21" i="3"/>
  <c r="E21" i="3"/>
  <c r="D21" i="3"/>
  <c r="C21" i="3"/>
  <c r="C16" i="3"/>
  <c r="D16" i="3" s="1"/>
  <c r="B13" i="3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D12" i="3"/>
  <c r="D13" i="3" s="1"/>
  <c r="C12" i="3"/>
  <c r="C13" i="3" s="1"/>
  <c r="C25" i="3" s="1"/>
  <c r="B8" i="3"/>
  <c r="L7" i="3"/>
  <c r="K7" i="3"/>
  <c r="J7" i="3"/>
  <c r="I7" i="3"/>
  <c r="H7" i="3"/>
  <c r="G7" i="3"/>
  <c r="F7" i="3"/>
  <c r="E7" i="3"/>
  <c r="D7" i="3"/>
  <c r="C7" i="3"/>
  <c r="B7" i="3"/>
  <c r="L5" i="3"/>
  <c r="B30" i="2"/>
  <c r="C29" i="2"/>
  <c r="C30" i="2" s="1"/>
  <c r="B27" i="2"/>
  <c r="B19" i="2"/>
  <c r="C16" i="2"/>
  <c r="B13" i="2"/>
  <c r="L12" i="2"/>
  <c r="K12" i="2"/>
  <c r="J12" i="2"/>
  <c r="I12" i="2"/>
  <c r="H12" i="2"/>
  <c r="H13" i="2" s="1"/>
  <c r="G12" i="2"/>
  <c r="G13" i="2" s="1"/>
  <c r="F12" i="2"/>
  <c r="F13" i="2" s="1"/>
  <c r="E12" i="2"/>
  <c r="E13" i="2" s="1"/>
  <c r="D12" i="2"/>
  <c r="C12" i="2"/>
  <c r="C13" i="2" s="1"/>
  <c r="C11" i="2" s="1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F19" i="2" l="1"/>
  <c r="E24" i="2"/>
  <c r="D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C11" i="4"/>
  <c r="C26" i="4"/>
  <c r="D26" i="4" s="1"/>
  <c r="E26" i="4" s="1"/>
  <c r="F26" i="4" s="1"/>
  <c r="G26" i="4" s="1"/>
  <c r="H26" i="4" s="1"/>
  <c r="I26" i="4" s="1"/>
  <c r="J26" i="4" s="1"/>
  <c r="K26" i="4" s="1"/>
  <c r="L26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L6" i="3"/>
  <c r="K6" i="3"/>
  <c r="G6" i="3"/>
  <c r="J6" i="3"/>
  <c r="B6" i="3"/>
  <c r="D6" i="3"/>
  <c r="C29" i="3"/>
  <c r="I6" i="3"/>
  <c r="H6" i="3"/>
  <c r="B23" i="3"/>
  <c r="B47" i="3" s="1"/>
  <c r="C6" i="3"/>
  <c r="C27" i="2"/>
  <c r="C17" i="15"/>
  <c r="C22" i="15"/>
  <c r="D11" i="15"/>
  <c r="D16" i="15"/>
  <c r="B24" i="15"/>
  <c r="D20" i="14"/>
  <c r="D18" i="14"/>
  <c r="D22" i="14"/>
  <c r="E11" i="14"/>
  <c r="D16" i="14"/>
  <c r="Q13" i="14"/>
  <c r="Q6" i="14" s="1"/>
  <c r="Q40" i="14" s="1"/>
  <c r="Y13" i="14"/>
  <c r="Y6" i="14" s="1"/>
  <c r="Y40" i="14" s="1"/>
  <c r="S13" i="14"/>
  <c r="S6" i="14" s="1"/>
  <c r="S40" i="14" s="1"/>
  <c r="AA13" i="14"/>
  <c r="AA6" i="14" s="1"/>
  <c r="AA40" i="14" s="1"/>
  <c r="R13" i="14"/>
  <c r="R6" i="14" s="1"/>
  <c r="R40" i="14" s="1"/>
  <c r="T13" i="14"/>
  <c r="T6" i="14" s="1"/>
  <c r="T40" i="14" s="1"/>
  <c r="AB13" i="14"/>
  <c r="AB6" i="14" s="1"/>
  <c r="AB40" i="14" s="1"/>
  <c r="C17" i="14"/>
  <c r="D17" i="14" s="1"/>
  <c r="C22" i="14"/>
  <c r="Z13" i="14"/>
  <c r="Z6" i="14" s="1"/>
  <c r="Z40" i="14" s="1"/>
  <c r="O13" i="14"/>
  <c r="O6" i="14" s="1"/>
  <c r="O40" i="14" s="1"/>
  <c r="W13" i="14"/>
  <c r="W6" i="14" s="1"/>
  <c r="W40" i="14" s="1"/>
  <c r="B24" i="14"/>
  <c r="E16" i="11"/>
  <c r="N13" i="11"/>
  <c r="N6" i="11" s="1"/>
  <c r="N41" i="11" s="1"/>
  <c r="V13" i="11"/>
  <c r="V6" i="11" s="1"/>
  <c r="V41" i="11" s="1"/>
  <c r="AD13" i="11"/>
  <c r="AD6" i="11" s="1"/>
  <c r="AD41" i="11" s="1"/>
  <c r="B34" i="11"/>
  <c r="B35" i="11" s="1"/>
  <c r="B4" i="11" s="1"/>
  <c r="B50" i="11"/>
  <c r="Q38" i="11"/>
  <c r="C22" i="11"/>
  <c r="C25" i="11" s="1"/>
  <c r="D11" i="11"/>
  <c r="C22" i="10"/>
  <c r="D11" i="10"/>
  <c r="C14" i="10"/>
  <c r="C17" i="10"/>
  <c r="B49" i="10"/>
  <c r="B33" i="10"/>
  <c r="B34" i="10" s="1"/>
  <c r="B4" i="10" s="1"/>
  <c r="W13" i="10"/>
  <c r="W6" i="10" s="1"/>
  <c r="W40" i="10" s="1"/>
  <c r="E16" i="10"/>
  <c r="P13" i="10"/>
  <c r="P6" i="10" s="1"/>
  <c r="P40" i="10" s="1"/>
  <c r="X13" i="10"/>
  <c r="X6" i="10" s="1"/>
  <c r="X40" i="10" s="1"/>
  <c r="Y13" i="10"/>
  <c r="Y6" i="10" s="1"/>
  <c r="Y40" i="10" s="1"/>
  <c r="D11" i="5"/>
  <c r="C17" i="5"/>
  <c r="C22" i="5"/>
  <c r="O24" i="5"/>
  <c r="Q11" i="5"/>
  <c r="D16" i="5"/>
  <c r="B24" i="5"/>
  <c r="E16" i="4"/>
  <c r="C22" i="4"/>
  <c r="D11" i="4"/>
  <c r="C17" i="4"/>
  <c r="D11" i="6"/>
  <c r="C17" i="6"/>
  <c r="C22" i="6"/>
  <c r="Q11" i="6"/>
  <c r="D16" i="6"/>
  <c r="B24" i="6"/>
  <c r="Q16" i="6"/>
  <c r="P22" i="6"/>
  <c r="O24" i="6"/>
  <c r="Q11" i="9"/>
  <c r="P24" i="9"/>
  <c r="P17" i="9"/>
  <c r="P22" i="9"/>
  <c r="O51" i="9"/>
  <c r="O9" i="9" s="1"/>
  <c r="P47" i="9"/>
  <c r="Q16" i="9"/>
  <c r="D16" i="9"/>
  <c r="D11" i="9"/>
  <c r="C24" i="9"/>
  <c r="C17" i="9"/>
  <c r="B50" i="9"/>
  <c r="B34" i="9"/>
  <c r="B35" i="9" s="1"/>
  <c r="B4" i="9" s="1"/>
  <c r="C22" i="9"/>
  <c r="O34" i="9"/>
  <c r="O35" i="9" s="1"/>
  <c r="O4" i="9" s="1"/>
  <c r="D11" i="8"/>
  <c r="C17" i="8"/>
  <c r="C22" i="8"/>
  <c r="B48" i="8"/>
  <c r="B32" i="8"/>
  <c r="B33" i="8" s="1"/>
  <c r="B4" i="8" s="1"/>
  <c r="D16" i="8"/>
  <c r="C11" i="3"/>
  <c r="E16" i="3"/>
  <c r="C22" i="2"/>
  <c r="D11" i="2"/>
  <c r="D16" i="2"/>
  <c r="C17" i="2"/>
  <c r="G19" i="2" l="1"/>
  <c r="F24" i="2"/>
  <c r="C20" i="3"/>
  <c r="C17" i="3"/>
  <c r="C18" i="3"/>
  <c r="C48" i="2"/>
  <c r="C49" i="2" s="1"/>
  <c r="C9" i="2" s="1"/>
  <c r="B32" i="15"/>
  <c r="B33" i="15" s="1"/>
  <c r="B4" i="15" s="1"/>
  <c r="B48" i="15"/>
  <c r="E16" i="15"/>
  <c r="D22" i="15"/>
  <c r="D18" i="15"/>
  <c r="D17" i="15"/>
  <c r="E11" i="15"/>
  <c r="D20" i="15"/>
  <c r="B49" i="14"/>
  <c r="B33" i="14"/>
  <c r="B34" i="14" s="1"/>
  <c r="B4" i="14" s="1"/>
  <c r="E16" i="14"/>
  <c r="E20" i="14"/>
  <c r="E18" i="14"/>
  <c r="E17" i="14"/>
  <c r="E22" i="14"/>
  <c r="F11" i="14"/>
  <c r="C28" i="11"/>
  <c r="C50" i="11" s="1"/>
  <c r="C51" i="11" s="1"/>
  <c r="C9" i="11" s="1"/>
  <c r="E11" i="11"/>
  <c r="D20" i="11"/>
  <c r="D18" i="11"/>
  <c r="D22" i="11"/>
  <c r="D17" i="11"/>
  <c r="F16" i="11"/>
  <c r="B51" i="11"/>
  <c r="B9" i="11" s="1"/>
  <c r="C47" i="11"/>
  <c r="B50" i="10"/>
  <c r="B9" i="10" s="1"/>
  <c r="C46" i="10"/>
  <c r="F16" i="10"/>
  <c r="D20" i="10"/>
  <c r="D18" i="10"/>
  <c r="D17" i="10"/>
  <c r="D14" i="10"/>
  <c r="E11" i="10"/>
  <c r="D22" i="10"/>
  <c r="B48" i="5"/>
  <c r="B32" i="5"/>
  <c r="B33" i="5" s="1"/>
  <c r="B4" i="5" s="1"/>
  <c r="E16" i="5"/>
  <c r="D20" i="5"/>
  <c r="D17" i="5"/>
  <c r="D22" i="5"/>
  <c r="D18" i="5"/>
  <c r="E11" i="5"/>
  <c r="R11" i="5"/>
  <c r="O48" i="5"/>
  <c r="O32" i="5"/>
  <c r="O33" i="5" s="1"/>
  <c r="O4" i="5" s="1"/>
  <c r="P24" i="5"/>
  <c r="B48" i="4"/>
  <c r="B32" i="4"/>
  <c r="B33" i="4" s="1"/>
  <c r="B4" i="4" s="1"/>
  <c r="D20" i="4"/>
  <c r="E11" i="4"/>
  <c r="D18" i="4"/>
  <c r="D17" i="4"/>
  <c r="D22" i="4"/>
  <c r="F16" i="4"/>
  <c r="O48" i="6"/>
  <c r="O32" i="6"/>
  <c r="O33" i="6" s="1"/>
  <c r="O4" i="6" s="1"/>
  <c r="R16" i="6"/>
  <c r="B48" i="6"/>
  <c r="B32" i="6"/>
  <c r="B33" i="6" s="1"/>
  <c r="B4" i="6" s="1"/>
  <c r="E11" i="6"/>
  <c r="D17" i="6"/>
  <c r="D20" i="6"/>
  <c r="D22" i="6"/>
  <c r="E16" i="6"/>
  <c r="Q17" i="6"/>
  <c r="Q22" i="6"/>
  <c r="R11" i="6"/>
  <c r="Q20" i="6"/>
  <c r="Q18" i="6"/>
  <c r="Q31" i="9"/>
  <c r="Q32" i="9" s="1"/>
  <c r="P8" i="9"/>
  <c r="B51" i="9"/>
  <c r="B9" i="9" s="1"/>
  <c r="C47" i="9"/>
  <c r="D20" i="9"/>
  <c r="D18" i="9"/>
  <c r="D24" i="9"/>
  <c r="D17" i="9"/>
  <c r="D22" i="9"/>
  <c r="E11" i="9"/>
  <c r="Q20" i="9"/>
  <c r="Q18" i="9"/>
  <c r="Q24" i="9"/>
  <c r="Q17" i="9"/>
  <c r="Q22" i="9"/>
  <c r="R11" i="9"/>
  <c r="E16" i="9"/>
  <c r="R16" i="9"/>
  <c r="E16" i="8"/>
  <c r="B49" i="8"/>
  <c r="B9" i="8" s="1"/>
  <c r="C45" i="8"/>
  <c r="D18" i="8"/>
  <c r="D17" i="8"/>
  <c r="D22" i="8"/>
  <c r="E11" i="8"/>
  <c r="D20" i="8"/>
  <c r="B31" i="3"/>
  <c r="B32" i="3" s="1"/>
  <c r="B4" i="3" s="1"/>
  <c r="F16" i="3"/>
  <c r="D11" i="3"/>
  <c r="D25" i="3"/>
  <c r="C26" i="3"/>
  <c r="E16" i="2"/>
  <c r="B48" i="2"/>
  <c r="B32" i="2"/>
  <c r="B33" i="2" s="1"/>
  <c r="B4" i="2" s="1"/>
  <c r="E11" i="2"/>
  <c r="D20" i="2"/>
  <c r="D18" i="2"/>
  <c r="D22" i="2"/>
  <c r="D17" i="2"/>
  <c r="H19" i="2" l="1"/>
  <c r="G24" i="2"/>
  <c r="C34" i="11"/>
  <c r="C35" i="11" s="1"/>
  <c r="C4" i="11" s="1"/>
  <c r="C23" i="3"/>
  <c r="D18" i="3"/>
  <c r="D20" i="3"/>
  <c r="D17" i="3"/>
  <c r="C32" i="2"/>
  <c r="C33" i="2" s="1"/>
  <c r="C4" i="2" s="1"/>
  <c r="C24" i="15"/>
  <c r="C27" i="15"/>
  <c r="F16" i="15"/>
  <c r="B49" i="15"/>
  <c r="B9" i="15" s="1"/>
  <c r="C45" i="15"/>
  <c r="F11" i="15"/>
  <c r="E18" i="15"/>
  <c r="E17" i="15"/>
  <c r="E22" i="15"/>
  <c r="E20" i="15"/>
  <c r="C27" i="14"/>
  <c r="E24" i="14"/>
  <c r="F16" i="14"/>
  <c r="D24" i="14"/>
  <c r="F17" i="14"/>
  <c r="F22" i="14"/>
  <c r="G11" i="14"/>
  <c r="F20" i="14"/>
  <c r="F18" i="14"/>
  <c r="B50" i="14"/>
  <c r="B9" i="14" s="1"/>
  <c r="C46" i="14"/>
  <c r="C24" i="14"/>
  <c r="D31" i="11"/>
  <c r="D32" i="11" s="1"/>
  <c r="D47" i="11"/>
  <c r="C8" i="11"/>
  <c r="D25" i="11"/>
  <c r="E18" i="11"/>
  <c r="E17" i="11"/>
  <c r="F11" i="11"/>
  <c r="E20" i="11"/>
  <c r="E22" i="11"/>
  <c r="G16" i="11"/>
  <c r="G16" i="10"/>
  <c r="E17" i="10"/>
  <c r="E14" i="10"/>
  <c r="E22" i="10"/>
  <c r="E18" i="10"/>
  <c r="F11" i="10"/>
  <c r="E20" i="10"/>
  <c r="C27" i="10"/>
  <c r="D24" i="10"/>
  <c r="D30" i="10"/>
  <c r="D31" i="10" s="1"/>
  <c r="C8" i="10"/>
  <c r="C24" i="10"/>
  <c r="D24" i="5"/>
  <c r="C27" i="5"/>
  <c r="S11" i="5"/>
  <c r="F16" i="5"/>
  <c r="P27" i="5"/>
  <c r="P48" i="5" s="1"/>
  <c r="P49" i="5" s="1"/>
  <c r="P9" i="5" s="1"/>
  <c r="O49" i="5"/>
  <c r="O9" i="5" s="1"/>
  <c r="P45" i="5"/>
  <c r="E17" i="5"/>
  <c r="E22" i="5"/>
  <c r="E20" i="5"/>
  <c r="E18" i="5"/>
  <c r="F11" i="5"/>
  <c r="C45" i="5"/>
  <c r="B49" i="5"/>
  <c r="B9" i="5" s="1"/>
  <c r="C24" i="5"/>
  <c r="C27" i="4"/>
  <c r="G16" i="4"/>
  <c r="E18" i="4"/>
  <c r="E17" i="4"/>
  <c r="E22" i="4"/>
  <c r="F11" i="4"/>
  <c r="E20" i="4"/>
  <c r="B49" i="4"/>
  <c r="B9" i="4" s="1"/>
  <c r="C45" i="4"/>
  <c r="C24" i="4"/>
  <c r="D24" i="6"/>
  <c r="R22" i="6"/>
  <c r="R17" i="6"/>
  <c r="S11" i="6"/>
  <c r="R20" i="6"/>
  <c r="R18" i="6"/>
  <c r="C27" i="6"/>
  <c r="E17" i="6"/>
  <c r="E22" i="6"/>
  <c r="E20" i="6"/>
  <c r="F11" i="6"/>
  <c r="O49" i="6"/>
  <c r="O9" i="6" s="1"/>
  <c r="P45" i="6"/>
  <c r="F16" i="6"/>
  <c r="P27" i="6"/>
  <c r="P24" i="6"/>
  <c r="C45" i="6"/>
  <c r="B49" i="6"/>
  <c r="B9" i="6" s="1"/>
  <c r="S16" i="6"/>
  <c r="C24" i="6"/>
  <c r="P29" i="9"/>
  <c r="S16" i="9"/>
  <c r="C29" i="9"/>
  <c r="D31" i="9"/>
  <c r="D32" i="9" s="1"/>
  <c r="C8" i="9"/>
  <c r="E20" i="9"/>
  <c r="E18" i="9"/>
  <c r="F11" i="9"/>
  <c r="E22" i="9"/>
  <c r="E24" i="9"/>
  <c r="E17" i="9"/>
  <c r="F16" i="9"/>
  <c r="R24" i="9"/>
  <c r="R17" i="9"/>
  <c r="R22" i="9"/>
  <c r="R20" i="9"/>
  <c r="R18" i="9"/>
  <c r="S11" i="9"/>
  <c r="P26" i="9"/>
  <c r="C26" i="9"/>
  <c r="C27" i="8"/>
  <c r="D29" i="8"/>
  <c r="D30" i="8" s="1"/>
  <c r="C8" i="8"/>
  <c r="F16" i="8"/>
  <c r="E18" i="8"/>
  <c r="E17" i="8"/>
  <c r="E22" i="8"/>
  <c r="F11" i="8"/>
  <c r="E20" i="8"/>
  <c r="C24" i="8"/>
  <c r="E25" i="3"/>
  <c r="D26" i="3"/>
  <c r="E11" i="3"/>
  <c r="C31" i="3"/>
  <c r="C32" i="3" s="1"/>
  <c r="C4" i="3" s="1"/>
  <c r="C47" i="3"/>
  <c r="C48" i="3" s="1"/>
  <c r="C9" i="3" s="1"/>
  <c r="G16" i="3"/>
  <c r="B48" i="3"/>
  <c r="B9" i="3" s="1"/>
  <c r="C44" i="3"/>
  <c r="D28" i="3" s="1"/>
  <c r="E20" i="2"/>
  <c r="E22" i="2"/>
  <c r="E17" i="2"/>
  <c r="E18" i="2"/>
  <c r="F11" i="2"/>
  <c r="C45" i="2"/>
  <c r="B49" i="2"/>
  <c r="B9" i="2" s="1"/>
  <c r="F16" i="2"/>
  <c r="I19" i="2" l="1"/>
  <c r="H24" i="2"/>
  <c r="R26" i="9"/>
  <c r="E17" i="3"/>
  <c r="E20" i="3"/>
  <c r="E18" i="3"/>
  <c r="D24" i="4"/>
  <c r="D24" i="15"/>
  <c r="D27" i="15"/>
  <c r="G16" i="15"/>
  <c r="F20" i="15"/>
  <c r="F18" i="15"/>
  <c r="F17" i="15"/>
  <c r="F22" i="15"/>
  <c r="G11" i="15"/>
  <c r="C48" i="15"/>
  <c r="C49" i="15" s="1"/>
  <c r="C9" i="15" s="1"/>
  <c r="C32" i="15"/>
  <c r="C33" i="15" s="1"/>
  <c r="C4" i="15" s="1"/>
  <c r="D29" i="15"/>
  <c r="D30" i="15" s="1"/>
  <c r="C8" i="15"/>
  <c r="C49" i="14"/>
  <c r="C50" i="14" s="1"/>
  <c r="C9" i="14" s="1"/>
  <c r="C33" i="14"/>
  <c r="C34" i="14" s="1"/>
  <c r="C4" i="14" s="1"/>
  <c r="D30" i="14"/>
  <c r="D31" i="14" s="1"/>
  <c r="C8" i="14"/>
  <c r="F24" i="14"/>
  <c r="G16" i="14"/>
  <c r="G17" i="14"/>
  <c r="G22" i="14"/>
  <c r="H11" i="14"/>
  <c r="G20" i="14"/>
  <c r="G18" i="14"/>
  <c r="D27" i="14"/>
  <c r="D49" i="14" s="1"/>
  <c r="D50" i="14" s="1"/>
  <c r="D9" i="14" s="1"/>
  <c r="F20" i="11"/>
  <c r="F18" i="11"/>
  <c r="F17" i="11"/>
  <c r="G11" i="11"/>
  <c r="F22" i="11"/>
  <c r="E25" i="11"/>
  <c r="D28" i="11"/>
  <c r="D34" i="11" s="1"/>
  <c r="D35" i="11" s="1"/>
  <c r="D4" i="11" s="1"/>
  <c r="H16" i="11"/>
  <c r="D8" i="11"/>
  <c r="E31" i="11"/>
  <c r="E32" i="11" s="1"/>
  <c r="F22" i="10"/>
  <c r="G11" i="10"/>
  <c r="F18" i="10"/>
  <c r="F14" i="10"/>
  <c r="F17" i="10"/>
  <c r="F20" i="10"/>
  <c r="C49" i="10"/>
  <c r="C33" i="10"/>
  <c r="C34" i="10" s="1"/>
  <c r="C4" i="10" s="1"/>
  <c r="E24" i="10"/>
  <c r="H16" i="10"/>
  <c r="D27" i="10"/>
  <c r="D33" i="10" s="1"/>
  <c r="D34" i="10" s="1"/>
  <c r="D4" i="10" s="1"/>
  <c r="T11" i="5"/>
  <c r="D29" i="5"/>
  <c r="D30" i="5" s="1"/>
  <c r="C8" i="5"/>
  <c r="P32" i="5"/>
  <c r="P33" i="5" s="1"/>
  <c r="P4" i="5" s="1"/>
  <c r="P8" i="5"/>
  <c r="Q29" i="5"/>
  <c r="Q30" i="5" s="1"/>
  <c r="Q45" i="5"/>
  <c r="D27" i="5"/>
  <c r="C48" i="5"/>
  <c r="C49" i="5" s="1"/>
  <c r="C9" i="5" s="1"/>
  <c r="C32" i="5"/>
  <c r="C33" i="5" s="1"/>
  <c r="C4" i="5" s="1"/>
  <c r="G16" i="5"/>
  <c r="F17" i="5"/>
  <c r="F22" i="5"/>
  <c r="F20" i="5"/>
  <c r="F18" i="5"/>
  <c r="G11" i="5"/>
  <c r="R24" i="5"/>
  <c r="Q27" i="5"/>
  <c r="Q24" i="5"/>
  <c r="C48" i="4"/>
  <c r="C49" i="4" s="1"/>
  <c r="C9" i="4" s="1"/>
  <c r="C32" i="4"/>
  <c r="C33" i="4" s="1"/>
  <c r="C4" i="4" s="1"/>
  <c r="D29" i="4"/>
  <c r="D30" i="4" s="1"/>
  <c r="C8" i="4"/>
  <c r="H16" i="4"/>
  <c r="D27" i="4"/>
  <c r="F18" i="4"/>
  <c r="F17" i="4"/>
  <c r="F22" i="4"/>
  <c r="G11" i="4"/>
  <c r="F20" i="4"/>
  <c r="Q27" i="6"/>
  <c r="C48" i="6"/>
  <c r="C49" i="6" s="1"/>
  <c r="C9" i="6" s="1"/>
  <c r="C32" i="6"/>
  <c r="C33" i="6" s="1"/>
  <c r="C4" i="6" s="1"/>
  <c r="T16" i="6"/>
  <c r="G16" i="6"/>
  <c r="S22" i="6"/>
  <c r="T11" i="6"/>
  <c r="S20" i="6"/>
  <c r="S18" i="6"/>
  <c r="S17" i="6"/>
  <c r="P8" i="6"/>
  <c r="Q29" i="6"/>
  <c r="Q30" i="6" s="1"/>
  <c r="E24" i="6"/>
  <c r="D29" i="6"/>
  <c r="D30" i="6" s="1"/>
  <c r="C8" i="6"/>
  <c r="D27" i="6"/>
  <c r="D32" i="6" s="1"/>
  <c r="D33" i="6" s="1"/>
  <c r="D4" i="6" s="1"/>
  <c r="Q24" i="6"/>
  <c r="P48" i="6"/>
  <c r="P49" i="6" s="1"/>
  <c r="P9" i="6" s="1"/>
  <c r="P32" i="6"/>
  <c r="P33" i="6" s="1"/>
  <c r="P4" i="6" s="1"/>
  <c r="F17" i="6"/>
  <c r="F22" i="6"/>
  <c r="F20" i="6"/>
  <c r="G11" i="6"/>
  <c r="C50" i="9"/>
  <c r="C34" i="9"/>
  <c r="C35" i="9" s="1"/>
  <c r="C4" i="9" s="1"/>
  <c r="F24" i="9"/>
  <c r="F17" i="9"/>
  <c r="F22" i="9"/>
  <c r="G11" i="9"/>
  <c r="F20" i="9"/>
  <c r="F18" i="9"/>
  <c r="P50" i="9"/>
  <c r="P34" i="9"/>
  <c r="P35" i="9" s="1"/>
  <c r="P4" i="9" s="1"/>
  <c r="S24" i="9"/>
  <c r="S17" i="9"/>
  <c r="S22" i="9"/>
  <c r="T11" i="9"/>
  <c r="S20" i="9"/>
  <c r="S18" i="9"/>
  <c r="G16" i="9"/>
  <c r="Q29" i="9"/>
  <c r="T16" i="9"/>
  <c r="D26" i="9"/>
  <c r="D29" i="9"/>
  <c r="Q26" i="9"/>
  <c r="F18" i="8"/>
  <c r="F17" i="8"/>
  <c r="F22" i="8"/>
  <c r="G11" i="8"/>
  <c r="F20" i="8"/>
  <c r="D27" i="8"/>
  <c r="C48" i="8"/>
  <c r="C32" i="8"/>
  <c r="C33" i="8" s="1"/>
  <c r="C4" i="8" s="1"/>
  <c r="G16" i="8"/>
  <c r="D24" i="8"/>
  <c r="C8" i="3"/>
  <c r="D29" i="3"/>
  <c r="D44" i="3"/>
  <c r="E28" i="3" s="1"/>
  <c r="F11" i="3"/>
  <c r="H16" i="3"/>
  <c r="E26" i="3"/>
  <c r="F25" i="3"/>
  <c r="F22" i="2"/>
  <c r="F17" i="2"/>
  <c r="G11" i="2"/>
  <c r="F20" i="2"/>
  <c r="F18" i="2"/>
  <c r="D27" i="2"/>
  <c r="G16" i="2"/>
  <c r="D45" i="2"/>
  <c r="D29" i="2"/>
  <c r="D30" i="2" s="1"/>
  <c r="C8" i="2"/>
  <c r="J19" i="2" l="1"/>
  <c r="I24" i="2"/>
  <c r="D33" i="14"/>
  <c r="D34" i="14" s="1"/>
  <c r="D4" i="14" s="1"/>
  <c r="E26" i="9"/>
  <c r="D48" i="6"/>
  <c r="D49" i="6" s="1"/>
  <c r="D9" i="6" s="1"/>
  <c r="F18" i="3"/>
  <c r="F20" i="3"/>
  <c r="F17" i="3"/>
  <c r="D48" i="4"/>
  <c r="D49" i="4" s="1"/>
  <c r="D9" i="4" s="1"/>
  <c r="D45" i="4"/>
  <c r="D8" i="4" s="1"/>
  <c r="D23" i="3"/>
  <c r="D31" i="3" s="1"/>
  <c r="D32" i="3" s="1"/>
  <c r="D4" i="3" s="1"/>
  <c r="D48" i="15"/>
  <c r="D49" i="15" s="1"/>
  <c r="D9" i="15" s="1"/>
  <c r="E24" i="15"/>
  <c r="D45" i="15"/>
  <c r="E29" i="15" s="1"/>
  <c r="E30" i="15" s="1"/>
  <c r="D32" i="15"/>
  <c r="D33" i="15" s="1"/>
  <c r="D4" i="15" s="1"/>
  <c r="H16" i="15"/>
  <c r="G18" i="15"/>
  <c r="G17" i="15"/>
  <c r="G22" i="15"/>
  <c r="H11" i="15"/>
  <c r="G20" i="15"/>
  <c r="E27" i="15"/>
  <c r="H17" i="14"/>
  <c r="H22" i="14"/>
  <c r="I11" i="14"/>
  <c r="H20" i="14"/>
  <c r="H18" i="14"/>
  <c r="D46" i="14"/>
  <c r="E27" i="14"/>
  <c r="G24" i="14"/>
  <c r="H16" i="14"/>
  <c r="G20" i="11"/>
  <c r="G18" i="11"/>
  <c r="G17" i="11"/>
  <c r="H11" i="11"/>
  <c r="G22" i="11"/>
  <c r="I16" i="11"/>
  <c r="E28" i="11"/>
  <c r="E50" i="11" s="1"/>
  <c r="E51" i="11" s="1"/>
  <c r="E9" i="11" s="1"/>
  <c r="D50" i="11"/>
  <c r="C50" i="10"/>
  <c r="C9" i="10" s="1"/>
  <c r="D46" i="10"/>
  <c r="F24" i="10"/>
  <c r="D49" i="10"/>
  <c r="D50" i="10" s="1"/>
  <c r="D9" i="10" s="1"/>
  <c r="G17" i="10"/>
  <c r="G14" i="10"/>
  <c r="H11" i="10"/>
  <c r="G20" i="10"/>
  <c r="G18" i="10"/>
  <c r="G22" i="10"/>
  <c r="I16" i="10"/>
  <c r="E27" i="10"/>
  <c r="E33" i="10" s="1"/>
  <c r="E34" i="10" s="1"/>
  <c r="E4" i="10" s="1"/>
  <c r="D48" i="5"/>
  <c r="D49" i="5" s="1"/>
  <c r="D9" i="5" s="1"/>
  <c r="D32" i="5"/>
  <c r="D33" i="5" s="1"/>
  <c r="D4" i="5" s="1"/>
  <c r="U11" i="5"/>
  <c r="D45" i="5"/>
  <c r="Q48" i="5"/>
  <c r="Q49" i="5" s="1"/>
  <c r="Q9" i="5" s="1"/>
  <c r="Q32" i="5"/>
  <c r="Q33" i="5" s="1"/>
  <c r="Q4" i="5" s="1"/>
  <c r="E27" i="5"/>
  <c r="R27" i="5"/>
  <c r="R32" i="5" s="1"/>
  <c r="R33" i="5" s="1"/>
  <c r="R4" i="5" s="1"/>
  <c r="Q8" i="5"/>
  <c r="R29" i="5"/>
  <c r="R30" i="5" s="1"/>
  <c r="G17" i="5"/>
  <c r="G22" i="5"/>
  <c r="G20" i="5"/>
  <c r="G18" i="5"/>
  <c r="H11" i="5"/>
  <c r="H16" i="5"/>
  <c r="E24" i="5"/>
  <c r="E27" i="4"/>
  <c r="D32" i="4"/>
  <c r="D33" i="4" s="1"/>
  <c r="D4" i="4" s="1"/>
  <c r="G18" i="4"/>
  <c r="G17" i="4"/>
  <c r="G22" i="4"/>
  <c r="H11" i="4"/>
  <c r="G20" i="4"/>
  <c r="I16" i="4"/>
  <c r="E24" i="4"/>
  <c r="U16" i="6"/>
  <c r="Q45" i="6"/>
  <c r="G22" i="6"/>
  <c r="G20" i="6"/>
  <c r="H11" i="6"/>
  <c r="G17" i="6"/>
  <c r="Q48" i="6"/>
  <c r="Q49" i="6" s="1"/>
  <c r="Q9" i="6" s="1"/>
  <c r="Q32" i="6"/>
  <c r="Q33" i="6" s="1"/>
  <c r="Q4" i="6" s="1"/>
  <c r="U11" i="6"/>
  <c r="T20" i="6"/>
  <c r="T18" i="6"/>
  <c r="T17" i="6"/>
  <c r="T22" i="6"/>
  <c r="E27" i="6"/>
  <c r="E32" i="6" s="1"/>
  <c r="E33" i="6" s="1"/>
  <c r="E4" i="6" s="1"/>
  <c r="R27" i="6"/>
  <c r="H16" i="6"/>
  <c r="D45" i="6"/>
  <c r="R24" i="6"/>
  <c r="S26" i="9"/>
  <c r="D50" i="9"/>
  <c r="D51" i="9" s="1"/>
  <c r="D9" i="9" s="1"/>
  <c r="D34" i="9"/>
  <c r="D35" i="9" s="1"/>
  <c r="D4" i="9" s="1"/>
  <c r="U16" i="9"/>
  <c r="T22" i="9"/>
  <c r="T20" i="9"/>
  <c r="U11" i="9"/>
  <c r="T18" i="9"/>
  <c r="T24" i="9"/>
  <c r="T17" i="9"/>
  <c r="P51" i="9"/>
  <c r="P9" i="9" s="1"/>
  <c r="Q47" i="9"/>
  <c r="C51" i="9"/>
  <c r="C9" i="9" s="1"/>
  <c r="D47" i="9"/>
  <c r="Q50" i="9"/>
  <c r="Q51" i="9" s="1"/>
  <c r="Q9" i="9" s="1"/>
  <c r="Q34" i="9"/>
  <c r="Q35" i="9" s="1"/>
  <c r="Q4" i="9" s="1"/>
  <c r="R29" i="9"/>
  <c r="E29" i="9"/>
  <c r="E34" i="9" s="1"/>
  <c r="E35" i="9" s="1"/>
  <c r="E4" i="9" s="1"/>
  <c r="H16" i="9"/>
  <c r="G24" i="9"/>
  <c r="G22" i="9"/>
  <c r="G20" i="9"/>
  <c r="H11" i="9"/>
  <c r="G17" i="9"/>
  <c r="G18" i="9"/>
  <c r="F24" i="8"/>
  <c r="D48" i="8"/>
  <c r="D49" i="8" s="1"/>
  <c r="D9" i="8" s="1"/>
  <c r="D32" i="8"/>
  <c r="D33" i="8" s="1"/>
  <c r="D4" i="8" s="1"/>
  <c r="G18" i="8"/>
  <c r="G17" i="8"/>
  <c r="G22" i="8"/>
  <c r="H11" i="8"/>
  <c r="G20" i="8"/>
  <c r="H16" i="8"/>
  <c r="C49" i="8"/>
  <c r="C9" i="8" s="1"/>
  <c r="D45" i="8"/>
  <c r="E27" i="8"/>
  <c r="E24" i="8"/>
  <c r="G11" i="3"/>
  <c r="I16" i="3"/>
  <c r="F26" i="3"/>
  <c r="G25" i="3"/>
  <c r="D8" i="3"/>
  <c r="E29" i="3"/>
  <c r="E29" i="2"/>
  <c r="E30" i="2" s="1"/>
  <c r="D8" i="2"/>
  <c r="H16" i="2"/>
  <c r="D48" i="2"/>
  <c r="D49" i="2" s="1"/>
  <c r="D9" i="2" s="1"/>
  <c r="D32" i="2"/>
  <c r="D33" i="2" s="1"/>
  <c r="D4" i="2" s="1"/>
  <c r="E27" i="2"/>
  <c r="G18" i="2"/>
  <c r="G22" i="2"/>
  <c r="G17" i="2"/>
  <c r="G20" i="2"/>
  <c r="H11" i="2"/>
  <c r="K19" i="2" l="1"/>
  <c r="J24" i="2"/>
  <c r="E34" i="11"/>
  <c r="E35" i="11" s="1"/>
  <c r="E4" i="11" s="1"/>
  <c r="R45" i="5"/>
  <c r="G17" i="3"/>
  <c r="G20" i="3"/>
  <c r="G18" i="3"/>
  <c r="E45" i="4"/>
  <c r="F29" i="4" s="1"/>
  <c r="F30" i="4" s="1"/>
  <c r="E29" i="4"/>
  <c r="E30" i="4" s="1"/>
  <c r="E48" i="4" s="1"/>
  <c r="E49" i="4" s="1"/>
  <c r="E9" i="4" s="1"/>
  <c r="E23" i="3"/>
  <c r="D47" i="3"/>
  <c r="E32" i="15"/>
  <c r="E33" i="15" s="1"/>
  <c r="E4" i="15" s="1"/>
  <c r="D8" i="15"/>
  <c r="E45" i="15"/>
  <c r="E8" i="15" s="1"/>
  <c r="E48" i="15"/>
  <c r="E49" i="15" s="1"/>
  <c r="E9" i="15" s="1"/>
  <c r="E45" i="2"/>
  <c r="F29" i="2" s="1"/>
  <c r="F30" i="2" s="1"/>
  <c r="G24" i="15"/>
  <c r="F27" i="15"/>
  <c r="I16" i="15"/>
  <c r="H17" i="15"/>
  <c r="H22" i="15"/>
  <c r="I11" i="15"/>
  <c r="H20" i="15"/>
  <c r="H18" i="15"/>
  <c r="F24" i="15"/>
  <c r="I22" i="14"/>
  <c r="J11" i="14"/>
  <c r="I20" i="14"/>
  <c r="I18" i="14"/>
  <c r="I17" i="14"/>
  <c r="H24" i="14"/>
  <c r="I16" i="14"/>
  <c r="D8" i="14"/>
  <c r="E30" i="14"/>
  <c r="E31" i="14" s="1"/>
  <c r="E49" i="14" s="1"/>
  <c r="E50" i="14" s="1"/>
  <c r="E9" i="14" s="1"/>
  <c r="E46" i="14"/>
  <c r="F27" i="14"/>
  <c r="E33" i="14"/>
  <c r="E34" i="14" s="1"/>
  <c r="E4" i="14" s="1"/>
  <c r="J16" i="11"/>
  <c r="D51" i="11"/>
  <c r="D9" i="11" s="1"/>
  <c r="E47" i="11"/>
  <c r="H22" i="11"/>
  <c r="I11" i="11"/>
  <c r="H18" i="11"/>
  <c r="H17" i="11"/>
  <c r="H20" i="11"/>
  <c r="F28" i="11"/>
  <c r="G25" i="11"/>
  <c r="F25" i="11"/>
  <c r="J16" i="10"/>
  <c r="H22" i="10"/>
  <c r="I11" i="10"/>
  <c r="H14" i="10"/>
  <c r="H20" i="10"/>
  <c r="H17" i="10"/>
  <c r="H18" i="10"/>
  <c r="E30" i="10"/>
  <c r="E31" i="10" s="1"/>
  <c r="E49" i="10" s="1"/>
  <c r="E50" i="10" s="1"/>
  <c r="E9" i="10" s="1"/>
  <c r="E46" i="10"/>
  <c r="D8" i="10"/>
  <c r="F27" i="10"/>
  <c r="G24" i="10"/>
  <c r="G24" i="5"/>
  <c r="R48" i="5"/>
  <c r="R49" i="5" s="1"/>
  <c r="R9" i="5" s="1"/>
  <c r="T24" i="5"/>
  <c r="S29" i="5"/>
  <c r="S30" i="5" s="1"/>
  <c r="R8" i="5"/>
  <c r="E29" i="5"/>
  <c r="E30" i="5" s="1"/>
  <c r="E48" i="5" s="1"/>
  <c r="E49" i="5" s="1"/>
  <c r="E9" i="5" s="1"/>
  <c r="D8" i="5"/>
  <c r="E45" i="5"/>
  <c r="V11" i="5"/>
  <c r="H22" i="5"/>
  <c r="H20" i="5"/>
  <c r="H18" i="5"/>
  <c r="I11" i="5"/>
  <c r="H17" i="5"/>
  <c r="F24" i="5"/>
  <c r="I16" i="5"/>
  <c r="E32" i="5"/>
  <c r="E33" i="5" s="1"/>
  <c r="E4" i="5" s="1"/>
  <c r="S27" i="5"/>
  <c r="S24" i="5"/>
  <c r="F27" i="5"/>
  <c r="F24" i="4"/>
  <c r="J16" i="4"/>
  <c r="G24" i="4"/>
  <c r="F27" i="4"/>
  <c r="E32" i="4"/>
  <c r="E33" i="4" s="1"/>
  <c r="E4" i="4" s="1"/>
  <c r="I17" i="4"/>
  <c r="J17" i="4" s="1"/>
  <c r="K17" i="4" s="1"/>
  <c r="L17" i="4" s="1"/>
  <c r="H22" i="4"/>
  <c r="I11" i="4"/>
  <c r="I18" i="4" s="1"/>
  <c r="H20" i="4"/>
  <c r="E8" i="4"/>
  <c r="Q8" i="6"/>
  <c r="R29" i="6"/>
  <c r="R30" i="6" s="1"/>
  <c r="R48" i="6" s="1"/>
  <c r="R49" i="6" s="1"/>
  <c r="R9" i="6" s="1"/>
  <c r="R45" i="6"/>
  <c r="R32" i="6"/>
  <c r="R33" i="6" s="1"/>
  <c r="R4" i="6" s="1"/>
  <c r="G24" i="6"/>
  <c r="E29" i="6"/>
  <c r="E30" i="6" s="1"/>
  <c r="E48" i="6" s="1"/>
  <c r="E49" i="6" s="1"/>
  <c r="E9" i="6" s="1"/>
  <c r="D8" i="6"/>
  <c r="E45" i="6"/>
  <c r="I16" i="6"/>
  <c r="H22" i="6"/>
  <c r="H20" i="6"/>
  <c r="I11" i="6"/>
  <c r="H17" i="6"/>
  <c r="V16" i="6"/>
  <c r="F24" i="6"/>
  <c r="F27" i="6"/>
  <c r="S24" i="6"/>
  <c r="S27" i="6"/>
  <c r="V11" i="6"/>
  <c r="U20" i="6"/>
  <c r="U18" i="6"/>
  <c r="U17" i="6"/>
  <c r="U22" i="6"/>
  <c r="T26" i="9"/>
  <c r="H24" i="9"/>
  <c r="H17" i="9"/>
  <c r="H22" i="9"/>
  <c r="H20" i="9"/>
  <c r="H18" i="9"/>
  <c r="I11" i="9"/>
  <c r="I16" i="9"/>
  <c r="D8" i="9"/>
  <c r="E31" i="9"/>
  <c r="E32" i="9" s="1"/>
  <c r="E50" i="9" s="1"/>
  <c r="E51" i="9" s="1"/>
  <c r="E9" i="9" s="1"/>
  <c r="E47" i="9"/>
  <c r="U22" i="9"/>
  <c r="U24" i="9"/>
  <c r="V11" i="9"/>
  <c r="U20" i="9"/>
  <c r="U18" i="9"/>
  <c r="U17" i="9"/>
  <c r="V16" i="9"/>
  <c r="R34" i="9"/>
  <c r="R35" i="9" s="1"/>
  <c r="R4" i="9" s="1"/>
  <c r="F29" i="9"/>
  <c r="R31" i="9"/>
  <c r="R32" i="9" s="1"/>
  <c r="R50" i="9" s="1"/>
  <c r="R51" i="9" s="1"/>
  <c r="R9" i="9" s="1"/>
  <c r="Q8" i="9"/>
  <c r="R47" i="9"/>
  <c r="S29" i="9"/>
  <c r="S34" i="9" s="1"/>
  <c r="S35" i="9" s="1"/>
  <c r="S4" i="9" s="1"/>
  <c r="F26" i="9"/>
  <c r="E29" i="8"/>
  <c r="E30" i="8" s="1"/>
  <c r="E48" i="8" s="1"/>
  <c r="E49" i="8" s="1"/>
  <c r="E9" i="8" s="1"/>
  <c r="D8" i="8"/>
  <c r="E45" i="8"/>
  <c r="I16" i="8"/>
  <c r="E32" i="8"/>
  <c r="E33" i="8" s="1"/>
  <c r="E4" i="8" s="1"/>
  <c r="F27" i="8"/>
  <c r="H17" i="8"/>
  <c r="H22" i="8"/>
  <c r="I11" i="8"/>
  <c r="H18" i="8"/>
  <c r="H20" i="8"/>
  <c r="G26" i="3"/>
  <c r="H25" i="3"/>
  <c r="J16" i="3"/>
  <c r="H11" i="3"/>
  <c r="I16" i="2"/>
  <c r="E32" i="2"/>
  <c r="E33" i="2" s="1"/>
  <c r="E4" i="2" s="1"/>
  <c r="E48" i="2"/>
  <c r="E49" i="2" s="1"/>
  <c r="E9" i="2" s="1"/>
  <c r="F27" i="2"/>
  <c r="H18" i="2"/>
  <c r="H17" i="2"/>
  <c r="H20" i="2"/>
  <c r="H22" i="2"/>
  <c r="I11" i="2"/>
  <c r="L19" i="2" l="1"/>
  <c r="L24" i="2" s="1"/>
  <c r="K24" i="2"/>
  <c r="U24" i="6"/>
  <c r="H20" i="3"/>
  <c r="H18" i="3"/>
  <c r="H17" i="3"/>
  <c r="E47" i="3"/>
  <c r="E48" i="3" s="1"/>
  <c r="E9" i="3" s="1"/>
  <c r="E31" i="3"/>
  <c r="E32" i="3" s="1"/>
  <c r="E4" i="3" s="1"/>
  <c r="D48" i="3"/>
  <c r="D9" i="3" s="1"/>
  <c r="E44" i="3"/>
  <c r="F28" i="3" s="1"/>
  <c r="F29" i="15"/>
  <c r="F30" i="15" s="1"/>
  <c r="F48" i="15" s="1"/>
  <c r="F49" i="15" s="1"/>
  <c r="F9" i="15" s="1"/>
  <c r="F45" i="15"/>
  <c r="G29" i="15" s="1"/>
  <c r="G30" i="15" s="1"/>
  <c r="E8" i="2"/>
  <c r="F45" i="2"/>
  <c r="G29" i="2" s="1"/>
  <c r="G30" i="2" s="1"/>
  <c r="J16" i="15"/>
  <c r="G27" i="15"/>
  <c r="F32" i="15"/>
  <c r="F33" i="15" s="1"/>
  <c r="F4" i="15" s="1"/>
  <c r="I22" i="15"/>
  <c r="J11" i="15"/>
  <c r="I20" i="15"/>
  <c r="I18" i="15"/>
  <c r="I17" i="15"/>
  <c r="F30" i="14"/>
  <c r="F31" i="14" s="1"/>
  <c r="F49" i="14" s="1"/>
  <c r="F50" i="14" s="1"/>
  <c r="F9" i="14" s="1"/>
  <c r="F46" i="14"/>
  <c r="E8" i="14"/>
  <c r="K11" i="14"/>
  <c r="J20" i="14"/>
  <c r="J18" i="14"/>
  <c r="J17" i="14"/>
  <c r="J22" i="14"/>
  <c r="I24" i="14"/>
  <c r="F33" i="14"/>
  <c r="F34" i="14" s="1"/>
  <c r="F4" i="14" s="1"/>
  <c r="G27" i="14"/>
  <c r="J16" i="14"/>
  <c r="F34" i="11"/>
  <c r="F35" i="11" s="1"/>
  <c r="F4" i="11" s="1"/>
  <c r="I17" i="11"/>
  <c r="J11" i="11"/>
  <c r="I18" i="11"/>
  <c r="I22" i="11"/>
  <c r="I20" i="11"/>
  <c r="G28" i="11"/>
  <c r="F47" i="11"/>
  <c r="E8" i="11"/>
  <c r="F31" i="11"/>
  <c r="F32" i="11" s="1"/>
  <c r="F50" i="11" s="1"/>
  <c r="F51" i="11" s="1"/>
  <c r="F9" i="11" s="1"/>
  <c r="K16" i="11"/>
  <c r="H25" i="11"/>
  <c r="J11" i="10"/>
  <c r="I20" i="10"/>
  <c r="I18" i="10"/>
  <c r="I14" i="10"/>
  <c r="I17" i="10"/>
  <c r="I22" i="10"/>
  <c r="F30" i="10"/>
  <c r="F31" i="10" s="1"/>
  <c r="F49" i="10" s="1"/>
  <c r="F50" i="10" s="1"/>
  <c r="F9" i="10" s="1"/>
  <c r="F46" i="10"/>
  <c r="E8" i="10"/>
  <c r="F33" i="10"/>
  <c r="F34" i="10" s="1"/>
  <c r="F4" i="10" s="1"/>
  <c r="G27" i="10"/>
  <c r="G33" i="10" s="1"/>
  <c r="G34" i="10" s="1"/>
  <c r="G4" i="10" s="1"/>
  <c r="K16" i="10"/>
  <c r="H24" i="10"/>
  <c r="S45" i="5"/>
  <c r="U24" i="5"/>
  <c r="T27" i="5"/>
  <c r="I20" i="5"/>
  <c r="I18" i="5"/>
  <c r="J11" i="5"/>
  <c r="I22" i="5"/>
  <c r="I17" i="5"/>
  <c r="T29" i="5"/>
  <c r="T30" i="5" s="1"/>
  <c r="S8" i="5"/>
  <c r="W11" i="5"/>
  <c r="F29" i="5"/>
  <c r="F30" i="5" s="1"/>
  <c r="F48" i="5" s="1"/>
  <c r="F49" i="5" s="1"/>
  <c r="F9" i="5" s="1"/>
  <c r="E8" i="5"/>
  <c r="F45" i="5"/>
  <c r="G27" i="5"/>
  <c r="J16" i="5"/>
  <c r="S48" i="5"/>
  <c r="S49" i="5" s="1"/>
  <c r="S9" i="5" s="1"/>
  <c r="S32" i="5"/>
  <c r="S33" i="5" s="1"/>
  <c r="S4" i="5" s="1"/>
  <c r="F32" i="5"/>
  <c r="F33" i="5" s="1"/>
  <c r="F4" i="5" s="1"/>
  <c r="G27" i="4"/>
  <c r="G32" i="4" s="1"/>
  <c r="G33" i="4" s="1"/>
  <c r="G4" i="4" s="1"/>
  <c r="I22" i="4"/>
  <c r="J11" i="4"/>
  <c r="J18" i="4" s="1"/>
  <c r="I20" i="4"/>
  <c r="F45" i="4"/>
  <c r="H24" i="4"/>
  <c r="K16" i="4"/>
  <c r="F48" i="4"/>
  <c r="F49" i="4" s="1"/>
  <c r="F9" i="4" s="1"/>
  <c r="F32" i="4"/>
  <c r="F33" i="4" s="1"/>
  <c r="F4" i="4" s="1"/>
  <c r="F32" i="6"/>
  <c r="F33" i="6" s="1"/>
  <c r="F4" i="6" s="1"/>
  <c r="W11" i="6"/>
  <c r="V20" i="6"/>
  <c r="V18" i="6"/>
  <c r="V17" i="6"/>
  <c r="V22" i="6"/>
  <c r="S29" i="6"/>
  <c r="S30" i="6" s="1"/>
  <c r="S48" i="6" s="1"/>
  <c r="S49" i="6" s="1"/>
  <c r="S9" i="6" s="1"/>
  <c r="S45" i="6"/>
  <c r="R8" i="6"/>
  <c r="T27" i="6"/>
  <c r="F29" i="6"/>
  <c r="F30" i="6" s="1"/>
  <c r="F48" i="6" s="1"/>
  <c r="F49" i="6" s="1"/>
  <c r="F9" i="6" s="1"/>
  <c r="E8" i="6"/>
  <c r="F45" i="6"/>
  <c r="S32" i="6"/>
  <c r="S33" i="6" s="1"/>
  <c r="S4" i="6" s="1"/>
  <c r="J16" i="6"/>
  <c r="I20" i="6"/>
  <c r="J11" i="6"/>
  <c r="I22" i="6"/>
  <c r="I17" i="6"/>
  <c r="W16" i="6"/>
  <c r="G27" i="6"/>
  <c r="G32" i="6" s="1"/>
  <c r="G33" i="6" s="1"/>
  <c r="G4" i="6" s="1"/>
  <c r="T24" i="6"/>
  <c r="U26" i="9"/>
  <c r="F50" i="9"/>
  <c r="F51" i="9" s="1"/>
  <c r="F9" i="9" s="1"/>
  <c r="F34" i="9"/>
  <c r="F35" i="9" s="1"/>
  <c r="F4" i="9" s="1"/>
  <c r="G29" i="9"/>
  <c r="J16" i="9"/>
  <c r="F31" i="9"/>
  <c r="F32" i="9" s="1"/>
  <c r="F47" i="9"/>
  <c r="E8" i="9"/>
  <c r="W11" i="9"/>
  <c r="V24" i="9"/>
  <c r="V20" i="9"/>
  <c r="V18" i="9"/>
  <c r="V17" i="9"/>
  <c r="V22" i="9"/>
  <c r="I22" i="9"/>
  <c r="I20" i="9"/>
  <c r="I18" i="9"/>
  <c r="J11" i="9"/>
  <c r="I17" i="9"/>
  <c r="I24" i="9"/>
  <c r="S31" i="9"/>
  <c r="S32" i="9" s="1"/>
  <c r="S50" i="9" s="1"/>
  <c r="S51" i="9" s="1"/>
  <c r="S9" i="9" s="1"/>
  <c r="S47" i="9"/>
  <c r="R8" i="9"/>
  <c r="T29" i="9"/>
  <c r="W16" i="9"/>
  <c r="G26" i="9"/>
  <c r="I22" i="8"/>
  <c r="I20" i="8"/>
  <c r="J11" i="8"/>
  <c r="I18" i="8"/>
  <c r="I17" i="8"/>
  <c r="J16" i="8"/>
  <c r="E8" i="8"/>
  <c r="F45" i="8"/>
  <c r="F29" i="8"/>
  <c r="F30" i="8" s="1"/>
  <c r="F48" i="8" s="1"/>
  <c r="F49" i="8" s="1"/>
  <c r="F9" i="8" s="1"/>
  <c r="G27" i="8"/>
  <c r="F32" i="8"/>
  <c r="F33" i="8" s="1"/>
  <c r="F4" i="8" s="1"/>
  <c r="G24" i="8"/>
  <c r="I11" i="3"/>
  <c r="K16" i="3"/>
  <c r="H26" i="3"/>
  <c r="I25" i="3"/>
  <c r="F32" i="2"/>
  <c r="F33" i="2" s="1"/>
  <c r="F4" i="2" s="1"/>
  <c r="F48" i="2"/>
  <c r="F49" i="2" s="1"/>
  <c r="F9" i="2" s="1"/>
  <c r="G27" i="2"/>
  <c r="J16" i="2"/>
  <c r="I18" i="2"/>
  <c r="I17" i="2"/>
  <c r="I22" i="2"/>
  <c r="I20" i="2"/>
  <c r="J11" i="2"/>
  <c r="V24" i="6" l="1"/>
  <c r="I17" i="3"/>
  <c r="I18" i="3"/>
  <c r="I20" i="3"/>
  <c r="E8" i="3"/>
  <c r="F44" i="3"/>
  <c r="G28" i="3" s="1"/>
  <c r="F8" i="15"/>
  <c r="G48" i="15"/>
  <c r="G49" i="15" s="1"/>
  <c r="G9" i="15" s="1"/>
  <c r="I24" i="15"/>
  <c r="G45" i="15"/>
  <c r="H29" i="15" s="1"/>
  <c r="H30" i="15" s="1"/>
  <c r="F8" i="2"/>
  <c r="G45" i="2"/>
  <c r="G8" i="2" s="1"/>
  <c r="G48" i="2"/>
  <c r="G49" i="2" s="1"/>
  <c r="G9" i="2" s="1"/>
  <c r="K16" i="15"/>
  <c r="K11" i="15"/>
  <c r="J18" i="15"/>
  <c r="J20" i="15"/>
  <c r="J17" i="15"/>
  <c r="J22" i="15"/>
  <c r="G32" i="15"/>
  <c r="G33" i="15" s="1"/>
  <c r="G4" i="15" s="1"/>
  <c r="H27" i="15"/>
  <c r="H24" i="15"/>
  <c r="G33" i="14"/>
  <c r="G34" i="14" s="1"/>
  <c r="G4" i="14" s="1"/>
  <c r="K20" i="14"/>
  <c r="K18" i="14"/>
  <c r="K17" i="14"/>
  <c r="K22" i="14"/>
  <c r="L11" i="14"/>
  <c r="G30" i="14"/>
  <c r="G31" i="14" s="1"/>
  <c r="G49" i="14" s="1"/>
  <c r="G50" i="14" s="1"/>
  <c r="G9" i="14" s="1"/>
  <c r="G46" i="14"/>
  <c r="F8" i="14"/>
  <c r="K16" i="14"/>
  <c r="H27" i="14"/>
  <c r="F8" i="11"/>
  <c r="G47" i="11"/>
  <c r="G31" i="11"/>
  <c r="G32" i="11" s="1"/>
  <c r="G50" i="11" s="1"/>
  <c r="G51" i="11" s="1"/>
  <c r="G9" i="11" s="1"/>
  <c r="J17" i="11"/>
  <c r="J22" i="11"/>
  <c r="K11" i="11"/>
  <c r="J18" i="11"/>
  <c r="J20" i="11"/>
  <c r="H28" i="11"/>
  <c r="H34" i="11" s="1"/>
  <c r="H35" i="11" s="1"/>
  <c r="H4" i="11" s="1"/>
  <c r="I25" i="11"/>
  <c r="G34" i="11"/>
  <c r="G35" i="11" s="1"/>
  <c r="G4" i="11" s="1"/>
  <c r="L16" i="11"/>
  <c r="L16" i="10"/>
  <c r="H27" i="10"/>
  <c r="H33" i="10" s="1"/>
  <c r="H34" i="10" s="1"/>
  <c r="H4" i="10" s="1"/>
  <c r="J20" i="10"/>
  <c r="J18" i="10"/>
  <c r="J17" i="10"/>
  <c r="J14" i="10"/>
  <c r="J22" i="10"/>
  <c r="K11" i="10"/>
  <c r="G30" i="10"/>
  <c r="G31" i="10" s="1"/>
  <c r="G49" i="10" s="1"/>
  <c r="G50" i="10" s="1"/>
  <c r="G9" i="10" s="1"/>
  <c r="G46" i="10"/>
  <c r="F8" i="10"/>
  <c r="T45" i="5"/>
  <c r="U45" i="5" s="1"/>
  <c r="T48" i="5"/>
  <c r="T49" i="5" s="1"/>
  <c r="T9" i="5" s="1"/>
  <c r="V24" i="5"/>
  <c r="K16" i="5"/>
  <c r="U27" i="5"/>
  <c r="H27" i="5"/>
  <c r="H24" i="5"/>
  <c r="G32" i="5"/>
  <c r="G33" i="5" s="1"/>
  <c r="G4" i="5" s="1"/>
  <c r="T32" i="5"/>
  <c r="T33" i="5" s="1"/>
  <c r="T4" i="5" s="1"/>
  <c r="J20" i="5"/>
  <c r="J18" i="5"/>
  <c r="K11" i="5"/>
  <c r="J17" i="5"/>
  <c r="J22" i="5"/>
  <c r="G29" i="5"/>
  <c r="G30" i="5" s="1"/>
  <c r="G48" i="5" s="1"/>
  <c r="G49" i="5" s="1"/>
  <c r="G9" i="5" s="1"/>
  <c r="F8" i="5"/>
  <c r="G45" i="5"/>
  <c r="X11" i="5"/>
  <c r="L16" i="4"/>
  <c r="I24" i="4"/>
  <c r="K11" i="4"/>
  <c r="K18" i="4" s="1"/>
  <c r="J20" i="4"/>
  <c r="J22" i="4"/>
  <c r="G29" i="4"/>
  <c r="G30" i="4" s="1"/>
  <c r="G48" i="4" s="1"/>
  <c r="G49" i="4" s="1"/>
  <c r="G9" i="4" s="1"/>
  <c r="F8" i="4"/>
  <c r="G45" i="4"/>
  <c r="H27" i="4"/>
  <c r="I24" i="6"/>
  <c r="T32" i="6"/>
  <c r="T33" i="6" s="1"/>
  <c r="T4" i="6" s="1"/>
  <c r="W20" i="6"/>
  <c r="W18" i="6"/>
  <c r="X11" i="6"/>
  <c r="W17" i="6"/>
  <c r="W24" i="6" s="1"/>
  <c r="W22" i="6"/>
  <c r="J20" i="6"/>
  <c r="K11" i="6"/>
  <c r="J17" i="6"/>
  <c r="J22" i="6"/>
  <c r="T45" i="6"/>
  <c r="T29" i="6"/>
  <c r="T30" i="6" s="1"/>
  <c r="T48" i="6" s="1"/>
  <c r="T49" i="6" s="1"/>
  <c r="T9" i="6" s="1"/>
  <c r="S8" i="6"/>
  <c r="H27" i="6"/>
  <c r="G29" i="6"/>
  <c r="G30" i="6" s="1"/>
  <c r="G48" i="6" s="1"/>
  <c r="G49" i="6" s="1"/>
  <c r="G9" i="6" s="1"/>
  <c r="F8" i="6"/>
  <c r="G45" i="6"/>
  <c r="X16" i="6"/>
  <c r="K16" i="6"/>
  <c r="U27" i="6"/>
  <c r="H24" i="6"/>
  <c r="V26" i="9"/>
  <c r="K16" i="9"/>
  <c r="H26" i="9"/>
  <c r="H29" i="9"/>
  <c r="G34" i="9"/>
  <c r="G35" i="9" s="1"/>
  <c r="G4" i="9" s="1"/>
  <c r="W20" i="9"/>
  <c r="W18" i="9"/>
  <c r="W24" i="9"/>
  <c r="W17" i="9"/>
  <c r="W26" i="9" s="1"/>
  <c r="W22" i="9"/>
  <c r="X11" i="9"/>
  <c r="T34" i="9"/>
  <c r="T35" i="9" s="1"/>
  <c r="T4" i="9" s="1"/>
  <c r="S8" i="9"/>
  <c r="T47" i="9"/>
  <c r="T31" i="9"/>
  <c r="T32" i="9" s="1"/>
  <c r="T50" i="9" s="1"/>
  <c r="T51" i="9" s="1"/>
  <c r="T9" i="9" s="1"/>
  <c r="G31" i="9"/>
  <c r="G32" i="9" s="1"/>
  <c r="G50" i="9" s="1"/>
  <c r="G51" i="9" s="1"/>
  <c r="G9" i="9" s="1"/>
  <c r="G47" i="9"/>
  <c r="F8" i="9"/>
  <c r="X16" i="9"/>
  <c r="U29" i="9"/>
  <c r="J22" i="9"/>
  <c r="J20" i="9"/>
  <c r="J18" i="9"/>
  <c r="K11" i="9"/>
  <c r="J24" i="9"/>
  <c r="J17" i="9"/>
  <c r="H27" i="8"/>
  <c r="K11" i="8"/>
  <c r="J20" i="8"/>
  <c r="J22" i="8"/>
  <c r="J18" i="8"/>
  <c r="J17" i="8"/>
  <c r="F8" i="8"/>
  <c r="G45" i="8"/>
  <c r="G29" i="8"/>
  <c r="G30" i="8" s="1"/>
  <c r="G48" i="8" s="1"/>
  <c r="G49" i="8" s="1"/>
  <c r="G9" i="8" s="1"/>
  <c r="G32" i="8"/>
  <c r="G33" i="8" s="1"/>
  <c r="G4" i="8" s="1"/>
  <c r="H24" i="8"/>
  <c r="K16" i="8"/>
  <c r="L16" i="3"/>
  <c r="J11" i="3"/>
  <c r="I26" i="3"/>
  <c r="J25" i="3"/>
  <c r="G32" i="2"/>
  <c r="G33" i="2" s="1"/>
  <c r="G4" i="2" s="1"/>
  <c r="K16" i="2"/>
  <c r="J17" i="2"/>
  <c r="J22" i="2"/>
  <c r="K11" i="2"/>
  <c r="J18" i="2"/>
  <c r="J20" i="2"/>
  <c r="H27" i="2"/>
  <c r="U29" i="5" l="1"/>
  <c r="U30" i="5" s="1"/>
  <c r="T8" i="5"/>
  <c r="U48" i="5"/>
  <c r="U49" i="5" s="1"/>
  <c r="U9" i="5" s="1"/>
  <c r="J18" i="3"/>
  <c r="J20" i="3"/>
  <c r="J17" i="3"/>
  <c r="G29" i="3"/>
  <c r="G23" i="3"/>
  <c r="G31" i="3" s="1"/>
  <c r="G32" i="3" s="1"/>
  <c r="G4" i="3" s="1"/>
  <c r="F29" i="3"/>
  <c r="F8" i="3"/>
  <c r="H45" i="15"/>
  <c r="H8" i="15" s="1"/>
  <c r="G8" i="15"/>
  <c r="J24" i="15"/>
  <c r="H45" i="2"/>
  <c r="H8" i="2" s="1"/>
  <c r="H29" i="2"/>
  <c r="H30" i="2" s="1"/>
  <c r="H48" i="2" s="1"/>
  <c r="H49" i="2" s="1"/>
  <c r="H9" i="2" s="1"/>
  <c r="L16" i="15"/>
  <c r="K20" i="15"/>
  <c r="K17" i="15"/>
  <c r="K18" i="15"/>
  <c r="K22" i="15"/>
  <c r="L11" i="15"/>
  <c r="H48" i="15"/>
  <c r="H49" i="15" s="1"/>
  <c r="H9" i="15" s="1"/>
  <c r="H32" i="15"/>
  <c r="H33" i="15" s="1"/>
  <c r="H4" i="15" s="1"/>
  <c r="I27" i="15"/>
  <c r="L16" i="14"/>
  <c r="K24" i="14"/>
  <c r="H46" i="14"/>
  <c r="G8" i="14"/>
  <c r="H30" i="14"/>
  <c r="H31" i="14" s="1"/>
  <c r="H49" i="14" s="1"/>
  <c r="H50" i="14" s="1"/>
  <c r="H9" i="14" s="1"/>
  <c r="H33" i="14"/>
  <c r="H34" i="14" s="1"/>
  <c r="H4" i="14" s="1"/>
  <c r="I27" i="14"/>
  <c r="J24" i="14"/>
  <c r="L20" i="14"/>
  <c r="L18" i="14"/>
  <c r="L17" i="14"/>
  <c r="L22" i="14"/>
  <c r="M11" i="14"/>
  <c r="I28" i="11"/>
  <c r="H47" i="11"/>
  <c r="G8" i="11"/>
  <c r="H31" i="11"/>
  <c r="H32" i="11" s="1"/>
  <c r="H50" i="11" s="1"/>
  <c r="H51" i="11" s="1"/>
  <c r="H9" i="11" s="1"/>
  <c r="M16" i="11"/>
  <c r="K22" i="11"/>
  <c r="L11" i="11"/>
  <c r="K17" i="11"/>
  <c r="K20" i="11"/>
  <c r="K18" i="11"/>
  <c r="I27" i="10"/>
  <c r="K22" i="10"/>
  <c r="K20" i="10"/>
  <c r="K17" i="10"/>
  <c r="K18" i="10"/>
  <c r="L11" i="10"/>
  <c r="K14" i="10"/>
  <c r="I24" i="10"/>
  <c r="M16" i="10"/>
  <c r="J24" i="10"/>
  <c r="H46" i="10"/>
  <c r="H30" i="10"/>
  <c r="H31" i="10" s="1"/>
  <c r="H49" i="10" s="1"/>
  <c r="H50" i="10" s="1"/>
  <c r="H9" i="10" s="1"/>
  <c r="G8" i="10"/>
  <c r="W24" i="5"/>
  <c r="I27" i="5"/>
  <c r="H29" i="5"/>
  <c r="H30" i="5" s="1"/>
  <c r="H48" i="5" s="1"/>
  <c r="H49" i="5" s="1"/>
  <c r="H9" i="5" s="1"/>
  <c r="G8" i="5"/>
  <c r="H45" i="5"/>
  <c r="Y11" i="5"/>
  <c r="L16" i="5"/>
  <c r="V27" i="5"/>
  <c r="U32" i="5"/>
  <c r="U33" i="5" s="1"/>
  <c r="U4" i="5" s="1"/>
  <c r="H32" i="5"/>
  <c r="H33" i="5" s="1"/>
  <c r="H4" i="5" s="1"/>
  <c r="I24" i="5"/>
  <c r="K20" i="5"/>
  <c r="K18" i="5"/>
  <c r="L11" i="5"/>
  <c r="K17" i="5"/>
  <c r="K22" i="5"/>
  <c r="V45" i="5"/>
  <c r="U8" i="5"/>
  <c r="V29" i="5"/>
  <c r="V30" i="5" s="1"/>
  <c r="K20" i="4"/>
  <c r="K22" i="4"/>
  <c r="L11" i="4"/>
  <c r="L18" i="4" s="1"/>
  <c r="H32" i="4"/>
  <c r="H33" i="4" s="1"/>
  <c r="H4" i="4" s="1"/>
  <c r="G8" i="4"/>
  <c r="H45" i="4"/>
  <c r="H29" i="4"/>
  <c r="H30" i="4" s="1"/>
  <c r="H48" i="4" s="1"/>
  <c r="H49" i="4" s="1"/>
  <c r="H9" i="4" s="1"/>
  <c r="I27" i="4"/>
  <c r="I32" i="4" s="1"/>
  <c r="I33" i="4" s="1"/>
  <c r="I4" i="4" s="1"/>
  <c r="L16" i="6"/>
  <c r="K20" i="6"/>
  <c r="L11" i="6"/>
  <c r="K17" i="6"/>
  <c r="K22" i="6"/>
  <c r="I27" i="6"/>
  <c r="I32" i="6" s="1"/>
  <c r="I33" i="6" s="1"/>
  <c r="I4" i="6" s="1"/>
  <c r="Y16" i="6"/>
  <c r="H32" i="6"/>
  <c r="H33" i="6" s="1"/>
  <c r="H4" i="6" s="1"/>
  <c r="U45" i="6"/>
  <c r="T8" i="6"/>
  <c r="U29" i="6"/>
  <c r="U30" i="6" s="1"/>
  <c r="U48" i="6" s="1"/>
  <c r="U49" i="6" s="1"/>
  <c r="U9" i="6" s="1"/>
  <c r="V27" i="6"/>
  <c r="H29" i="6"/>
  <c r="H30" i="6" s="1"/>
  <c r="H48" i="6" s="1"/>
  <c r="H49" i="6" s="1"/>
  <c r="H9" i="6" s="1"/>
  <c r="G8" i="6"/>
  <c r="H45" i="6"/>
  <c r="U32" i="6"/>
  <c r="U33" i="6" s="1"/>
  <c r="U4" i="6" s="1"/>
  <c r="X17" i="6"/>
  <c r="X22" i="6"/>
  <c r="Y11" i="6"/>
  <c r="X20" i="6"/>
  <c r="X18" i="6"/>
  <c r="J26" i="9"/>
  <c r="I26" i="9"/>
  <c r="U34" i="9"/>
  <c r="U35" i="9" s="1"/>
  <c r="U4" i="9" s="1"/>
  <c r="U47" i="9"/>
  <c r="U31" i="9"/>
  <c r="U32" i="9" s="1"/>
  <c r="U50" i="9" s="1"/>
  <c r="U51" i="9" s="1"/>
  <c r="U9" i="9" s="1"/>
  <c r="T8" i="9"/>
  <c r="L16" i="9"/>
  <c r="K20" i="9"/>
  <c r="K18" i="9"/>
  <c r="L11" i="9"/>
  <c r="K24" i="9"/>
  <c r="K17" i="9"/>
  <c r="K26" i="9" s="1"/>
  <c r="K22" i="9"/>
  <c r="Y16" i="9"/>
  <c r="Y11" i="9"/>
  <c r="X20" i="9"/>
  <c r="X18" i="9"/>
  <c r="X22" i="9"/>
  <c r="X24" i="9"/>
  <c r="X17" i="9"/>
  <c r="X26" i="9" s="1"/>
  <c r="H31" i="9"/>
  <c r="H32" i="9" s="1"/>
  <c r="H50" i="9" s="1"/>
  <c r="H51" i="9" s="1"/>
  <c r="H9" i="9" s="1"/>
  <c r="H47" i="9"/>
  <c r="G8" i="9"/>
  <c r="I29" i="9"/>
  <c r="V29" i="9"/>
  <c r="H34" i="9"/>
  <c r="H35" i="9" s="1"/>
  <c r="H4" i="9" s="1"/>
  <c r="V34" i="9"/>
  <c r="V35" i="9" s="1"/>
  <c r="V4" i="9" s="1"/>
  <c r="K20" i="8"/>
  <c r="K18" i="8"/>
  <c r="K17" i="8"/>
  <c r="K22" i="8"/>
  <c r="L11" i="8"/>
  <c r="G8" i="8"/>
  <c r="H45" i="8"/>
  <c r="H29" i="8"/>
  <c r="H30" i="8" s="1"/>
  <c r="H48" i="8" s="1"/>
  <c r="H49" i="8" s="1"/>
  <c r="H9" i="8" s="1"/>
  <c r="L16" i="8"/>
  <c r="I27" i="8"/>
  <c r="J24" i="8"/>
  <c r="H32" i="8"/>
  <c r="H33" i="8" s="1"/>
  <c r="H4" i="8" s="1"/>
  <c r="I24" i="8"/>
  <c r="J26" i="3"/>
  <c r="K25" i="3"/>
  <c r="K11" i="3"/>
  <c r="L16" i="2"/>
  <c r="K22" i="2"/>
  <c r="L11" i="2"/>
  <c r="K20" i="2"/>
  <c r="K18" i="2"/>
  <c r="K17" i="2"/>
  <c r="I27" i="2"/>
  <c r="H32" i="2"/>
  <c r="H33" i="2" s="1"/>
  <c r="H4" i="2" s="1"/>
  <c r="V48" i="5" l="1"/>
  <c r="V49" i="5" s="1"/>
  <c r="V9" i="5" s="1"/>
  <c r="K20" i="3"/>
  <c r="K18" i="3"/>
  <c r="K17" i="3"/>
  <c r="F23" i="3"/>
  <c r="F31" i="3" s="1"/>
  <c r="F32" i="3" s="1"/>
  <c r="F4" i="3" s="1"/>
  <c r="J24" i="4"/>
  <c r="G47" i="3"/>
  <c r="I45" i="15"/>
  <c r="I8" i="15" s="1"/>
  <c r="I29" i="15"/>
  <c r="I30" i="15" s="1"/>
  <c r="I48" i="15" s="1"/>
  <c r="I49" i="15" s="1"/>
  <c r="I9" i="15" s="1"/>
  <c r="I29" i="2"/>
  <c r="I30" i="2" s="1"/>
  <c r="I45" i="2"/>
  <c r="J29" i="2" s="1"/>
  <c r="J30" i="2" s="1"/>
  <c r="L18" i="15"/>
  <c r="L22" i="15"/>
  <c r="L17" i="15"/>
  <c r="L20" i="15"/>
  <c r="I32" i="15"/>
  <c r="I33" i="15" s="1"/>
  <c r="I4" i="15" s="1"/>
  <c r="J27" i="15"/>
  <c r="H8" i="14"/>
  <c r="I30" i="14"/>
  <c r="I31" i="14" s="1"/>
  <c r="I49" i="14" s="1"/>
  <c r="I50" i="14" s="1"/>
  <c r="I9" i="14" s="1"/>
  <c r="I46" i="14"/>
  <c r="M20" i="14"/>
  <c r="M18" i="14"/>
  <c r="M17" i="14"/>
  <c r="M22" i="14"/>
  <c r="N11" i="14"/>
  <c r="I33" i="14"/>
  <c r="I34" i="14" s="1"/>
  <c r="I4" i="14" s="1"/>
  <c r="M16" i="14"/>
  <c r="J27" i="14"/>
  <c r="I31" i="11"/>
  <c r="I32" i="11" s="1"/>
  <c r="I50" i="11" s="1"/>
  <c r="I51" i="11" s="1"/>
  <c r="I9" i="11" s="1"/>
  <c r="I47" i="11"/>
  <c r="H8" i="11"/>
  <c r="M11" i="11"/>
  <c r="L20" i="11"/>
  <c r="L18" i="11"/>
  <c r="L22" i="11"/>
  <c r="L17" i="11"/>
  <c r="J28" i="11"/>
  <c r="J25" i="11"/>
  <c r="N16" i="11"/>
  <c r="I34" i="11"/>
  <c r="I35" i="11" s="1"/>
  <c r="I4" i="11" s="1"/>
  <c r="L20" i="10"/>
  <c r="L18" i="10"/>
  <c r="L17" i="10"/>
  <c r="L14" i="10"/>
  <c r="M11" i="10"/>
  <c r="L22" i="10"/>
  <c r="H8" i="10"/>
  <c r="I30" i="10"/>
  <c r="I31" i="10" s="1"/>
  <c r="I49" i="10" s="1"/>
  <c r="I50" i="10" s="1"/>
  <c r="I9" i="10" s="1"/>
  <c r="I46" i="10"/>
  <c r="K24" i="10"/>
  <c r="N16" i="10"/>
  <c r="I33" i="10"/>
  <c r="I34" i="10" s="1"/>
  <c r="I4" i="10" s="1"/>
  <c r="J27" i="10"/>
  <c r="J33" i="10" s="1"/>
  <c r="J34" i="10" s="1"/>
  <c r="J4" i="10" s="1"/>
  <c r="V32" i="5"/>
  <c r="V33" i="5" s="1"/>
  <c r="V4" i="5" s="1"/>
  <c r="X24" i="5"/>
  <c r="K24" i="5"/>
  <c r="W27" i="5"/>
  <c r="I32" i="5"/>
  <c r="I33" i="5" s="1"/>
  <c r="I4" i="5" s="1"/>
  <c r="J27" i="5"/>
  <c r="L17" i="5"/>
  <c r="L22" i="5"/>
  <c r="L20" i="5"/>
  <c r="L18" i="5"/>
  <c r="V8" i="5"/>
  <c r="W29" i="5"/>
  <c r="W30" i="5" s="1"/>
  <c r="W45" i="5"/>
  <c r="J24" i="5"/>
  <c r="I45" i="5"/>
  <c r="I29" i="5"/>
  <c r="I30" i="5" s="1"/>
  <c r="I48" i="5" s="1"/>
  <c r="I49" i="5" s="1"/>
  <c r="I9" i="5" s="1"/>
  <c r="H8" i="5"/>
  <c r="H8" i="4"/>
  <c r="I45" i="4"/>
  <c r="I29" i="4"/>
  <c r="I30" i="4" s="1"/>
  <c r="I48" i="4" s="1"/>
  <c r="I49" i="4" s="1"/>
  <c r="I9" i="4" s="1"/>
  <c r="L20" i="4"/>
  <c r="L22" i="4"/>
  <c r="J27" i="4"/>
  <c r="K24" i="6"/>
  <c r="V45" i="6"/>
  <c r="U8" i="6"/>
  <c r="V29" i="6"/>
  <c r="V30" i="6" s="1"/>
  <c r="V48" i="6" s="1"/>
  <c r="V49" i="6" s="1"/>
  <c r="V9" i="6" s="1"/>
  <c r="J27" i="6"/>
  <c r="H8" i="6"/>
  <c r="I45" i="6"/>
  <c r="I29" i="6"/>
  <c r="I30" i="6" s="1"/>
  <c r="I48" i="6" s="1"/>
  <c r="I49" i="6" s="1"/>
  <c r="I9" i="6" s="1"/>
  <c r="J24" i="6"/>
  <c r="Y17" i="6"/>
  <c r="Y24" i="6"/>
  <c r="Y22" i="6"/>
  <c r="Y20" i="6"/>
  <c r="Y18" i="6"/>
  <c r="V32" i="6"/>
  <c r="V33" i="6" s="1"/>
  <c r="V4" i="6" s="1"/>
  <c r="W27" i="6"/>
  <c r="L17" i="6"/>
  <c r="L20" i="6"/>
  <c r="L22" i="6"/>
  <c r="I34" i="9"/>
  <c r="I35" i="9" s="1"/>
  <c r="I4" i="9" s="1"/>
  <c r="Y20" i="9"/>
  <c r="Y18" i="9"/>
  <c r="Y24" i="9"/>
  <c r="Y17" i="9"/>
  <c r="Y22" i="9"/>
  <c r="W29" i="9"/>
  <c r="I47" i="9"/>
  <c r="I31" i="9"/>
  <c r="I32" i="9" s="1"/>
  <c r="I50" i="9" s="1"/>
  <c r="I51" i="9" s="1"/>
  <c r="I9" i="9" s="1"/>
  <c r="H8" i="9"/>
  <c r="V31" i="9"/>
  <c r="V32" i="9" s="1"/>
  <c r="V50" i="9" s="1"/>
  <c r="V51" i="9" s="1"/>
  <c r="V9" i="9" s="1"/>
  <c r="V47" i="9"/>
  <c r="U8" i="9"/>
  <c r="J29" i="9"/>
  <c r="J34" i="9"/>
  <c r="J35" i="9" s="1"/>
  <c r="J4" i="9" s="1"/>
  <c r="L20" i="9"/>
  <c r="L18" i="9"/>
  <c r="L22" i="9"/>
  <c r="L24" i="9"/>
  <c r="L17" i="9"/>
  <c r="L26" i="9" s="1"/>
  <c r="L18" i="8"/>
  <c r="L20" i="8"/>
  <c r="L17" i="8"/>
  <c r="L22" i="8"/>
  <c r="J27" i="8"/>
  <c r="I48" i="8"/>
  <c r="I49" i="8" s="1"/>
  <c r="I9" i="8" s="1"/>
  <c r="I32" i="8"/>
  <c r="I33" i="8" s="1"/>
  <c r="I4" i="8" s="1"/>
  <c r="H8" i="8"/>
  <c r="I45" i="8"/>
  <c r="I29" i="8"/>
  <c r="I30" i="8" s="1"/>
  <c r="L11" i="3"/>
  <c r="L25" i="3"/>
  <c r="L26" i="3" s="1"/>
  <c r="K26" i="3"/>
  <c r="J27" i="2"/>
  <c r="L20" i="2"/>
  <c r="L17" i="2"/>
  <c r="L22" i="2"/>
  <c r="L18" i="2"/>
  <c r="I48" i="2"/>
  <c r="I49" i="2" s="1"/>
  <c r="I9" i="2" s="1"/>
  <c r="I32" i="2"/>
  <c r="I33" i="2" s="1"/>
  <c r="I4" i="2" s="1"/>
  <c r="I8" i="2" l="1"/>
  <c r="L24" i="6"/>
  <c r="W48" i="5"/>
  <c r="W49" i="5" s="1"/>
  <c r="W9" i="5" s="1"/>
  <c r="L17" i="3"/>
  <c r="L20" i="3"/>
  <c r="L18" i="3"/>
  <c r="F47" i="3"/>
  <c r="F48" i="3" s="1"/>
  <c r="F9" i="3" s="1"/>
  <c r="J32" i="4"/>
  <c r="J33" i="4" s="1"/>
  <c r="J4" i="4" s="1"/>
  <c r="G48" i="3"/>
  <c r="G9" i="3" s="1"/>
  <c r="J29" i="15"/>
  <c r="J30" i="15" s="1"/>
  <c r="J48" i="15" s="1"/>
  <c r="J45" i="15"/>
  <c r="K29" i="15" s="1"/>
  <c r="K30" i="15" s="1"/>
  <c r="K27" i="15"/>
  <c r="L27" i="15"/>
  <c r="J32" i="15"/>
  <c r="J33" i="15" s="1"/>
  <c r="J4" i="15" s="1"/>
  <c r="L24" i="15"/>
  <c r="K24" i="15"/>
  <c r="N17" i="14"/>
  <c r="N22" i="14"/>
  <c r="O11" i="14"/>
  <c r="N20" i="14"/>
  <c r="N18" i="14"/>
  <c r="M24" i="14"/>
  <c r="I8" i="14"/>
  <c r="J30" i="14"/>
  <c r="J31" i="14" s="1"/>
  <c r="J49" i="14" s="1"/>
  <c r="J50" i="14" s="1"/>
  <c r="J9" i="14" s="1"/>
  <c r="J46" i="14"/>
  <c r="K27" i="14"/>
  <c r="N16" i="14"/>
  <c r="J33" i="14"/>
  <c r="J34" i="14" s="1"/>
  <c r="J4" i="14" s="1"/>
  <c r="L24" i="14"/>
  <c r="M22" i="11"/>
  <c r="M20" i="11"/>
  <c r="M18" i="11"/>
  <c r="M17" i="11"/>
  <c r="N11" i="11"/>
  <c r="J34" i="11"/>
  <c r="J35" i="11" s="1"/>
  <c r="J4" i="11" s="1"/>
  <c r="K28" i="11"/>
  <c r="J47" i="11"/>
  <c r="J31" i="11"/>
  <c r="J32" i="11" s="1"/>
  <c r="J50" i="11" s="1"/>
  <c r="J51" i="11" s="1"/>
  <c r="J9" i="11" s="1"/>
  <c r="I8" i="11"/>
  <c r="L25" i="11"/>
  <c r="K25" i="11"/>
  <c r="O16" i="11"/>
  <c r="O16" i="10"/>
  <c r="M17" i="10"/>
  <c r="M14" i="10"/>
  <c r="M22" i="10"/>
  <c r="M20" i="10"/>
  <c r="M18" i="10"/>
  <c r="N11" i="10"/>
  <c r="L24" i="10"/>
  <c r="K27" i="10"/>
  <c r="K33" i="10"/>
  <c r="K34" i="10" s="1"/>
  <c r="K4" i="10" s="1"/>
  <c r="I8" i="10"/>
  <c r="J46" i="10"/>
  <c r="J30" i="10"/>
  <c r="J31" i="10" s="1"/>
  <c r="J49" i="10" s="1"/>
  <c r="J50" i="10" s="1"/>
  <c r="J9" i="10" s="1"/>
  <c r="Y24" i="5"/>
  <c r="J45" i="5"/>
  <c r="J29" i="5"/>
  <c r="J30" i="5" s="1"/>
  <c r="J48" i="5" s="1"/>
  <c r="J49" i="5" s="1"/>
  <c r="J9" i="5" s="1"/>
  <c r="I8" i="5"/>
  <c r="W32" i="5"/>
  <c r="W33" i="5" s="1"/>
  <c r="W4" i="5" s="1"/>
  <c r="L24" i="5"/>
  <c r="W8" i="5"/>
  <c r="X29" i="5"/>
  <c r="X30" i="5" s="1"/>
  <c r="X45" i="5"/>
  <c r="K27" i="5"/>
  <c r="K32" i="5" s="1"/>
  <c r="K33" i="5" s="1"/>
  <c r="K4" i="5" s="1"/>
  <c r="L27" i="5"/>
  <c r="X27" i="5"/>
  <c r="Y27" i="5"/>
  <c r="J32" i="5"/>
  <c r="J33" i="5" s="1"/>
  <c r="J4" i="5" s="1"/>
  <c r="L27" i="4"/>
  <c r="K27" i="4"/>
  <c r="J45" i="4"/>
  <c r="J29" i="4"/>
  <c r="J30" i="4" s="1"/>
  <c r="J48" i="4" s="1"/>
  <c r="J49" i="4" s="1"/>
  <c r="J9" i="4" s="1"/>
  <c r="I8" i="4"/>
  <c r="K24" i="4"/>
  <c r="Y32" i="6"/>
  <c r="Y33" i="6" s="1"/>
  <c r="Y4" i="6" s="1"/>
  <c r="J32" i="6"/>
  <c r="J33" i="6" s="1"/>
  <c r="J4" i="6" s="1"/>
  <c r="V8" i="6"/>
  <c r="W29" i="6"/>
  <c r="W30" i="6" s="1"/>
  <c r="W48" i="6" s="1"/>
  <c r="W49" i="6" s="1"/>
  <c r="W9" i="6" s="1"/>
  <c r="W45" i="6"/>
  <c r="K27" i="6"/>
  <c r="K32" i="6" s="1"/>
  <c r="K33" i="6" s="1"/>
  <c r="K4" i="6" s="1"/>
  <c r="L27" i="6"/>
  <c r="X24" i="6"/>
  <c r="J45" i="6"/>
  <c r="J29" i="6"/>
  <c r="J30" i="6" s="1"/>
  <c r="J48" i="6" s="1"/>
  <c r="J49" i="6" s="1"/>
  <c r="J9" i="6" s="1"/>
  <c r="I8" i="6"/>
  <c r="X27" i="6"/>
  <c r="Y27" i="6"/>
  <c r="W32" i="6"/>
  <c r="W33" i="6" s="1"/>
  <c r="W4" i="6" s="1"/>
  <c r="W34" i="9"/>
  <c r="W35" i="9" s="1"/>
  <c r="W4" i="9" s="1"/>
  <c r="Y26" i="9"/>
  <c r="K29" i="9"/>
  <c r="L29" i="9"/>
  <c r="J47" i="9"/>
  <c r="I8" i="9"/>
  <c r="J31" i="9"/>
  <c r="J32" i="9" s="1"/>
  <c r="J50" i="9" s="1"/>
  <c r="J51" i="9" s="1"/>
  <c r="J9" i="9" s="1"/>
  <c r="W31" i="9"/>
  <c r="W32" i="9" s="1"/>
  <c r="W50" i="9" s="1"/>
  <c r="W51" i="9" s="1"/>
  <c r="W9" i="9" s="1"/>
  <c r="V8" i="9"/>
  <c r="W47" i="9"/>
  <c r="Y29" i="9"/>
  <c r="X29" i="9"/>
  <c r="J45" i="8"/>
  <c r="I8" i="8"/>
  <c r="J29" i="8"/>
  <c r="J30" i="8" s="1"/>
  <c r="J48" i="8" s="1"/>
  <c r="J49" i="8" s="1"/>
  <c r="J9" i="8" s="1"/>
  <c r="J32" i="8"/>
  <c r="J33" i="8" s="1"/>
  <c r="J4" i="8" s="1"/>
  <c r="L24" i="8"/>
  <c r="K27" i="8"/>
  <c r="L27" i="8"/>
  <c r="K24" i="8"/>
  <c r="J45" i="2"/>
  <c r="L27" i="2"/>
  <c r="K27" i="2"/>
  <c r="K32" i="2" s="1"/>
  <c r="K33" i="2" s="1"/>
  <c r="K4" i="2" s="1"/>
  <c r="J48" i="2"/>
  <c r="J49" i="2" s="1"/>
  <c r="J9" i="2" s="1"/>
  <c r="J32" i="2"/>
  <c r="J33" i="2" s="1"/>
  <c r="J4" i="2" s="1"/>
  <c r="X48" i="5" l="1"/>
  <c r="X49" i="5" s="1"/>
  <c r="X9" i="5" s="1"/>
  <c r="G44" i="3"/>
  <c r="J49" i="15"/>
  <c r="J9" i="15" s="1"/>
  <c r="K45" i="15"/>
  <c r="L29" i="15" s="1"/>
  <c r="L30" i="15" s="1"/>
  <c r="L48" i="15" s="1"/>
  <c r="L49" i="15" s="1"/>
  <c r="L9" i="15" s="1"/>
  <c r="J8" i="15"/>
  <c r="L32" i="15"/>
  <c r="L33" i="15" s="1"/>
  <c r="L4" i="15" s="1"/>
  <c r="K48" i="15"/>
  <c r="K49" i="15" s="1"/>
  <c r="K9" i="15" s="1"/>
  <c r="K32" i="15"/>
  <c r="K33" i="15" s="1"/>
  <c r="K4" i="15" s="1"/>
  <c r="K33" i="14"/>
  <c r="K34" i="14" s="1"/>
  <c r="K4" i="14" s="1"/>
  <c r="O17" i="14"/>
  <c r="O22" i="14"/>
  <c r="P11" i="14"/>
  <c r="O20" i="14"/>
  <c r="O18" i="14"/>
  <c r="L27" i="14"/>
  <c r="L33" i="14" s="1"/>
  <c r="L34" i="14" s="1"/>
  <c r="L4" i="14" s="1"/>
  <c r="K30" i="14"/>
  <c r="K31" i="14" s="1"/>
  <c r="K49" i="14" s="1"/>
  <c r="K50" i="14" s="1"/>
  <c r="K9" i="14" s="1"/>
  <c r="K46" i="14"/>
  <c r="J8" i="14"/>
  <c r="O16" i="14"/>
  <c r="K31" i="11"/>
  <c r="K32" i="11" s="1"/>
  <c r="K50" i="11" s="1"/>
  <c r="K51" i="11" s="1"/>
  <c r="K9" i="11" s="1"/>
  <c r="K47" i="11"/>
  <c r="J8" i="11"/>
  <c r="N20" i="11"/>
  <c r="N18" i="11"/>
  <c r="N22" i="11"/>
  <c r="N17" i="11"/>
  <c r="O11" i="11"/>
  <c r="L28" i="11"/>
  <c r="L34" i="11" s="1"/>
  <c r="L35" i="11" s="1"/>
  <c r="L4" i="11" s="1"/>
  <c r="P16" i="11"/>
  <c r="K34" i="11"/>
  <c r="K35" i="11" s="1"/>
  <c r="K4" i="11" s="1"/>
  <c r="L27" i="10"/>
  <c r="L33" i="10" s="1"/>
  <c r="L34" i="10" s="1"/>
  <c r="L4" i="10" s="1"/>
  <c r="P16" i="10"/>
  <c r="M24" i="10"/>
  <c r="K30" i="10"/>
  <c r="K31" i="10" s="1"/>
  <c r="K49" i="10" s="1"/>
  <c r="K50" i="10" s="1"/>
  <c r="K9" i="10" s="1"/>
  <c r="K46" i="10"/>
  <c r="J8" i="10"/>
  <c r="N22" i="10"/>
  <c r="O11" i="10"/>
  <c r="N20" i="10"/>
  <c r="N17" i="10"/>
  <c r="N14" i="10"/>
  <c r="N18" i="10"/>
  <c r="X32" i="5"/>
  <c r="X33" i="5" s="1"/>
  <c r="X4" i="5" s="1"/>
  <c r="L32" i="5"/>
  <c r="L33" i="5" s="1"/>
  <c r="L4" i="5" s="1"/>
  <c r="X8" i="5"/>
  <c r="Y29" i="5"/>
  <c r="Y30" i="5" s="1"/>
  <c r="Y48" i="5" s="1"/>
  <c r="Y49" i="5" s="1"/>
  <c r="Y9" i="5" s="1"/>
  <c r="Y45" i="5"/>
  <c r="Y8" i="5" s="1"/>
  <c r="K45" i="5"/>
  <c r="K29" i="5"/>
  <c r="K30" i="5" s="1"/>
  <c r="K48" i="5" s="1"/>
  <c r="K49" i="5" s="1"/>
  <c r="K9" i="5" s="1"/>
  <c r="J8" i="5"/>
  <c r="Y32" i="5"/>
  <c r="Y33" i="5" s="1"/>
  <c r="Y4" i="5" s="1"/>
  <c r="L24" i="4"/>
  <c r="K32" i="4"/>
  <c r="K33" i="4" s="1"/>
  <c r="K4" i="4" s="1"/>
  <c r="J8" i="4"/>
  <c r="K29" i="4"/>
  <c r="K30" i="4" s="1"/>
  <c r="K48" i="4" s="1"/>
  <c r="K49" i="4" s="1"/>
  <c r="K9" i="4" s="1"/>
  <c r="K45" i="4"/>
  <c r="K29" i="6"/>
  <c r="K30" i="6" s="1"/>
  <c r="K48" i="6" s="1"/>
  <c r="K49" i="6" s="1"/>
  <c r="K9" i="6" s="1"/>
  <c r="J8" i="6"/>
  <c r="K45" i="6"/>
  <c r="X32" i="6"/>
  <c r="X33" i="6" s="1"/>
  <c r="X4" i="6" s="1"/>
  <c r="L32" i="6"/>
  <c r="L33" i="6" s="1"/>
  <c r="L4" i="6" s="1"/>
  <c r="W8" i="6"/>
  <c r="X29" i="6"/>
  <c r="X30" i="6" s="1"/>
  <c r="X48" i="6" s="1"/>
  <c r="X49" i="6" s="1"/>
  <c r="X9" i="6" s="1"/>
  <c r="X45" i="6"/>
  <c r="Y34" i="9"/>
  <c r="Y35" i="9" s="1"/>
  <c r="Y4" i="9" s="1"/>
  <c r="K34" i="9"/>
  <c r="K35" i="9" s="1"/>
  <c r="K4" i="9" s="1"/>
  <c r="X31" i="9"/>
  <c r="X32" i="9" s="1"/>
  <c r="X50" i="9" s="1"/>
  <c r="X51" i="9" s="1"/>
  <c r="X9" i="9" s="1"/>
  <c r="W8" i="9"/>
  <c r="X47" i="9"/>
  <c r="X34" i="9"/>
  <c r="X35" i="9" s="1"/>
  <c r="X4" i="9" s="1"/>
  <c r="L34" i="9"/>
  <c r="L35" i="9" s="1"/>
  <c r="L4" i="9" s="1"/>
  <c r="K31" i="9"/>
  <c r="K32" i="9" s="1"/>
  <c r="K50" i="9" s="1"/>
  <c r="K51" i="9" s="1"/>
  <c r="K9" i="9" s="1"/>
  <c r="K47" i="9"/>
  <c r="J8" i="9"/>
  <c r="L32" i="8"/>
  <c r="L33" i="8" s="1"/>
  <c r="L4" i="8" s="1"/>
  <c r="K29" i="8"/>
  <c r="K30" i="8" s="1"/>
  <c r="K48" i="8" s="1"/>
  <c r="K49" i="8" s="1"/>
  <c r="K9" i="8" s="1"/>
  <c r="K45" i="8"/>
  <c r="J8" i="8"/>
  <c r="K32" i="8"/>
  <c r="K33" i="8" s="1"/>
  <c r="K4" i="8" s="1"/>
  <c r="L32" i="2"/>
  <c r="L33" i="2" s="1"/>
  <c r="L4" i="2" s="1"/>
  <c r="J8" i="2"/>
  <c r="K45" i="2"/>
  <c r="K29" i="2"/>
  <c r="K30" i="2" s="1"/>
  <c r="K48" i="2" s="1"/>
  <c r="K49" i="2" s="1"/>
  <c r="K9" i="2" s="1"/>
  <c r="H44" i="3" l="1"/>
  <c r="H28" i="3"/>
  <c r="G8" i="3"/>
  <c r="K8" i="15"/>
  <c r="L45" i="15"/>
  <c r="L8" i="15" s="1"/>
  <c r="L30" i="14"/>
  <c r="L31" i="14" s="1"/>
  <c r="L49" i="14" s="1"/>
  <c r="L50" i="14" s="1"/>
  <c r="L9" i="14" s="1"/>
  <c r="L46" i="14"/>
  <c r="K8" i="14"/>
  <c r="M27" i="14"/>
  <c r="O24" i="14"/>
  <c r="P16" i="14"/>
  <c r="N24" i="14"/>
  <c r="P17" i="14"/>
  <c r="P22" i="14"/>
  <c r="Q11" i="14"/>
  <c r="P20" i="14"/>
  <c r="P18" i="14"/>
  <c r="M28" i="11"/>
  <c r="L31" i="11"/>
  <c r="L32" i="11" s="1"/>
  <c r="L50" i="11" s="1"/>
  <c r="L51" i="11" s="1"/>
  <c r="L9" i="11" s="1"/>
  <c r="L47" i="11"/>
  <c r="K8" i="11"/>
  <c r="O20" i="11"/>
  <c r="O18" i="11"/>
  <c r="O17" i="11"/>
  <c r="O22" i="11"/>
  <c r="P11" i="11"/>
  <c r="N25" i="11"/>
  <c r="M25" i="11"/>
  <c r="Q16" i="11"/>
  <c r="O17" i="10"/>
  <c r="O14" i="10"/>
  <c r="P11" i="10"/>
  <c r="O20" i="10"/>
  <c r="O18" i="10"/>
  <c r="O22" i="10"/>
  <c r="Q16" i="10"/>
  <c r="L30" i="10"/>
  <c r="L31" i="10" s="1"/>
  <c r="L49" i="10" s="1"/>
  <c r="L50" i="10" s="1"/>
  <c r="L9" i="10" s="1"/>
  <c r="L46" i="10"/>
  <c r="K8" i="10"/>
  <c r="M27" i="10"/>
  <c r="M33" i="10" s="1"/>
  <c r="M34" i="10" s="1"/>
  <c r="M4" i="10" s="1"/>
  <c r="L29" i="5"/>
  <c r="L30" i="5" s="1"/>
  <c r="L48" i="5" s="1"/>
  <c r="L49" i="5" s="1"/>
  <c r="L9" i="5" s="1"/>
  <c r="K8" i="5"/>
  <c r="L45" i="5"/>
  <c r="L8" i="5" s="1"/>
  <c r="L32" i="4"/>
  <c r="L33" i="4" s="1"/>
  <c r="L4" i="4" s="1"/>
  <c r="L29" i="4"/>
  <c r="L30" i="4" s="1"/>
  <c r="L48" i="4" s="1"/>
  <c r="L49" i="4" s="1"/>
  <c r="L9" i="4" s="1"/>
  <c r="L45" i="4"/>
  <c r="L8" i="4" s="1"/>
  <c r="K8" i="4"/>
  <c r="X8" i="6"/>
  <c r="Y29" i="6"/>
  <c r="Y30" i="6" s="1"/>
  <c r="Y48" i="6" s="1"/>
  <c r="Y49" i="6" s="1"/>
  <c r="Y9" i="6" s="1"/>
  <c r="Y45" i="6"/>
  <c r="Y8" i="6" s="1"/>
  <c r="L29" i="6"/>
  <c r="L30" i="6" s="1"/>
  <c r="L48" i="6" s="1"/>
  <c r="L49" i="6" s="1"/>
  <c r="L9" i="6" s="1"/>
  <c r="K8" i="6"/>
  <c r="L45" i="6"/>
  <c r="L8" i="6" s="1"/>
  <c r="Y31" i="9"/>
  <c r="Y32" i="9" s="1"/>
  <c r="Y50" i="9" s="1"/>
  <c r="Y51" i="9" s="1"/>
  <c r="Y9" i="9" s="1"/>
  <c r="X8" i="9"/>
  <c r="Y47" i="9"/>
  <c r="Y8" i="9" s="1"/>
  <c r="L31" i="9"/>
  <c r="L32" i="9" s="1"/>
  <c r="L50" i="9" s="1"/>
  <c r="L51" i="9" s="1"/>
  <c r="L9" i="9" s="1"/>
  <c r="L47" i="9"/>
  <c r="L8" i="9" s="1"/>
  <c r="K8" i="9"/>
  <c r="L29" i="8"/>
  <c r="L30" i="8" s="1"/>
  <c r="L48" i="8" s="1"/>
  <c r="L49" i="8" s="1"/>
  <c r="L9" i="8" s="1"/>
  <c r="K8" i="8"/>
  <c r="L45" i="8"/>
  <c r="L8" i="8" s="1"/>
  <c r="L45" i="2"/>
  <c r="L8" i="2" s="1"/>
  <c r="K8" i="2"/>
  <c r="L29" i="2"/>
  <c r="L30" i="2" s="1"/>
  <c r="L48" i="2" s="1"/>
  <c r="L49" i="2" s="1"/>
  <c r="L9" i="2" s="1"/>
  <c r="I28" i="3" l="1"/>
  <c r="I29" i="3" s="1"/>
  <c r="H8" i="3"/>
  <c r="H29" i="3"/>
  <c r="Q22" i="14"/>
  <c r="R11" i="14"/>
  <c r="Q20" i="14"/>
  <c r="Q18" i="14"/>
  <c r="Q17" i="14"/>
  <c r="N27" i="14"/>
  <c r="M33" i="14"/>
  <c r="M34" i="14" s="1"/>
  <c r="M4" i="14" s="1"/>
  <c r="P24" i="14"/>
  <c r="L8" i="14"/>
  <c r="M30" i="14"/>
  <c r="M31" i="14" s="1"/>
  <c r="M49" i="14" s="1"/>
  <c r="M50" i="14" s="1"/>
  <c r="M9" i="14" s="1"/>
  <c r="M46" i="14"/>
  <c r="Q16" i="14"/>
  <c r="M34" i="11"/>
  <c r="M35" i="11" s="1"/>
  <c r="M4" i="11" s="1"/>
  <c r="M47" i="11"/>
  <c r="M31" i="11"/>
  <c r="M32" i="11" s="1"/>
  <c r="M50" i="11" s="1"/>
  <c r="M51" i="11" s="1"/>
  <c r="M9" i="11" s="1"/>
  <c r="L8" i="11"/>
  <c r="P22" i="11"/>
  <c r="P20" i="11"/>
  <c r="Q11" i="11"/>
  <c r="P18" i="11"/>
  <c r="P17" i="11"/>
  <c r="N28" i="11"/>
  <c r="R16" i="11"/>
  <c r="O25" i="11"/>
  <c r="N27" i="10"/>
  <c r="M30" i="10"/>
  <c r="M31" i="10" s="1"/>
  <c r="M49" i="10" s="1"/>
  <c r="M50" i="10" s="1"/>
  <c r="M9" i="10" s="1"/>
  <c r="M46" i="10"/>
  <c r="L8" i="10"/>
  <c r="P22" i="10"/>
  <c r="P17" i="10"/>
  <c r="Q11" i="10"/>
  <c r="P14" i="10"/>
  <c r="P18" i="10"/>
  <c r="P20" i="10"/>
  <c r="R16" i="10"/>
  <c r="O24" i="10"/>
  <c r="N24" i="10"/>
  <c r="H23" i="3" l="1"/>
  <c r="R16" i="14"/>
  <c r="N33" i="14"/>
  <c r="N34" i="14" s="1"/>
  <c r="N4" i="14" s="1"/>
  <c r="S11" i="14"/>
  <c r="R20" i="14"/>
  <c r="R18" i="14"/>
  <c r="R17" i="14"/>
  <c r="R22" i="14"/>
  <c r="N30" i="14"/>
  <c r="N31" i="14" s="1"/>
  <c r="N49" i="14" s="1"/>
  <c r="N50" i="14" s="1"/>
  <c r="N9" i="14" s="1"/>
  <c r="N46" i="14"/>
  <c r="M8" i="14"/>
  <c r="O27" i="14"/>
  <c r="N47" i="11"/>
  <c r="N31" i="11"/>
  <c r="N32" i="11" s="1"/>
  <c r="N50" i="11" s="1"/>
  <c r="N51" i="11" s="1"/>
  <c r="N9" i="11" s="1"/>
  <c r="M8" i="11"/>
  <c r="N34" i="11"/>
  <c r="N35" i="11" s="1"/>
  <c r="N4" i="11" s="1"/>
  <c r="Q17" i="11"/>
  <c r="R11" i="11"/>
  <c r="Q20" i="11"/>
  <c r="Q18" i="11"/>
  <c r="Q22" i="11"/>
  <c r="S16" i="11"/>
  <c r="O28" i="11"/>
  <c r="S16" i="10"/>
  <c r="N30" i="10"/>
  <c r="N31" i="10" s="1"/>
  <c r="N49" i="10" s="1"/>
  <c r="N50" i="10" s="1"/>
  <c r="N9" i="10" s="1"/>
  <c r="N46" i="10"/>
  <c r="M8" i="10"/>
  <c r="O27" i="10"/>
  <c r="N33" i="10"/>
  <c r="N34" i="10" s="1"/>
  <c r="N4" i="10" s="1"/>
  <c r="R11" i="10"/>
  <c r="Q20" i="10"/>
  <c r="Q18" i="10"/>
  <c r="Q17" i="10"/>
  <c r="Q22" i="10"/>
  <c r="Q14" i="10"/>
  <c r="P24" i="10"/>
  <c r="H31" i="3" l="1"/>
  <c r="H32" i="3" s="1"/>
  <c r="H4" i="3" s="1"/>
  <c r="H47" i="3"/>
  <c r="I23" i="3"/>
  <c r="O30" i="14"/>
  <c r="O31" i="14" s="1"/>
  <c r="O49" i="14" s="1"/>
  <c r="O50" i="14" s="1"/>
  <c r="O9" i="14" s="1"/>
  <c r="O46" i="14"/>
  <c r="N8" i="14"/>
  <c r="Q24" i="14"/>
  <c r="P27" i="14"/>
  <c r="S16" i="14"/>
  <c r="R24" i="14"/>
  <c r="O33" i="14"/>
  <c r="O34" i="14" s="1"/>
  <c r="O4" i="14" s="1"/>
  <c r="S20" i="14"/>
  <c r="S18" i="14"/>
  <c r="S17" i="14"/>
  <c r="S22" i="14"/>
  <c r="T11" i="14"/>
  <c r="P25" i="11"/>
  <c r="R17" i="11"/>
  <c r="R22" i="11"/>
  <c r="R18" i="11"/>
  <c r="S11" i="11"/>
  <c r="R20" i="11"/>
  <c r="Q25" i="11"/>
  <c r="N8" i="11"/>
  <c r="O31" i="11"/>
  <c r="O32" i="11" s="1"/>
  <c r="O50" i="11" s="1"/>
  <c r="O51" i="11" s="1"/>
  <c r="O9" i="11" s="1"/>
  <c r="O47" i="11"/>
  <c r="T16" i="11"/>
  <c r="O34" i="11"/>
  <c r="O35" i="11" s="1"/>
  <c r="O4" i="11" s="1"/>
  <c r="P28" i="11"/>
  <c r="P27" i="10"/>
  <c r="O30" i="10"/>
  <c r="O31" i="10" s="1"/>
  <c r="O49" i="10" s="1"/>
  <c r="O50" i="10" s="1"/>
  <c r="O9" i="10" s="1"/>
  <c r="O46" i="10"/>
  <c r="N8" i="10"/>
  <c r="O33" i="10"/>
  <c r="O34" i="10" s="1"/>
  <c r="O4" i="10" s="1"/>
  <c r="R20" i="10"/>
  <c r="R18" i="10"/>
  <c r="R17" i="10"/>
  <c r="R14" i="10"/>
  <c r="R22" i="10"/>
  <c r="S11" i="10"/>
  <c r="T16" i="10"/>
  <c r="Q24" i="10"/>
  <c r="I31" i="3" l="1"/>
  <c r="I32" i="3" s="1"/>
  <c r="I4" i="3" s="1"/>
  <c r="I47" i="3"/>
  <c r="I48" i="3" s="1"/>
  <c r="I9" i="3" s="1"/>
  <c r="H48" i="3"/>
  <c r="H9" i="3" s="1"/>
  <c r="I44" i="3"/>
  <c r="J28" i="3" s="1"/>
  <c r="Q27" i="14"/>
  <c r="Q33" i="14" s="1"/>
  <c r="Q34" i="14" s="1"/>
  <c r="Q4" i="14" s="1"/>
  <c r="P33" i="14"/>
  <c r="P34" i="14" s="1"/>
  <c r="P4" i="14" s="1"/>
  <c r="P46" i="14"/>
  <c r="O8" i="14"/>
  <c r="P30" i="14"/>
  <c r="P31" i="14" s="1"/>
  <c r="P49" i="14" s="1"/>
  <c r="P50" i="14" s="1"/>
  <c r="P9" i="14" s="1"/>
  <c r="T20" i="14"/>
  <c r="T18" i="14"/>
  <c r="T17" i="14"/>
  <c r="T22" i="14"/>
  <c r="U11" i="14"/>
  <c r="S24" i="14"/>
  <c r="T16" i="14"/>
  <c r="U16" i="11"/>
  <c r="P47" i="11"/>
  <c r="O8" i="11"/>
  <c r="P31" i="11"/>
  <c r="P32" i="11" s="1"/>
  <c r="P50" i="11" s="1"/>
  <c r="P51" i="11" s="1"/>
  <c r="P9" i="11" s="1"/>
  <c r="P34" i="11"/>
  <c r="P35" i="11" s="1"/>
  <c r="P4" i="11" s="1"/>
  <c r="Q28" i="11"/>
  <c r="S22" i="11"/>
  <c r="T11" i="11"/>
  <c r="S18" i="11"/>
  <c r="S17" i="11"/>
  <c r="S20" i="11"/>
  <c r="P46" i="10"/>
  <c r="P30" i="10"/>
  <c r="P31" i="10" s="1"/>
  <c r="P49" i="10" s="1"/>
  <c r="P50" i="10" s="1"/>
  <c r="P9" i="10" s="1"/>
  <c r="O8" i="10"/>
  <c r="Q27" i="10"/>
  <c r="Q33" i="10" s="1"/>
  <c r="Q34" i="10" s="1"/>
  <c r="Q4" i="10" s="1"/>
  <c r="U16" i="10"/>
  <c r="P33" i="10"/>
  <c r="P34" i="10" s="1"/>
  <c r="P4" i="10" s="1"/>
  <c r="S22" i="10"/>
  <c r="S18" i="10"/>
  <c r="T11" i="10"/>
  <c r="S14" i="10"/>
  <c r="S20" i="10"/>
  <c r="S17" i="10"/>
  <c r="I8" i="3" l="1"/>
  <c r="J44" i="3"/>
  <c r="K28" i="3" s="1"/>
  <c r="U20" i="14"/>
  <c r="U18" i="14"/>
  <c r="U17" i="14"/>
  <c r="U22" i="14"/>
  <c r="V11" i="14"/>
  <c r="U16" i="14"/>
  <c r="R27" i="14"/>
  <c r="P8" i="14"/>
  <c r="Q30" i="14"/>
  <c r="Q31" i="14" s="1"/>
  <c r="Q49" i="14" s="1"/>
  <c r="Q50" i="14" s="1"/>
  <c r="Q9" i="14" s="1"/>
  <c r="Q46" i="14"/>
  <c r="R28" i="11"/>
  <c r="Q31" i="11"/>
  <c r="Q32" i="11" s="1"/>
  <c r="Q50" i="11" s="1"/>
  <c r="Q51" i="11" s="1"/>
  <c r="Q9" i="11" s="1"/>
  <c r="P8" i="11"/>
  <c r="Q47" i="11"/>
  <c r="U11" i="11"/>
  <c r="T20" i="11"/>
  <c r="T18" i="11"/>
  <c r="T17" i="11"/>
  <c r="T22" i="11"/>
  <c r="R25" i="11"/>
  <c r="Q34" i="11"/>
  <c r="Q35" i="11" s="1"/>
  <c r="Q4" i="11" s="1"/>
  <c r="V16" i="11"/>
  <c r="P8" i="10"/>
  <c r="Q30" i="10"/>
  <c r="Q31" i="10" s="1"/>
  <c r="Q49" i="10" s="1"/>
  <c r="Q50" i="10" s="1"/>
  <c r="Q9" i="10" s="1"/>
  <c r="Q46" i="10"/>
  <c r="V16" i="10"/>
  <c r="R24" i="10"/>
  <c r="S24" i="10"/>
  <c r="R27" i="10"/>
  <c r="T20" i="10"/>
  <c r="T18" i="10"/>
  <c r="T17" i="10"/>
  <c r="T14" i="10"/>
  <c r="U11" i="10"/>
  <c r="T22" i="10"/>
  <c r="T24" i="14" l="1"/>
  <c r="J29" i="3"/>
  <c r="K29" i="3"/>
  <c r="J8" i="3"/>
  <c r="V17" i="14"/>
  <c r="V22" i="14"/>
  <c r="W11" i="14"/>
  <c r="V20" i="14"/>
  <c r="V18" i="14"/>
  <c r="R33" i="14"/>
  <c r="R34" i="14" s="1"/>
  <c r="R4" i="14" s="1"/>
  <c r="S27" i="14"/>
  <c r="Q8" i="14"/>
  <c r="R30" i="14"/>
  <c r="R31" i="14" s="1"/>
  <c r="R49" i="14" s="1"/>
  <c r="R50" i="14" s="1"/>
  <c r="R9" i="14" s="1"/>
  <c r="R46" i="14"/>
  <c r="U24" i="14"/>
  <c r="V16" i="14"/>
  <c r="R34" i="11"/>
  <c r="R35" i="11" s="1"/>
  <c r="R4" i="11" s="1"/>
  <c r="R47" i="11"/>
  <c r="R31" i="11"/>
  <c r="R32" i="11" s="1"/>
  <c r="R50" i="11" s="1"/>
  <c r="R51" i="11" s="1"/>
  <c r="R9" i="11" s="1"/>
  <c r="Q8" i="11"/>
  <c r="U18" i="11"/>
  <c r="U17" i="11"/>
  <c r="V11" i="11"/>
  <c r="U22" i="11"/>
  <c r="U20" i="11"/>
  <c r="S28" i="11"/>
  <c r="S25" i="11"/>
  <c r="T25" i="11"/>
  <c r="W16" i="11"/>
  <c r="R33" i="10"/>
  <c r="R34" i="10" s="1"/>
  <c r="R4" i="10" s="1"/>
  <c r="Q8" i="10"/>
  <c r="R46" i="10"/>
  <c r="R30" i="10"/>
  <c r="R31" i="10" s="1"/>
  <c r="R49" i="10" s="1"/>
  <c r="R50" i="10" s="1"/>
  <c r="R9" i="10" s="1"/>
  <c r="W16" i="10"/>
  <c r="S27" i="10"/>
  <c r="S33" i="10" s="1"/>
  <c r="S34" i="10" s="1"/>
  <c r="S4" i="10" s="1"/>
  <c r="U17" i="10"/>
  <c r="U14" i="10"/>
  <c r="U22" i="10"/>
  <c r="U18" i="10"/>
  <c r="V11" i="10"/>
  <c r="U20" i="10"/>
  <c r="J23" i="3" l="1"/>
  <c r="W17" i="14"/>
  <c r="W22" i="14"/>
  <c r="X11" i="14"/>
  <c r="W20" i="14"/>
  <c r="W18" i="14"/>
  <c r="V24" i="14"/>
  <c r="W16" i="14"/>
  <c r="S33" i="14"/>
  <c r="S34" i="14" s="1"/>
  <c r="S4" i="14" s="1"/>
  <c r="T27" i="14"/>
  <c r="S30" i="14"/>
  <c r="S31" i="14" s="1"/>
  <c r="S49" i="14" s="1"/>
  <c r="S50" i="14" s="1"/>
  <c r="S9" i="14" s="1"/>
  <c r="S46" i="14"/>
  <c r="R8" i="14"/>
  <c r="T28" i="11"/>
  <c r="S31" i="11"/>
  <c r="S32" i="11" s="1"/>
  <c r="S50" i="11" s="1"/>
  <c r="S51" i="11" s="1"/>
  <c r="S9" i="11" s="1"/>
  <c r="S47" i="11"/>
  <c r="R8" i="11"/>
  <c r="S34" i="11"/>
  <c r="S35" i="11" s="1"/>
  <c r="S4" i="11" s="1"/>
  <c r="X16" i="11"/>
  <c r="V20" i="11"/>
  <c r="V18" i="11"/>
  <c r="V17" i="11"/>
  <c r="W11" i="11"/>
  <c r="V22" i="11"/>
  <c r="T34" i="11"/>
  <c r="T35" i="11" s="1"/>
  <c r="T4" i="11" s="1"/>
  <c r="U25" i="11"/>
  <c r="S30" i="10"/>
  <c r="S31" i="10" s="1"/>
  <c r="S49" i="10" s="1"/>
  <c r="S50" i="10" s="1"/>
  <c r="S9" i="10" s="1"/>
  <c r="S46" i="10"/>
  <c r="R8" i="10"/>
  <c r="T24" i="10"/>
  <c r="V22" i="10"/>
  <c r="W11" i="10"/>
  <c r="V18" i="10"/>
  <c r="V14" i="10"/>
  <c r="V17" i="10"/>
  <c r="V20" i="10"/>
  <c r="X16" i="10"/>
  <c r="T27" i="10"/>
  <c r="J31" i="3" l="1"/>
  <c r="J32" i="3" s="1"/>
  <c r="J4" i="3" s="1"/>
  <c r="J47" i="3"/>
  <c r="K23" i="3"/>
  <c r="T33" i="14"/>
  <c r="T34" i="14" s="1"/>
  <c r="T4" i="14" s="1"/>
  <c r="X17" i="14"/>
  <c r="X22" i="14"/>
  <c r="Y11" i="14"/>
  <c r="X20" i="14"/>
  <c r="X18" i="14"/>
  <c r="T30" i="14"/>
  <c r="T31" i="14" s="1"/>
  <c r="T49" i="14" s="1"/>
  <c r="T50" i="14" s="1"/>
  <c r="T9" i="14" s="1"/>
  <c r="T46" i="14"/>
  <c r="S8" i="14"/>
  <c r="W24" i="14"/>
  <c r="X16" i="14"/>
  <c r="U27" i="14"/>
  <c r="W20" i="11"/>
  <c r="W18" i="11"/>
  <c r="W17" i="11"/>
  <c r="W22" i="11"/>
  <c r="X11" i="11"/>
  <c r="V25" i="11"/>
  <c r="T31" i="11"/>
  <c r="T32" i="11" s="1"/>
  <c r="T50" i="11" s="1"/>
  <c r="T51" i="11" s="1"/>
  <c r="T9" i="11" s="1"/>
  <c r="T47" i="11"/>
  <c r="S8" i="11"/>
  <c r="U28" i="11"/>
  <c r="U34" i="11" s="1"/>
  <c r="U35" i="11" s="1"/>
  <c r="U4" i="11" s="1"/>
  <c r="Y16" i="11"/>
  <c r="Y16" i="10"/>
  <c r="T33" i="10"/>
  <c r="T34" i="10" s="1"/>
  <c r="T4" i="10" s="1"/>
  <c r="V24" i="10"/>
  <c r="S8" i="10"/>
  <c r="T30" i="10"/>
  <c r="T31" i="10" s="1"/>
  <c r="T49" i="10" s="1"/>
  <c r="T50" i="10" s="1"/>
  <c r="T9" i="10" s="1"/>
  <c r="T46" i="10"/>
  <c r="U24" i="10"/>
  <c r="U27" i="10"/>
  <c r="W17" i="10"/>
  <c r="W14" i="10"/>
  <c r="X11" i="10"/>
  <c r="W20" i="10"/>
  <c r="W18" i="10"/>
  <c r="W22" i="10"/>
  <c r="K31" i="3" l="1"/>
  <c r="K32" i="3" s="1"/>
  <c r="K4" i="3" s="1"/>
  <c r="K47" i="3"/>
  <c r="K48" i="3" s="1"/>
  <c r="K9" i="3" s="1"/>
  <c r="J48" i="3"/>
  <c r="J9" i="3" s="1"/>
  <c r="K44" i="3"/>
  <c r="L28" i="3" s="1"/>
  <c r="Y16" i="14"/>
  <c r="U33" i="14"/>
  <c r="U34" i="14" s="1"/>
  <c r="U4" i="14" s="1"/>
  <c r="U49" i="14"/>
  <c r="U50" i="14" s="1"/>
  <c r="U9" i="14" s="1"/>
  <c r="T8" i="14"/>
  <c r="U30" i="14"/>
  <c r="U31" i="14" s="1"/>
  <c r="U46" i="14"/>
  <c r="Y22" i="14"/>
  <c r="Z11" i="14"/>
  <c r="Y20" i="14"/>
  <c r="Y18" i="14"/>
  <c r="Y17" i="14"/>
  <c r="V27" i="14"/>
  <c r="Z16" i="11"/>
  <c r="X22" i="11"/>
  <c r="X20" i="11"/>
  <c r="X17" i="11"/>
  <c r="Y11" i="11"/>
  <c r="X18" i="11"/>
  <c r="W25" i="11"/>
  <c r="V28" i="11"/>
  <c r="V34" i="11" s="1"/>
  <c r="V35" i="11" s="1"/>
  <c r="V4" i="11" s="1"/>
  <c r="U47" i="11"/>
  <c r="U31" i="11"/>
  <c r="U32" i="11" s="1"/>
  <c r="U50" i="11" s="1"/>
  <c r="U51" i="11" s="1"/>
  <c r="U9" i="11" s="1"/>
  <c r="T8" i="11"/>
  <c r="V27" i="10"/>
  <c r="X22" i="10"/>
  <c r="Y11" i="10"/>
  <c r="X17" i="10"/>
  <c r="X14" i="10"/>
  <c r="X20" i="10"/>
  <c r="X18" i="10"/>
  <c r="W24" i="10"/>
  <c r="U33" i="10"/>
  <c r="U34" i="10" s="1"/>
  <c r="U4" i="10" s="1"/>
  <c r="Z16" i="10"/>
  <c r="U30" i="10"/>
  <c r="U31" i="10" s="1"/>
  <c r="U49" i="10" s="1"/>
  <c r="U50" i="10" s="1"/>
  <c r="U9" i="10" s="1"/>
  <c r="U46" i="10"/>
  <c r="T8" i="10"/>
  <c r="L44" i="3" l="1"/>
  <c r="L8" i="3" s="1"/>
  <c r="K8" i="3"/>
  <c r="AA11" i="14"/>
  <c r="Z20" i="14"/>
  <c r="Z18" i="14"/>
  <c r="Z17" i="14"/>
  <c r="Z22" i="14"/>
  <c r="W27" i="14"/>
  <c r="Z16" i="14"/>
  <c r="Y24" i="14"/>
  <c r="V33" i="14"/>
  <c r="V34" i="14" s="1"/>
  <c r="V4" i="14" s="1"/>
  <c r="V30" i="14"/>
  <c r="V31" i="14" s="1"/>
  <c r="V49" i="14" s="1"/>
  <c r="V50" i="14" s="1"/>
  <c r="V9" i="14" s="1"/>
  <c r="V46" i="14"/>
  <c r="U8" i="14"/>
  <c r="X24" i="14"/>
  <c r="V47" i="11"/>
  <c r="U8" i="11"/>
  <c r="V31" i="11"/>
  <c r="V32" i="11" s="1"/>
  <c r="V50" i="11" s="1"/>
  <c r="V51" i="11" s="1"/>
  <c r="V9" i="11" s="1"/>
  <c r="Y17" i="11"/>
  <c r="Z11" i="11"/>
  <c r="Y22" i="11"/>
  <c r="Y20" i="11"/>
  <c r="Y18" i="11"/>
  <c r="AA16" i="11"/>
  <c r="W28" i="11"/>
  <c r="W27" i="10"/>
  <c r="W33" i="10" s="1"/>
  <c r="W34" i="10" s="1"/>
  <c r="W4" i="10" s="1"/>
  <c r="AA16" i="10"/>
  <c r="V33" i="10"/>
  <c r="V34" i="10" s="1"/>
  <c r="V4" i="10" s="1"/>
  <c r="Z11" i="10"/>
  <c r="Y20" i="10"/>
  <c r="Y18" i="10"/>
  <c r="Y14" i="10"/>
  <c r="Y17" i="10"/>
  <c r="Y22" i="10"/>
  <c r="X24" i="10"/>
  <c r="V30" i="10"/>
  <c r="V31" i="10" s="1"/>
  <c r="V49" i="10" s="1"/>
  <c r="V50" i="10" s="1"/>
  <c r="V9" i="10" s="1"/>
  <c r="V46" i="10"/>
  <c r="U8" i="10"/>
  <c r="L29" i="3" l="1"/>
  <c r="L23" i="3"/>
  <c r="W33" i="14"/>
  <c r="W34" i="14" s="1"/>
  <c r="W4" i="14" s="1"/>
  <c r="AA16" i="14"/>
  <c r="Z24" i="14"/>
  <c r="AA20" i="14"/>
  <c r="AA18" i="14"/>
  <c r="AA17" i="14"/>
  <c r="AA22" i="14"/>
  <c r="AB11" i="14"/>
  <c r="W30" i="14"/>
  <c r="W31" i="14" s="1"/>
  <c r="W49" i="14" s="1"/>
  <c r="W50" i="14" s="1"/>
  <c r="W9" i="14" s="1"/>
  <c r="W46" i="14"/>
  <c r="V8" i="14"/>
  <c r="X27" i="14"/>
  <c r="X33" i="14" s="1"/>
  <c r="X34" i="14" s="1"/>
  <c r="X4" i="14" s="1"/>
  <c r="X28" i="11"/>
  <c r="AB16" i="11"/>
  <c r="V8" i="11"/>
  <c r="W47" i="11"/>
  <c r="W31" i="11"/>
  <c r="W32" i="11" s="1"/>
  <c r="W50" i="11" s="1"/>
  <c r="W51" i="11" s="1"/>
  <c r="W9" i="11" s="1"/>
  <c r="Z17" i="11"/>
  <c r="Z22" i="11"/>
  <c r="Z20" i="11"/>
  <c r="Z18" i="11"/>
  <c r="AA11" i="11"/>
  <c r="W34" i="11"/>
  <c r="W35" i="11" s="1"/>
  <c r="W4" i="11" s="1"/>
  <c r="X25" i="11"/>
  <c r="AB16" i="10"/>
  <c r="X27" i="10"/>
  <c r="X33" i="10" s="1"/>
  <c r="X34" i="10" s="1"/>
  <c r="X4" i="10" s="1"/>
  <c r="W30" i="10"/>
  <c r="W31" i="10" s="1"/>
  <c r="W49" i="10" s="1"/>
  <c r="W50" i="10" s="1"/>
  <c r="W9" i="10" s="1"/>
  <c r="W46" i="10"/>
  <c r="V8" i="10"/>
  <c r="Z20" i="10"/>
  <c r="Z18" i="10"/>
  <c r="Z17" i="10"/>
  <c r="Z14" i="10"/>
  <c r="Z22" i="10"/>
  <c r="AA11" i="10"/>
  <c r="L31" i="3" l="1"/>
  <c r="L32" i="3" s="1"/>
  <c r="L4" i="3" s="1"/>
  <c r="L47" i="3"/>
  <c r="L48" i="3" s="1"/>
  <c r="L9" i="3" s="1"/>
  <c r="Y27" i="14"/>
  <c r="AB20" i="14"/>
  <c r="AB18" i="14"/>
  <c r="AB17" i="14"/>
  <c r="AB22" i="14"/>
  <c r="AC11" i="14"/>
  <c r="X46" i="14"/>
  <c r="W8" i="14"/>
  <c r="X30" i="14"/>
  <c r="X31" i="14" s="1"/>
  <c r="X49" i="14" s="1"/>
  <c r="X50" i="14" s="1"/>
  <c r="X9" i="14" s="1"/>
  <c r="AB16" i="14"/>
  <c r="AC16" i="11"/>
  <c r="Z25" i="11"/>
  <c r="Y28" i="11"/>
  <c r="X34" i="11"/>
  <c r="X35" i="11" s="1"/>
  <c r="X4" i="11" s="1"/>
  <c r="AA22" i="11"/>
  <c r="AB11" i="11"/>
  <c r="AA20" i="11"/>
  <c r="AA18" i="11"/>
  <c r="AA17" i="11"/>
  <c r="Y25" i="11"/>
  <c r="X47" i="11"/>
  <c r="X31" i="11"/>
  <c r="X32" i="11" s="1"/>
  <c r="X50" i="11" s="1"/>
  <c r="X51" i="11" s="1"/>
  <c r="X9" i="11" s="1"/>
  <c r="W8" i="11"/>
  <c r="Y27" i="10"/>
  <c r="AC16" i="10"/>
  <c r="X46" i="10"/>
  <c r="X30" i="10"/>
  <c r="X31" i="10" s="1"/>
  <c r="X49" i="10" s="1"/>
  <c r="X50" i="10" s="1"/>
  <c r="X9" i="10" s="1"/>
  <c r="W8" i="10"/>
  <c r="Z24" i="10"/>
  <c r="Y24" i="10"/>
  <c r="AA22" i="10"/>
  <c r="AA20" i="10"/>
  <c r="AA17" i="10"/>
  <c r="AA18" i="10"/>
  <c r="AB11" i="10"/>
  <c r="AA14" i="10"/>
  <c r="AB24" i="14" l="1"/>
  <c r="AC16" i="14"/>
  <c r="Y33" i="14"/>
  <c r="Y34" i="14" s="1"/>
  <c r="Y4" i="14" s="1"/>
  <c r="X8" i="14"/>
  <c r="Y30" i="14"/>
  <c r="Y31" i="14" s="1"/>
  <c r="Y49" i="14" s="1"/>
  <c r="Y50" i="14" s="1"/>
  <c r="Y9" i="14" s="1"/>
  <c r="Y46" i="14"/>
  <c r="Z27" i="14"/>
  <c r="AC20" i="14"/>
  <c r="AC18" i="14"/>
  <c r="AC17" i="14"/>
  <c r="AC22" i="14"/>
  <c r="AD11" i="14"/>
  <c r="AA24" i="14"/>
  <c r="Y34" i="11"/>
  <c r="Y35" i="11" s="1"/>
  <c r="Y4" i="11" s="1"/>
  <c r="Z28" i="11"/>
  <c r="Z34" i="11" s="1"/>
  <c r="Z35" i="11" s="1"/>
  <c r="Z4" i="11" s="1"/>
  <c r="AA25" i="11"/>
  <c r="AC11" i="11"/>
  <c r="AB20" i="11"/>
  <c r="AB18" i="11"/>
  <c r="AB22" i="11"/>
  <c r="AB17" i="11"/>
  <c r="AD16" i="11"/>
  <c r="Y31" i="11"/>
  <c r="Y32" i="11" s="1"/>
  <c r="Y50" i="11" s="1"/>
  <c r="Y51" i="11" s="1"/>
  <c r="Y9" i="11" s="1"/>
  <c r="X8" i="11"/>
  <c r="Y47" i="11"/>
  <c r="X8" i="10"/>
  <c r="Y30" i="10"/>
  <c r="Y31" i="10" s="1"/>
  <c r="Y49" i="10" s="1"/>
  <c r="Y50" i="10" s="1"/>
  <c r="Y9" i="10" s="1"/>
  <c r="Y46" i="10"/>
  <c r="AD16" i="10"/>
  <c r="AA24" i="10"/>
  <c r="Z27" i="10"/>
  <c r="AB20" i="10"/>
  <c r="AB18" i="10"/>
  <c r="AB17" i="10"/>
  <c r="AB14" i="10"/>
  <c r="AC11" i="10"/>
  <c r="AB22" i="10"/>
  <c r="Y33" i="10"/>
  <c r="Y34" i="10" s="1"/>
  <c r="Y4" i="10" s="1"/>
  <c r="Z33" i="10"/>
  <c r="Z34" i="10" s="1"/>
  <c r="Z4" i="10" s="1"/>
  <c r="Z33" i="14" l="1"/>
  <c r="Z34" i="14" s="1"/>
  <c r="Z4" i="14" s="1"/>
  <c r="AC24" i="14"/>
  <c r="AD16" i="14"/>
  <c r="AA27" i="14"/>
  <c r="AD17" i="14"/>
  <c r="AD22" i="14"/>
  <c r="AD20" i="14"/>
  <c r="AD18" i="14"/>
  <c r="Y8" i="14"/>
  <c r="Z30" i="14"/>
  <c r="Z31" i="14" s="1"/>
  <c r="Z49" i="14" s="1"/>
  <c r="Z50" i="14" s="1"/>
  <c r="Z9" i="14" s="1"/>
  <c r="Z46" i="14"/>
  <c r="AA28" i="11"/>
  <c r="AC20" i="11"/>
  <c r="AC18" i="11"/>
  <c r="AC22" i="11"/>
  <c r="AC17" i="11"/>
  <c r="AD11" i="11"/>
  <c r="Z47" i="11"/>
  <c r="Z31" i="11"/>
  <c r="Z32" i="11" s="1"/>
  <c r="Z50" i="11" s="1"/>
  <c r="Z51" i="11" s="1"/>
  <c r="Z9" i="11" s="1"/>
  <c r="Y8" i="11"/>
  <c r="AB25" i="11"/>
  <c r="AC17" i="10"/>
  <c r="AC14" i="10"/>
  <c r="AC22" i="10"/>
  <c r="AD11" i="10"/>
  <c r="AC20" i="10"/>
  <c r="AC18" i="10"/>
  <c r="AA27" i="10"/>
  <c r="AA33" i="10" s="1"/>
  <c r="AA34" i="10" s="1"/>
  <c r="AA4" i="10" s="1"/>
  <c r="Y8" i="10"/>
  <c r="Z46" i="10"/>
  <c r="Z30" i="10"/>
  <c r="Z31" i="10" s="1"/>
  <c r="Z49" i="10" s="1"/>
  <c r="Z50" i="10" s="1"/>
  <c r="Z9" i="10" s="1"/>
  <c r="AB27" i="14" l="1"/>
  <c r="AA30" i="14"/>
  <c r="AA31" i="14" s="1"/>
  <c r="AA49" i="14" s="1"/>
  <c r="AA50" i="14" s="1"/>
  <c r="AA9" i="14" s="1"/>
  <c r="AA46" i="14"/>
  <c r="Z8" i="14"/>
  <c r="AA33" i="14"/>
  <c r="AA34" i="14" s="1"/>
  <c r="AA4" i="14" s="1"/>
  <c r="AD24" i="14"/>
  <c r="AD20" i="11"/>
  <c r="AD18" i="11"/>
  <c r="AD17" i="11"/>
  <c r="AD22" i="11"/>
  <c r="AA34" i="11"/>
  <c r="AA35" i="11" s="1"/>
  <c r="AA4" i="11" s="1"/>
  <c r="AC25" i="11"/>
  <c r="AA31" i="11"/>
  <c r="AA32" i="11" s="1"/>
  <c r="AA50" i="11" s="1"/>
  <c r="AA51" i="11" s="1"/>
  <c r="AA9" i="11" s="1"/>
  <c r="AA47" i="11"/>
  <c r="Z8" i="11"/>
  <c r="AB28" i="11"/>
  <c r="AB34" i="11" s="1"/>
  <c r="AB35" i="11" s="1"/>
  <c r="AB4" i="11" s="1"/>
  <c r="AA30" i="10"/>
  <c r="AA31" i="10" s="1"/>
  <c r="AA49" i="10" s="1"/>
  <c r="AA50" i="10" s="1"/>
  <c r="AA9" i="10" s="1"/>
  <c r="Z8" i="10"/>
  <c r="AA46" i="10"/>
  <c r="AD22" i="10"/>
  <c r="AD20" i="10"/>
  <c r="AD17" i="10"/>
  <c r="AD18" i="10"/>
  <c r="AD14" i="10"/>
  <c r="AB24" i="10"/>
  <c r="AC24" i="10"/>
  <c r="AB27" i="10"/>
  <c r="AB30" i="14" l="1"/>
  <c r="AB31" i="14" s="1"/>
  <c r="AB46" i="14"/>
  <c r="AA8" i="14"/>
  <c r="AC27" i="14"/>
  <c r="AD27" i="14"/>
  <c r="AB49" i="14"/>
  <c r="AB50" i="14" s="1"/>
  <c r="AB9" i="14" s="1"/>
  <c r="AB33" i="14"/>
  <c r="AB34" i="14" s="1"/>
  <c r="AB4" i="14" s="1"/>
  <c r="AD25" i="11"/>
  <c r="AD28" i="11"/>
  <c r="AC28" i="11"/>
  <c r="AC34" i="11" s="1"/>
  <c r="AC35" i="11" s="1"/>
  <c r="AC4" i="11" s="1"/>
  <c r="AB31" i="11"/>
  <c r="AB32" i="11" s="1"/>
  <c r="AB50" i="11" s="1"/>
  <c r="AB51" i="11" s="1"/>
  <c r="AB9" i="11" s="1"/>
  <c r="AB47" i="11"/>
  <c r="AA8" i="11"/>
  <c r="AC27" i="10"/>
  <c r="AC33" i="10" s="1"/>
  <c r="AC34" i="10" s="1"/>
  <c r="AC4" i="10" s="1"/>
  <c r="AD27" i="10"/>
  <c r="AA8" i="10"/>
  <c r="AB30" i="10"/>
  <c r="AB31" i="10" s="1"/>
  <c r="AB49" i="10" s="1"/>
  <c r="AB50" i="10" s="1"/>
  <c r="AB9" i="10" s="1"/>
  <c r="AB46" i="10"/>
  <c r="AB33" i="10"/>
  <c r="AB34" i="10" s="1"/>
  <c r="AB4" i="10" s="1"/>
  <c r="AD24" i="10"/>
  <c r="AC33" i="14" l="1"/>
  <c r="AC34" i="14" s="1"/>
  <c r="AC4" i="14" s="1"/>
  <c r="AB8" i="14"/>
  <c r="AC30" i="14"/>
  <c r="AC31" i="14" s="1"/>
  <c r="AC49" i="14" s="1"/>
  <c r="AC50" i="14" s="1"/>
  <c r="AC9" i="14" s="1"/>
  <c r="AC46" i="14"/>
  <c r="AD33" i="14"/>
  <c r="AD34" i="14" s="1"/>
  <c r="AD4" i="14" s="1"/>
  <c r="AC47" i="11"/>
  <c r="AC31" i="11"/>
  <c r="AC32" i="11" s="1"/>
  <c r="AC50" i="11" s="1"/>
  <c r="AC51" i="11" s="1"/>
  <c r="AC9" i="11" s="1"/>
  <c r="AB8" i="11"/>
  <c r="AD34" i="11"/>
  <c r="AD35" i="11" s="1"/>
  <c r="AD4" i="11" s="1"/>
  <c r="AC30" i="10"/>
  <c r="AC31" i="10" s="1"/>
  <c r="AC49" i="10" s="1"/>
  <c r="AC50" i="10" s="1"/>
  <c r="AC9" i="10" s="1"/>
  <c r="AC46" i="10"/>
  <c r="AB8" i="10"/>
  <c r="AD33" i="10"/>
  <c r="AD34" i="10" s="1"/>
  <c r="AD4" i="10" s="1"/>
  <c r="AD30" i="14" l="1"/>
  <c r="AD31" i="14" s="1"/>
  <c r="AD49" i="14" s="1"/>
  <c r="AD50" i="14" s="1"/>
  <c r="AD9" i="14" s="1"/>
  <c r="AD46" i="14"/>
  <c r="AD8" i="14" s="1"/>
  <c r="AC8" i="14"/>
  <c r="AD47" i="11"/>
  <c r="AD8" i="11" s="1"/>
  <c r="AC8" i="11"/>
  <c r="AD31" i="11"/>
  <c r="AD32" i="11" s="1"/>
  <c r="AD50" i="11" s="1"/>
  <c r="AD51" i="11" s="1"/>
  <c r="AD9" i="11" s="1"/>
  <c r="AD30" i="10"/>
  <c r="AD31" i="10" s="1"/>
  <c r="AD49" i="10" s="1"/>
  <c r="AD50" i="10" s="1"/>
  <c r="AD9" i="10" s="1"/>
  <c r="AD46" i="10"/>
  <c r="AD8" i="10" s="1"/>
  <c r="AC8" i="10"/>
</calcChain>
</file>

<file path=xl/sharedStrings.xml><?xml version="1.0" encoding="utf-8"?>
<sst xmlns="http://schemas.openxmlformats.org/spreadsheetml/2006/main" count="727" uniqueCount="90">
  <si>
    <t xml:space="preserve">Contents Page for JH Group 5 </t>
  </si>
  <si>
    <t>Link</t>
  </si>
  <si>
    <t>Short Term</t>
  </si>
  <si>
    <t>Baseline Model ST</t>
  </si>
  <si>
    <t>Baseline ST uncertainty</t>
  </si>
  <si>
    <t>Baseline ST high growth</t>
  </si>
  <si>
    <t>Historical</t>
  </si>
  <si>
    <t>Scenarios</t>
  </si>
  <si>
    <t>Labour Government</t>
  </si>
  <si>
    <t>Conservative Government</t>
  </si>
  <si>
    <t>Public Health Crisis</t>
  </si>
  <si>
    <t>War and Defence</t>
  </si>
  <si>
    <t>Housing Crisis</t>
  </si>
  <si>
    <t>Harsh Immigration</t>
  </si>
  <si>
    <t>Long Term</t>
  </si>
  <si>
    <t>Baseline Model LT</t>
  </si>
  <si>
    <t>Baseline LT uncertainty</t>
  </si>
  <si>
    <t>Baseline LT high growth</t>
  </si>
  <si>
    <t>Climate Change</t>
  </si>
  <si>
    <t>2010-2050 model</t>
  </si>
  <si>
    <t>Short Term Baseline Model</t>
  </si>
  <si>
    <t>Year</t>
  </si>
  <si>
    <t>6 Components of Year end debt</t>
  </si>
  <si>
    <t>Primary Deficit</t>
  </si>
  <si>
    <t>Inflation</t>
  </si>
  <si>
    <t>Interest Rate</t>
  </si>
  <si>
    <t>Real GDP growth</t>
  </si>
  <si>
    <t>Total Government Debt to GDP ratio</t>
  </si>
  <si>
    <t xml:space="preserve">Total Deficit </t>
  </si>
  <si>
    <t>Nominal GDP (Predictions)</t>
  </si>
  <si>
    <t>GDP growth</t>
  </si>
  <si>
    <t>Primary Deficit:</t>
  </si>
  <si>
    <t>Social Protection</t>
  </si>
  <si>
    <t>Healthcare</t>
  </si>
  <si>
    <t>Education</t>
  </si>
  <si>
    <t>General Public Services less interest payment</t>
  </si>
  <si>
    <t xml:space="preserve">Economic Affairs </t>
  </si>
  <si>
    <t>Defence %</t>
  </si>
  <si>
    <t>Defence</t>
  </si>
  <si>
    <t>Other</t>
  </si>
  <si>
    <t>Total Government Spending less interest</t>
  </si>
  <si>
    <t>Tax revenues</t>
  </si>
  <si>
    <t>Total Government Income</t>
  </si>
  <si>
    <t>Central Government Net Debt Interest</t>
  </si>
  <si>
    <t>Debt Payment</t>
  </si>
  <si>
    <t>Primary Deficit (£)</t>
  </si>
  <si>
    <t>Primary Deficit (%)</t>
  </si>
  <si>
    <t>Inflation:</t>
  </si>
  <si>
    <t xml:space="preserve">Inflation </t>
  </si>
  <si>
    <t>Interest Rate:</t>
  </si>
  <si>
    <t>Real GDP Growth:</t>
  </si>
  <si>
    <t>Real GDP Growth</t>
  </si>
  <si>
    <t>Total Government Debt:</t>
  </si>
  <si>
    <t>Government Debt</t>
  </si>
  <si>
    <t>Total Deficit:</t>
  </si>
  <si>
    <t>Total Deficit (£)</t>
  </si>
  <si>
    <t>Total Deficit (%)</t>
  </si>
  <si>
    <t>Short Term Baseline with Uncertainty</t>
  </si>
  <si>
    <t>Debt to GDP ratio</t>
  </si>
  <si>
    <t>Uncertainty</t>
  </si>
  <si>
    <t>Lower Bound</t>
  </si>
  <si>
    <t>Base</t>
  </si>
  <si>
    <t>Upper Base</t>
  </si>
  <si>
    <t>Government Debt to GDP ratio</t>
  </si>
  <si>
    <t>Total Deficit</t>
  </si>
  <si>
    <t>Bound</t>
  </si>
  <si>
    <t>Short Term High Growth Model</t>
  </si>
  <si>
    <t>Historic Model</t>
  </si>
  <si>
    <t>Labour Scenario</t>
  </si>
  <si>
    <t>2qq</t>
  </si>
  <si>
    <t>Conservative Scenario</t>
  </si>
  <si>
    <t>Conservative Scenario with Adjusted Growth</t>
  </si>
  <si>
    <t>Moderate Health Crisis Scenario</t>
  </si>
  <si>
    <t>Severe Health Crisis Scenario</t>
  </si>
  <si>
    <t>Moderate War Scenario</t>
  </si>
  <si>
    <t>Severe War Scenario</t>
  </si>
  <si>
    <t>Defence with War %</t>
  </si>
  <si>
    <t xml:space="preserve">Defence with War </t>
  </si>
  <si>
    <t>Housing Market Crash Scenario</t>
  </si>
  <si>
    <t>Harsh Immigration Policy Scenario</t>
  </si>
  <si>
    <t>Long Term Baseline</t>
  </si>
  <si>
    <t>Net Inward Migration</t>
  </si>
  <si>
    <t>Total Population</t>
  </si>
  <si>
    <t>Long Term Baseline with Uncertainty</t>
  </si>
  <si>
    <t>Long Term Baseline with High Growth</t>
  </si>
  <si>
    <t>Long Term Climate Change</t>
  </si>
  <si>
    <t>Climate Cost</t>
  </si>
  <si>
    <t>Historic</t>
  </si>
  <si>
    <t>Short Term Worse Case Model</t>
  </si>
  <si>
    <t>Baseline ST worse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</si>
</sst>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323132"/>
      <name val="Calibri"/>
      <family val="2"/>
    </font>
    <font>
      <b/>
      <sz val="13"/>
      <color theme="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2"/>
      <color rgb="FF242424"/>
      <name val="Calibri"/>
      <family val="2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323132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sz val="10"/>
      <name val="Times New Roman"/>
      <family val="1"/>
    </font>
    <font>
      <sz val="28"/>
      <color theme="1"/>
      <name val="Aptos Narrow"/>
      <family val="2"/>
      <scheme val="minor"/>
    </font>
    <font>
      <b/>
      <sz val="16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323132"/>
      <name val="Calibri"/>
    </font>
    <font>
      <b/>
      <sz val="13"/>
      <color theme="1"/>
      <name val="Calibri"/>
    </font>
    <font>
      <sz val="12"/>
      <color rgb="FF000000"/>
      <name val="Calibri"/>
    </font>
    <font>
      <sz val="10"/>
      <name val="Arial"/>
    </font>
    <font>
      <sz val="12"/>
      <name val="Calibri"/>
    </font>
    <font>
      <sz val="12"/>
      <color rgb="FF24242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0" fontId="6" fillId="0" borderId="1" xfId="1" applyNumberFormat="1" applyFont="1" applyBorder="1"/>
    <xf numFmtId="10" fontId="8" fillId="0" borderId="1" xfId="0" applyNumberFormat="1" applyFont="1" applyBorder="1"/>
    <xf numFmtId="10" fontId="6" fillId="0" borderId="1" xfId="0" applyNumberFormat="1" applyFont="1" applyBorder="1"/>
    <xf numFmtId="2" fontId="6" fillId="0" borderId="1" xfId="0" applyNumberFormat="1" applyFont="1" applyBorder="1"/>
    <xf numFmtId="10" fontId="6" fillId="0" borderId="1" xfId="1" applyNumberFormat="1" applyFont="1" applyFill="1" applyBorder="1"/>
    <xf numFmtId="2" fontId="10" fillId="0" borderId="0" xfId="0" applyNumberFormat="1" applyFont="1"/>
    <xf numFmtId="10" fontId="0" fillId="0" borderId="0" xfId="1" applyNumberFormat="1" applyFont="1" applyFill="1"/>
    <xf numFmtId="2" fontId="11" fillId="0" borderId="0" xfId="0" applyNumberFormat="1" applyFont="1"/>
    <xf numFmtId="2" fontId="7" fillId="0" borderId="1" xfId="0" applyNumberFormat="1" applyFont="1" applyBorder="1"/>
    <xf numFmtId="2" fontId="0" fillId="0" borderId="1" xfId="0" applyNumberFormat="1" applyBorder="1"/>
    <xf numFmtId="2" fontId="10" fillId="0" borderId="1" xfId="0" applyNumberFormat="1" applyFont="1" applyBorder="1" applyAlignment="1">
      <alignment wrapText="1"/>
    </xf>
    <xf numFmtId="0" fontId="12" fillId="0" borderId="1" xfId="0" applyFont="1" applyBorder="1"/>
    <xf numFmtId="2" fontId="0" fillId="0" borderId="2" xfId="0" applyNumberFormat="1" applyBorder="1"/>
    <xf numFmtId="2" fontId="6" fillId="0" borderId="2" xfId="0" applyNumberFormat="1" applyFont="1" applyBorder="1"/>
    <xf numFmtId="0" fontId="13" fillId="0" borderId="2" xfId="0" applyFont="1" applyBorder="1"/>
    <xf numFmtId="0" fontId="0" fillId="0" borderId="1" xfId="0" applyBorder="1"/>
    <xf numFmtId="10" fontId="0" fillId="0" borderId="1" xfId="0" applyNumberFormat="1" applyBorder="1"/>
    <xf numFmtId="0" fontId="15" fillId="0" borderId="1" xfId="2" applyFill="1" applyBorder="1"/>
    <xf numFmtId="0" fontId="14" fillId="0" borderId="1" xfId="0" applyFont="1" applyBorder="1"/>
    <xf numFmtId="10" fontId="0" fillId="0" borderId="0" xfId="1" applyNumberFormat="1" applyFont="1"/>
    <xf numFmtId="0" fontId="15" fillId="0" borderId="1" xfId="2" applyBorder="1"/>
    <xf numFmtId="10" fontId="0" fillId="0" borderId="0" xfId="0" applyNumberFormat="1"/>
    <xf numFmtId="0" fontId="9" fillId="0" borderId="1" xfId="0" applyFont="1" applyBorder="1"/>
    <xf numFmtId="0" fontId="7" fillId="0" borderId="2" xfId="0" applyFont="1" applyBorder="1"/>
    <xf numFmtId="0" fontId="6" fillId="0" borderId="1" xfId="0" applyFont="1" applyBorder="1" applyAlignment="1">
      <alignment horizontal="right"/>
    </xf>
    <xf numFmtId="10" fontId="16" fillId="0" borderId="1" xfId="0" applyNumberFormat="1" applyFont="1" applyBorder="1"/>
    <xf numFmtId="2" fontId="10" fillId="0" borderId="1" xfId="0" applyNumberFormat="1" applyFont="1" applyBorder="1"/>
    <xf numFmtId="2" fontId="12" fillId="0" borderId="1" xfId="0" applyNumberFormat="1" applyFont="1" applyBorder="1"/>
    <xf numFmtId="2" fontId="13" fillId="0" borderId="1" xfId="0" applyNumberFormat="1" applyFont="1" applyBorder="1"/>
    <xf numFmtId="0" fontId="17" fillId="0" borderId="1" xfId="0" applyFont="1" applyBorder="1"/>
    <xf numFmtId="0" fontId="18" fillId="0" borderId="1" xfId="2" applyFont="1" applyBorder="1"/>
    <xf numFmtId="0" fontId="19" fillId="0" borderId="1" xfId="2" applyFont="1" applyBorder="1"/>
    <xf numFmtId="10" fontId="6" fillId="0" borderId="0" xfId="1" applyNumberFormat="1" applyFont="1"/>
    <xf numFmtId="10" fontId="6" fillId="0" borderId="0" xfId="1" applyNumberFormat="1" applyFont="1" applyFill="1"/>
    <xf numFmtId="2" fontId="12" fillId="0" borderId="0" xfId="0" applyNumberFormat="1" applyFont="1"/>
    <xf numFmtId="0" fontId="6" fillId="0" borderId="0" xfId="0" applyFont="1"/>
    <xf numFmtId="2" fontId="6" fillId="0" borderId="3" xfId="0" applyNumberFormat="1" applyFont="1" applyBorder="1"/>
    <xf numFmtId="2" fontId="6" fillId="0" borderId="0" xfId="0" applyNumberFormat="1" applyFont="1"/>
    <xf numFmtId="2" fontId="13" fillId="0" borderId="2" xfId="0" applyNumberFormat="1" applyFont="1" applyBorder="1"/>
    <xf numFmtId="0" fontId="15" fillId="0" borderId="0" xfId="2" applyFill="1"/>
    <xf numFmtId="9" fontId="0" fillId="0" borderId="0" xfId="0" applyNumberFormat="1"/>
    <xf numFmtId="10" fontId="0" fillId="0" borderId="1" xfId="1" applyNumberFormat="1" applyFont="1" applyFill="1" applyBorder="1"/>
    <xf numFmtId="2" fontId="11" fillId="0" borderId="1" xfId="0" applyNumberFormat="1" applyFont="1" applyBorder="1"/>
    <xf numFmtId="0" fontId="13" fillId="0" borderId="1" xfId="0" applyFont="1" applyBorder="1"/>
    <xf numFmtId="10" fontId="20" fillId="0" borderId="1" xfId="0" applyNumberFormat="1" applyFont="1" applyBorder="1"/>
    <xf numFmtId="164" fontId="0" fillId="0" borderId="1" xfId="0" applyNumberFormat="1" applyBorder="1"/>
    <xf numFmtId="10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2" fillId="0" borderId="1" xfId="0" applyFont="1" applyBorder="1"/>
    <xf numFmtId="0" fontId="23" fillId="0" borderId="1" xfId="0" applyFont="1" applyBorder="1" applyAlignment="1">
      <alignment horizontal="right"/>
    </xf>
    <xf numFmtId="0" fontId="23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10" fontId="24" fillId="0" borderId="1" xfId="1" applyNumberFormat="1" applyFont="1" applyBorder="1"/>
    <xf numFmtId="10" fontId="26" fillId="0" borderId="1" xfId="0" applyNumberFormat="1" applyFont="1" applyBorder="1"/>
    <xf numFmtId="10" fontId="24" fillId="0" borderId="1" xfId="0" applyNumberFormat="1" applyFont="1" applyBorder="1"/>
    <xf numFmtId="2" fontId="24" fillId="0" borderId="1" xfId="0" applyNumberFormat="1" applyFont="1" applyBorder="1"/>
    <xf numFmtId="0" fontId="27" fillId="0" borderId="1" xfId="0" applyFont="1" applyBorder="1"/>
    <xf numFmtId="2" fontId="25" fillId="0" borderId="1" xfId="0" applyNumberFormat="1" applyFont="1" applyBorder="1"/>
    <xf numFmtId="2" fontId="28" fillId="0" borderId="1" xfId="0" applyNumberFormat="1" applyFont="1" applyBorder="1" applyAlignment="1">
      <alignment wrapText="1"/>
    </xf>
    <xf numFmtId="0" fontId="30" fillId="0" borderId="1" xfId="0" applyFont="1" applyBorder="1"/>
    <xf numFmtId="0" fontId="31" fillId="0" borderId="1" xfId="0" applyFont="1" applyBorder="1"/>
    <xf numFmtId="2" fontId="28" fillId="0" borderId="0" xfId="0" applyNumberFormat="1" applyFont="1"/>
    <xf numFmtId="2" fontId="29" fillId="0" borderId="0" xfId="0" applyNumberFormat="1" applyFont="1"/>
    <xf numFmtId="0" fontId="25" fillId="0" borderId="2" xfId="0" applyFont="1" applyBorder="1"/>
    <xf numFmtId="2" fontId="24" fillId="0" borderId="2" xfId="0" applyNumberFormat="1" applyFont="1" applyBorder="1"/>
    <xf numFmtId="0" fontId="31" fillId="0" borderId="2" xfId="0" applyFont="1" applyBorder="1"/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Term Baseline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'1.1 ST Baseline'!$B$2:$L$2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8-47A1-832E-54D28E2D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15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Historic</a:t>
            </a:r>
            <a:r>
              <a:rPr lang="en-GB" baseline="0"/>
              <a:t> Model and Baseline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570212584542896E-2"/>
          <c:y val="0.1099677919630261"/>
          <c:w val="0.8394606299212598"/>
          <c:h val="0.80845727617381158"/>
        </c:manualLayout>
      </c:layout>
      <c:lineChart>
        <c:grouping val="standard"/>
        <c:varyColors val="0"/>
        <c:ser>
          <c:idx val="4"/>
          <c:order val="0"/>
          <c:tx>
            <c:strRef>
              <c:f>'1.5 Historic Model'!$A$8</c:f>
              <c:strCache>
                <c:ptCount val="1"/>
                <c:pt idx="0">
                  <c:v>Total Government Debt to GDP ratio</c:v>
                </c:pt>
              </c:strCache>
            </c:strRef>
          </c:tx>
          <c:marker>
            <c:symbol val="none"/>
          </c:marker>
          <c:cat>
            <c:numRef>
              <c:f>'1.5 Historic Model'!$B$2:$X$2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cat>
          <c:val>
            <c:numRef>
              <c:f>'1.5 Historic Model'!$B$8:$X$8</c:f>
              <c:numCache>
                <c:formatCode>0.00%</c:formatCode>
                <c:ptCount val="23"/>
                <c:pt idx="0">
                  <c:v>0.77897435897435896</c:v>
                </c:pt>
                <c:pt idx="1">
                  <c:v>0.77939337085678539</c:v>
                </c:pt>
                <c:pt idx="2">
                  <c:v>0.79989476563566519</c:v>
                </c:pt>
                <c:pt idx="3">
                  <c:v>0.81739171149250078</c:v>
                </c:pt>
                <c:pt idx="4">
                  <c:v>0.82743259494453048</c:v>
                </c:pt>
                <c:pt idx="5">
                  <c:v>0.84971967509473634</c:v>
                </c:pt>
                <c:pt idx="6">
                  <c:v>0.86635270565111644</c:v>
                </c:pt>
                <c:pt idx="7">
                  <c:v>0.86091125153090642</c:v>
                </c:pt>
                <c:pt idx="8">
                  <c:v>0.86508768408977932</c:v>
                </c:pt>
                <c:pt idx="9">
                  <c:v>0.87057368592389439</c:v>
                </c:pt>
                <c:pt idx="10">
                  <c:v>0.85939106369086826</c:v>
                </c:pt>
                <c:pt idx="11" formatCode="0%">
                  <c:v>0.89</c:v>
                </c:pt>
                <c:pt idx="12">
                  <c:v>0.93531598513011149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4F4B-9934-5E9825B1FC7F}"/>
            </c:ext>
          </c:extLst>
        </c:ser>
        <c:ser>
          <c:idx val="5"/>
          <c:order val="1"/>
          <c:tx>
            <c:strRef>
              <c:f>'1.5 Historic Model'!$A$8</c:f>
              <c:strCache>
                <c:ptCount val="1"/>
                <c:pt idx="0">
                  <c:v>Total Government Debt to GDP ratio</c:v>
                </c:pt>
              </c:strCache>
            </c:strRef>
          </c:tx>
          <c:marker>
            <c:symbol val="none"/>
          </c:marker>
          <c:cat>
            <c:numRef>
              <c:f>'1.5 Historic Model'!$B$2:$X$2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cat>
          <c:val>
            <c:numRef>
              <c:f>'1.5 Historic Model'!$B$10:$X$10</c:f>
              <c:numCache>
                <c:formatCode>General</c:formatCode>
                <c:ptCount val="23"/>
                <c:pt idx="12" formatCode="0.00%">
                  <c:v>0.93531598513011149</c:v>
                </c:pt>
                <c:pt idx="13" formatCode="0.00%">
                  <c:v>0.94253774731760609</c:v>
                </c:pt>
                <c:pt idx="14" formatCode="0.00%">
                  <c:v>0.93991110980008208</c:v>
                </c:pt>
                <c:pt idx="15" formatCode="0.00%">
                  <c:v>0.9545758686825514</c:v>
                </c:pt>
                <c:pt idx="16" formatCode="0.00%">
                  <c:v>0.9732390128558237</c:v>
                </c:pt>
                <c:pt idx="17" formatCode="0.00%">
                  <c:v>0.99398301202257067</c:v>
                </c:pt>
                <c:pt idx="18" formatCode="0.00%">
                  <c:v>1.0133952747532748</c:v>
                </c:pt>
                <c:pt idx="19" formatCode="0.00%">
                  <c:v>1.03337036593197</c:v>
                </c:pt>
                <c:pt idx="20" formatCode="0.00%">
                  <c:v>1.0512003126030411</c:v>
                </c:pt>
                <c:pt idx="21" formatCode="0.00%">
                  <c:v>1.068682192468186</c:v>
                </c:pt>
                <c:pt idx="22" formatCode="0.00%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2-4F4B-9934-5E9825B1FC7F}"/>
            </c:ext>
          </c:extLst>
        </c:ser>
        <c:ser>
          <c:idx val="7"/>
          <c:order val="2"/>
          <c:marker>
            <c:symbol val="none"/>
          </c:marker>
          <c:cat>
            <c:numRef>
              <c:f>'1.5 Historic Model'!$B$2:$X$2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cat>
          <c:val>
            <c:numRef>
              <c:f>'1.5 Historic Model'!$N$10</c:f>
              <c:numCache>
                <c:formatCode>0.00%</c:formatCode>
                <c:ptCount val="1"/>
                <c:pt idx="0">
                  <c:v>0.93531598513011149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2-4F4B-9934-5E9825B1FC7F}"/>
            </c:ext>
          </c:extLst>
        </c:ser>
        <c:ser>
          <c:idx val="0"/>
          <c:order val="3"/>
          <c:tx>
            <c:strRef>
              <c:f>'1.5 Historic Model'!$A$8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'1.5 Historic Model'!$B$2:$X$2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cat>
          <c:val>
            <c:numRef>
              <c:f>'1.5 Historic Model'!$B$8:$X$8</c:f>
              <c:numCache>
                <c:formatCode>0.00%</c:formatCode>
                <c:ptCount val="23"/>
                <c:pt idx="0">
                  <c:v>0.77897435897435896</c:v>
                </c:pt>
                <c:pt idx="1">
                  <c:v>0.77939337085678539</c:v>
                </c:pt>
                <c:pt idx="2">
                  <c:v>0.79989476563566519</c:v>
                </c:pt>
                <c:pt idx="3">
                  <c:v>0.81739171149250078</c:v>
                </c:pt>
                <c:pt idx="4">
                  <c:v>0.82743259494453048</c:v>
                </c:pt>
                <c:pt idx="5">
                  <c:v>0.84971967509473634</c:v>
                </c:pt>
                <c:pt idx="6">
                  <c:v>0.86635270565111644</c:v>
                </c:pt>
                <c:pt idx="7">
                  <c:v>0.86091125153090642</c:v>
                </c:pt>
                <c:pt idx="8">
                  <c:v>0.86508768408977932</c:v>
                </c:pt>
                <c:pt idx="9">
                  <c:v>0.87057368592389439</c:v>
                </c:pt>
                <c:pt idx="10">
                  <c:v>0.85939106369086826</c:v>
                </c:pt>
                <c:pt idx="11" formatCode="0%">
                  <c:v>0.89</c:v>
                </c:pt>
                <c:pt idx="12">
                  <c:v>0.93531598513011149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2-4F4B-9934-5E9825B1FC7F}"/>
            </c:ext>
          </c:extLst>
        </c:ser>
        <c:ser>
          <c:idx val="1"/>
          <c:order val="4"/>
          <c:tx>
            <c:strRef>
              <c:f>'1.5 Historic Model'!$A$8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'1.5 Historic Model'!$B$2:$X$2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cat>
          <c:val>
            <c:numRef>
              <c:f>'1.5 Historic Model'!$B$10:$X$10</c:f>
              <c:numCache>
                <c:formatCode>General</c:formatCode>
                <c:ptCount val="23"/>
                <c:pt idx="12" formatCode="0.00%">
                  <c:v>0.93531598513011149</c:v>
                </c:pt>
                <c:pt idx="13" formatCode="0.00%">
                  <c:v>0.94253774731760609</c:v>
                </c:pt>
                <c:pt idx="14" formatCode="0.00%">
                  <c:v>0.93991110980008208</c:v>
                </c:pt>
                <c:pt idx="15" formatCode="0.00%">
                  <c:v>0.9545758686825514</c:v>
                </c:pt>
                <c:pt idx="16" formatCode="0.00%">
                  <c:v>0.9732390128558237</c:v>
                </c:pt>
                <c:pt idx="17" formatCode="0.00%">
                  <c:v>0.99398301202257067</c:v>
                </c:pt>
                <c:pt idx="18" formatCode="0.00%">
                  <c:v>1.0133952747532748</c:v>
                </c:pt>
                <c:pt idx="19" formatCode="0.00%">
                  <c:v>1.03337036593197</c:v>
                </c:pt>
                <c:pt idx="20" formatCode="0.00%">
                  <c:v>1.0512003126030411</c:v>
                </c:pt>
                <c:pt idx="21" formatCode="0.00%">
                  <c:v>1.068682192468186</c:v>
                </c:pt>
                <c:pt idx="22" formatCode="0.00%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2-4F4B-9934-5E9825B1FC7F}"/>
            </c:ext>
          </c:extLst>
        </c:ser>
        <c:ser>
          <c:idx val="3"/>
          <c:order val="5"/>
          <c:marker>
            <c:symbol val="none"/>
          </c:marker>
          <c:cat>
            <c:numRef>
              <c:f>'1.5 Historic Model'!$B$2:$X$2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cat>
          <c:val>
            <c:numRef>
              <c:f>'1.5 Historic Model'!$N$10</c:f>
              <c:numCache>
                <c:formatCode>0.00%</c:formatCode>
                <c:ptCount val="1"/>
                <c:pt idx="0">
                  <c:v>0.93531598513011149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2-4F4B-9934-5E9825B1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25919"/>
        <c:axId val="1590726879"/>
      </c:lineChart>
      <c:catAx>
        <c:axId val="1590725919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26879"/>
        <c:crosses val="autoZero"/>
        <c:auto val="1"/>
        <c:lblAlgn val="ctr"/>
        <c:lblOffset val="100"/>
        <c:noMultiLvlLbl val="0"/>
      </c:catAx>
      <c:valAx>
        <c:axId val="159072687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</a:t>
                </a:r>
                <a:r>
                  <a:rPr lang="en-GB" baseline="0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259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Labour</a:t>
            </a:r>
            <a:r>
              <a:rPr lang="en-US" baseline="0"/>
              <a:t>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'2.1 Labour 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A67-8637-B67CF91EEDAB}"/>
            </c:ext>
          </c:extLst>
        </c:ser>
        <c:ser>
          <c:idx val="1"/>
          <c:order val="1"/>
          <c:tx>
            <c:strRef>
              <c:f>'2.1 Labour 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'2.1 Labour 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'2.1 Labour 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1.0348200011259263</c:v>
                </c:pt>
                <c:pt idx="8">
                  <c:v>1.0542201445499155</c:v>
                </c:pt>
                <c:pt idx="9">
                  <c:v>1.0731832949600959</c:v>
                </c:pt>
                <c:pt idx="10">
                  <c:v>1.0914397599190326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5-4A67-8637-B67CF91E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Conservative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'2.2 Conservative '!$O$2:$Y$2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6-437D-8715-1DFE44FF6F53}"/>
            </c:ext>
          </c:extLst>
        </c:ser>
        <c:ser>
          <c:idx val="1"/>
          <c:order val="1"/>
          <c:tx>
            <c:strRef>
              <c:f>'2.2 Conservative 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'2.2 Conservative '!$O$2:$Y$2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'2.2 Conservative 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0.95859469288835786</c:v>
                </c:pt>
                <c:pt idx="4">
                  <c:v>0.98414550948627966</c:v>
                </c:pt>
                <c:pt idx="5">
                  <c:v>1.0134549062710203</c:v>
                </c:pt>
                <c:pt idx="6">
                  <c:v>1.0427269738665352</c:v>
                </c:pt>
                <c:pt idx="7">
                  <c:v>1.0738765217893735</c:v>
                </c:pt>
                <c:pt idx="8">
                  <c:v>1.1040293773140823</c:v>
                </c:pt>
                <c:pt idx="9">
                  <c:v>1.1349547357939898</c:v>
                </c:pt>
                <c:pt idx="10">
                  <c:v>1.1663096753912898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6-437D-8715-1DFE44FF6F53}"/>
            </c:ext>
          </c:extLst>
        </c:ser>
        <c:ser>
          <c:idx val="2"/>
          <c:order val="2"/>
          <c:tx>
            <c:strRef>
              <c:f>'2.2 Conservative '!$N$8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'2.2 Conservative '!$O$2:$Y$2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'2.2 Conservative '!$O$8:$Y$8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0.95859469288835786</c:v>
                </c:pt>
                <c:pt idx="4">
                  <c:v>0.97952944236861406</c:v>
                </c:pt>
                <c:pt idx="5">
                  <c:v>1.0015847319951727</c:v>
                </c:pt>
                <c:pt idx="6">
                  <c:v>1.0216569678312426</c:v>
                </c:pt>
                <c:pt idx="7">
                  <c:v>1.0404972777888264</c:v>
                </c:pt>
                <c:pt idx="8">
                  <c:v>1.0570452359555591</c:v>
                </c:pt>
                <c:pt idx="9">
                  <c:v>1.073065584575809</c:v>
                </c:pt>
                <c:pt idx="10">
                  <c:v>1.0882390624859357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6-437D-8715-1DFE44FF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Crisis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'2.3 Health Crisis'!$B$2:$L$2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B8B-8345-F81532970742}"/>
            </c:ext>
          </c:extLst>
        </c:ser>
        <c:ser>
          <c:idx val="1"/>
          <c:order val="1"/>
          <c:tx>
            <c:strRef>
              <c:f>'2.3 Health Crisis'!$N$8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'2.3 Health Crisis'!$B$2:$L$2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'2.3 Health Crisis'!$O$8:$Y$8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0.97339202763254395</c:v>
                </c:pt>
                <c:pt idx="4">
                  <c:v>1.2364006080743122</c:v>
                </c:pt>
                <c:pt idx="5">
                  <c:v>1.2532743773638604</c:v>
                </c:pt>
                <c:pt idx="6">
                  <c:v>1.2366627590288124</c:v>
                </c:pt>
                <c:pt idx="7">
                  <c:v>1.2737865797765739</c:v>
                </c:pt>
                <c:pt idx="8">
                  <c:v>1.3319522435116995</c:v>
                </c:pt>
                <c:pt idx="9">
                  <c:v>1.3544022979375774</c:v>
                </c:pt>
                <c:pt idx="10">
                  <c:v>1.377473880896837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B8B-8345-F81532970742}"/>
            </c:ext>
          </c:extLst>
        </c:ser>
        <c:ser>
          <c:idx val="2"/>
          <c:order val="2"/>
          <c:tx>
            <c:strRef>
              <c:f>'2.3 Health Crisis'!$A$8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'2.3 Health Crisis'!$B$2:$L$2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'2.3 Health Crisis'!$B$8:$L$8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1.0940836716448457</c:v>
                </c:pt>
                <c:pt idx="5">
                  <c:v>1.1256776431913051</c:v>
                </c:pt>
                <c:pt idx="6">
                  <c:v>1.1783720051110205</c:v>
                </c:pt>
                <c:pt idx="7">
                  <c:v>1.2377950893556922</c:v>
                </c:pt>
                <c:pt idx="8">
                  <c:v>1.2596355578747944</c:v>
                </c:pt>
                <c:pt idx="9">
                  <c:v>1.2824014924875651</c:v>
                </c:pt>
                <c:pt idx="10">
                  <c:v>1.3044288429746358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9-4B8B-8345-F8153297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'2.4 War'!$B$2:$L$2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56-87AF-9BB43AE39DF0}"/>
            </c:ext>
          </c:extLst>
        </c:ser>
        <c:ser>
          <c:idx val="1"/>
          <c:order val="1"/>
          <c:tx>
            <c:strRef>
              <c:f>'2.4 War'!$N$8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'2.4 War'!$B$2:$L$2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'2.4 War'!$O$8:$Y$8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0.99545525089540909</c:v>
                </c:pt>
                <c:pt idx="5">
                  <c:v>1.0826375791457252</c:v>
                </c:pt>
                <c:pt idx="6">
                  <c:v>1.1671166774663106</c:v>
                </c:pt>
                <c:pt idx="7">
                  <c:v>1.2534222153341101</c:v>
                </c:pt>
                <c:pt idx="8">
                  <c:v>1.3381400636903558</c:v>
                </c:pt>
                <c:pt idx="9">
                  <c:v>1.3756676428499355</c:v>
                </c:pt>
                <c:pt idx="10">
                  <c:v>1.3909548371778004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A-4541-B9EC-6119B8672190}"/>
            </c:ext>
          </c:extLst>
        </c:ser>
        <c:ser>
          <c:idx val="2"/>
          <c:order val="2"/>
          <c:tx>
            <c:strRef>
              <c:f>'2.4 War'!$A$8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'2.4 War'!$B$2:$L$2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'2.4 War'!$B$8:$L$8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0.9843471318756164</c:v>
                </c:pt>
                <c:pt idx="5">
                  <c:v>1.0270345876533415</c:v>
                </c:pt>
                <c:pt idx="6">
                  <c:v>1.0681427572323479</c:v>
                </c:pt>
                <c:pt idx="7">
                  <c:v>1.0986268711240923</c:v>
                </c:pt>
                <c:pt idx="8">
                  <c:v>1.1158335938353272</c:v>
                </c:pt>
                <c:pt idx="9">
                  <c:v>1.1332164500109339</c:v>
                </c:pt>
                <c:pt idx="10">
                  <c:v>1.1499394784690407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A-4541-B9EC-6119B867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Market Crash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'2.5 Housing Crisis'!$B$2:$L$2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C-4208-9973-575D8F52BCEC}"/>
            </c:ext>
          </c:extLst>
        </c:ser>
        <c:ser>
          <c:idx val="1"/>
          <c:order val="1"/>
          <c:tx>
            <c:strRef>
              <c:f>'2.5 Housing Crisis'!$A$8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'2.5 Housing Crisis'!$B$2:$L$2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'2.5 Housing Crisis'!$B$8:$L$8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0.96901283501277491</c:v>
                </c:pt>
                <c:pt idx="4">
                  <c:v>0.99287272208253308</c:v>
                </c:pt>
                <c:pt idx="5">
                  <c:v>1.0220285135451086</c:v>
                </c:pt>
                <c:pt idx="6">
                  <c:v>1.054582120120434</c:v>
                </c:pt>
                <c:pt idx="7">
                  <c:v>1.0877769365844283</c:v>
                </c:pt>
                <c:pt idx="8">
                  <c:v>1.1266981239912783</c:v>
                </c:pt>
                <c:pt idx="9">
                  <c:v>1.1698014940200649</c:v>
                </c:pt>
                <c:pt idx="10">
                  <c:v>1.2144550246284951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C-4208-9973-575D8F52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Harsh Immigration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'2.6 Immigration'!$B$2:$L$2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F-46C8-BCBF-06B2486AE89A}"/>
            </c:ext>
          </c:extLst>
        </c:ser>
        <c:ser>
          <c:idx val="1"/>
          <c:order val="1"/>
          <c:tx>
            <c:strRef>
              <c:f>'2.6 Immigration'!$A$8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'2.6 Immigration'!$B$2:$L$2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'2.6 Immigration'!$B$8:$L$8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0.96734611441743501</c:v>
                </c:pt>
                <c:pt idx="4">
                  <c:v>1.0019138234731217</c:v>
                </c:pt>
                <c:pt idx="5">
                  <c:v>1.0390217424577517</c:v>
                </c:pt>
                <c:pt idx="6">
                  <c:v>1.0757993022177328</c:v>
                </c:pt>
                <c:pt idx="7">
                  <c:v>1.1130109686557992</c:v>
                </c:pt>
                <c:pt idx="8">
                  <c:v>1.1495239632711607</c:v>
                </c:pt>
                <c:pt idx="9">
                  <c:v>1.1872581674351452</c:v>
                </c:pt>
                <c:pt idx="10">
                  <c:v>1.2259343834109548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F-46C8-BCBF-06B2486A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Term Baseline with High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'3.1 LT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'3.3 LT High Growth'!$B$2:$AD$2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'3.1 LT Baseline'!$B$8:$AD$8</c:f>
              <c:numCache>
                <c:formatCode>0.00%</c:formatCode>
                <c:ptCount val="29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  <c:pt idx="11">
                  <c:v>1.1016455171081299</c:v>
                </c:pt>
                <c:pt idx="12">
                  <c:v>1.1200566432456074</c:v>
                </c:pt>
                <c:pt idx="13">
                  <c:v>1.1404508634541353</c:v>
                </c:pt>
                <c:pt idx="14">
                  <c:v>1.1629224124205488</c:v>
                </c:pt>
                <c:pt idx="15">
                  <c:v>1.1874535242161914</c:v>
                </c:pt>
                <c:pt idx="16">
                  <c:v>1.2139160017491522</c:v>
                </c:pt>
                <c:pt idx="17">
                  <c:v>1.2425178090643305</c:v>
                </c:pt>
                <c:pt idx="18">
                  <c:v>1.2731354181275203</c:v>
                </c:pt>
                <c:pt idx="19">
                  <c:v>1.3057609013207836</c:v>
                </c:pt>
                <c:pt idx="20">
                  <c:v>1.3405086297930786</c:v>
                </c:pt>
                <c:pt idx="21">
                  <c:v>1.3771224689285819</c:v>
                </c:pt>
                <c:pt idx="22">
                  <c:v>1.4158453295162925</c:v>
                </c:pt>
                <c:pt idx="23">
                  <c:v>1.4565408745449662</c:v>
                </c:pt>
                <c:pt idx="24">
                  <c:v>1.4992029360154506</c:v>
                </c:pt>
                <c:pt idx="25">
                  <c:v>1.5438194575646076</c:v>
                </c:pt>
                <c:pt idx="26">
                  <c:v>1.5902270838053056</c:v>
                </c:pt>
                <c:pt idx="27">
                  <c:v>1.6387019135163181</c:v>
                </c:pt>
                <c:pt idx="28">
                  <c:v>1.6890893852299307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2-455C-B574-55AF6BC0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7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'[1]Amber CSV uncertainty'!$Y$2</c:f>
              <c:strCache>
                <c:ptCount val="1"/>
                <c:pt idx="0">
                  <c:v>Primary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'[1]Amber CSV uncertainty'!$AB$3:$AB$31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1.4810463271023042E-3</c:v>
                  </c:pt>
                  <c:pt idx="2">
                    <c:v>6.6058574502613713E-4</c:v>
                  </c:pt>
                  <c:pt idx="3">
                    <c:v>6.2021697444070427E-4</c:v>
                  </c:pt>
                  <c:pt idx="4">
                    <c:v>5.4968492572361153E-4</c:v>
                  </c:pt>
                  <c:pt idx="5">
                    <c:v>4.9909982233957472E-4</c:v>
                  </c:pt>
                  <c:pt idx="6">
                    <c:v>4.5466010307080234E-4</c:v>
                  </c:pt>
                  <c:pt idx="7">
                    <c:v>4.4342529935890795E-4</c:v>
                  </c:pt>
                  <c:pt idx="8">
                    <c:v>4.2530890067083636E-4</c:v>
                  </c:pt>
                  <c:pt idx="9">
                    <c:v>3.3822090333513935E-4</c:v>
                  </c:pt>
                  <c:pt idx="10">
                    <c:v>2.2989415102032333E-4</c:v>
                  </c:pt>
                  <c:pt idx="11">
                    <c:v>8.7245283889826294E-4</c:v>
                  </c:pt>
                  <c:pt idx="12">
                    <c:v>1.6225374628262045E-3</c:v>
                  </c:pt>
                  <c:pt idx="13">
                    <c:v>2.5104844942716582E-3</c:v>
                  </c:pt>
                  <c:pt idx="14">
                    <c:v>3.5562108678454623E-3</c:v>
                  </c:pt>
                  <c:pt idx="15">
                    <c:v>4.781985107906654E-3</c:v>
                  </c:pt>
                  <c:pt idx="16">
                    <c:v>6.2129465179530793E-3</c:v>
                  </c:pt>
                  <c:pt idx="17">
                    <c:v>7.8773721163169375E-3</c:v>
                  </c:pt>
                  <c:pt idx="18">
                    <c:v>9.8070505811251926E-3</c:v>
                  </c:pt>
                  <c:pt idx="19">
                    <c:v>1.2037774558186715E-2</c:v>
                  </c:pt>
                  <c:pt idx="20">
                    <c:v>1.4609720430565618E-2</c:v>
                  </c:pt>
                  <c:pt idx="21">
                    <c:v>1.7568077052330478E-2</c:v>
                  </c:pt>
                  <c:pt idx="22">
                    <c:v>2.0963569455142068E-2</c:v>
                  </c:pt>
                  <c:pt idx="23">
                    <c:v>2.4853052958519452E-2</c:v>
                  </c:pt>
                  <c:pt idx="24">
                    <c:v>2.9300350353780449E-2</c:v>
                  </c:pt>
                  <c:pt idx="25">
                    <c:v>3.4377005019601115E-2</c:v>
                  </c:pt>
                  <c:pt idx="26">
                    <c:v>4.0163275834209575E-2</c:v>
                  </c:pt>
                  <c:pt idx="27">
                    <c:v>4.6748956858616575E-2</c:v>
                  </c:pt>
                  <c:pt idx="28">
                    <c:v>5.4234458247775702E-2</c:v>
                  </c:pt>
                </c:numCache>
              </c:numRef>
            </c:plus>
            <c:minus>
              <c:numRef>
                <c:f>'[1]Amber CSV uncertainty'!$AB$3:$AB$31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1.4810463271023042E-3</c:v>
                  </c:pt>
                  <c:pt idx="2">
                    <c:v>6.6058574502613713E-4</c:v>
                  </c:pt>
                  <c:pt idx="3">
                    <c:v>6.2021697444070427E-4</c:v>
                  </c:pt>
                  <c:pt idx="4">
                    <c:v>5.4968492572361153E-4</c:v>
                  </c:pt>
                  <c:pt idx="5">
                    <c:v>4.9909982233957472E-4</c:v>
                  </c:pt>
                  <c:pt idx="6">
                    <c:v>4.5466010307080234E-4</c:v>
                  </c:pt>
                  <c:pt idx="7">
                    <c:v>4.4342529935890795E-4</c:v>
                  </c:pt>
                  <c:pt idx="8">
                    <c:v>4.2530890067083636E-4</c:v>
                  </c:pt>
                  <c:pt idx="9">
                    <c:v>3.3822090333513935E-4</c:v>
                  </c:pt>
                  <c:pt idx="10">
                    <c:v>2.2989415102032333E-4</c:v>
                  </c:pt>
                  <c:pt idx="11">
                    <c:v>8.7245283889826294E-4</c:v>
                  </c:pt>
                  <c:pt idx="12">
                    <c:v>1.6225374628262045E-3</c:v>
                  </c:pt>
                  <c:pt idx="13">
                    <c:v>2.5104844942716582E-3</c:v>
                  </c:pt>
                  <c:pt idx="14">
                    <c:v>3.5562108678454623E-3</c:v>
                  </c:pt>
                  <c:pt idx="15">
                    <c:v>4.781985107906654E-3</c:v>
                  </c:pt>
                  <c:pt idx="16">
                    <c:v>6.2129465179530793E-3</c:v>
                  </c:pt>
                  <c:pt idx="17">
                    <c:v>7.8773721163169375E-3</c:v>
                  </c:pt>
                  <c:pt idx="18">
                    <c:v>9.8070505811251926E-3</c:v>
                  </c:pt>
                  <c:pt idx="19">
                    <c:v>1.2037774558186715E-2</c:v>
                  </c:pt>
                  <c:pt idx="20">
                    <c:v>1.4609720430565618E-2</c:v>
                  </c:pt>
                  <c:pt idx="21">
                    <c:v>1.7568077052330478E-2</c:v>
                  </c:pt>
                  <c:pt idx="22">
                    <c:v>2.0963569455142068E-2</c:v>
                  </c:pt>
                  <c:pt idx="23">
                    <c:v>2.4853052958519452E-2</c:v>
                  </c:pt>
                  <c:pt idx="24">
                    <c:v>2.9300350353780449E-2</c:v>
                  </c:pt>
                  <c:pt idx="25">
                    <c:v>3.4377005019601115E-2</c:v>
                  </c:pt>
                  <c:pt idx="26">
                    <c:v>4.0163275834209575E-2</c:v>
                  </c:pt>
                  <c:pt idx="27">
                    <c:v>4.6748956858616575E-2</c:v>
                  </c:pt>
                  <c:pt idx="28">
                    <c:v>5.4234458247775702E-2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'[1]Amber CSV uncertainty'!$V$3:$V$31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'[1]Amber CSV uncertainty'!$Y$3:$Y$31</c:f>
              <c:numCache>
                <c:formatCode>General</c:formatCode>
                <c:ptCount val="29"/>
                <c:pt idx="0">
                  <c:v>1.9284386617100371E-2</c:v>
                </c:pt>
                <c:pt idx="1">
                  <c:v>4.473923346077332E-3</c:v>
                </c:pt>
                <c:pt idx="2">
                  <c:v>2.5289711571883436E-2</c:v>
                </c:pt>
                <c:pt idx="3">
                  <c:v>2.4410146736445034E-2</c:v>
                </c:pt>
                <c:pt idx="4">
                  <c:v>2.3414250822386708E-2</c:v>
                </c:pt>
                <c:pt idx="5">
                  <c:v>2.2693305559382829E-2</c:v>
                </c:pt>
                <c:pt idx="6">
                  <c:v>2.2107468144509715E-2</c:v>
                </c:pt>
                <c:pt idx="7">
                  <c:v>2.1787406831244326E-2</c:v>
                </c:pt>
                <c:pt idx="8">
                  <c:v>2.146689376845054E-2</c:v>
                </c:pt>
                <c:pt idx="9">
                  <c:v>2.0862212092570824E-2</c:v>
                </c:pt>
                <c:pt idx="10">
                  <c:v>2.0259362236355206E-2</c:v>
                </c:pt>
                <c:pt idx="11">
                  <c:v>2.2648069990910066E-2</c:v>
                </c:pt>
                <c:pt idx="12">
                  <c:v>2.4971281441106382E-2</c:v>
                </c:pt>
                <c:pt idx="13">
                  <c:v>2.7283563889689867E-2</c:v>
                </c:pt>
                <c:pt idx="14">
                  <c:v>2.9585462769573613E-2</c:v>
                </c:pt>
                <c:pt idx="15">
                  <c:v>3.1876847982480909E-2</c:v>
                </c:pt>
                <c:pt idx="16">
                  <c:v>3.4157686612638329E-2</c:v>
                </c:pt>
                <c:pt idx="17">
                  <c:v>3.6427843476815061E-2</c:v>
                </c:pt>
                <c:pt idx="18">
                  <c:v>3.8687113368196281E-2</c:v>
                </c:pt>
                <c:pt idx="19">
                  <c:v>4.0935382269454187E-2</c:v>
                </c:pt>
                <c:pt idx="20">
                  <c:v>4.3172446958495349E-2</c:v>
                </c:pt>
                <c:pt idx="21">
                  <c:v>4.53982137217614E-2</c:v>
                </c:pt>
                <c:pt idx="22">
                  <c:v>4.761257770935886E-2</c:v>
                </c:pt>
                <c:pt idx="23">
                  <c:v>4.9815361486773957E-2</c:v>
                </c:pt>
                <c:pt idx="24">
                  <c:v>5.2006478119462664E-2</c:v>
                </c:pt>
                <c:pt idx="25">
                  <c:v>5.4185846535942661E-2</c:v>
                </c:pt>
                <c:pt idx="26">
                  <c:v>5.6353482948891642E-2</c:v>
                </c:pt>
                <c:pt idx="27">
                  <c:v>5.8509310589850559E-2</c:v>
                </c:pt>
                <c:pt idx="28">
                  <c:v>6.0653175539172779E-2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4BB-97A4-E0E0ECDA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76175"/>
        <c:axId val="775273775"/>
      </c:lineChart>
      <c:catAx>
        <c:axId val="7752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3775"/>
        <c:crosses val="autoZero"/>
        <c:auto val="1"/>
        <c:lblAlgn val="ctr"/>
        <c:lblOffset val="100"/>
        <c:noMultiLvlLbl val="0"/>
      </c:catAx>
      <c:valAx>
        <c:axId val="775273775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'[1]Amber CSV uncertainty'!$AC$2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'[1]Amber CSV uncertainty'!$AF$3:$AF$31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2.7000000000000006E-3</c:v>
                  </c:pt>
                  <c:pt idx="2">
                    <c:v>4.0700000000000007E-3</c:v>
                  </c:pt>
                  <c:pt idx="3">
                    <c:v>4.5375000000000007E-3</c:v>
                  </c:pt>
                  <c:pt idx="4">
                    <c:v>5.0578000000000012E-3</c:v>
                  </c:pt>
                  <c:pt idx="5">
                    <c:v>5.7246310000000017E-3</c:v>
                  </c:pt>
                  <c:pt idx="6">
                    <c:v>6.4742502000000018E-3</c:v>
                  </c:pt>
                  <c:pt idx="7">
                    <c:v>7.2811157100000027E-3</c:v>
                  </c:pt>
                  <c:pt idx="8">
                    <c:v>8.1456374780000049E-3</c:v>
                  </c:pt>
                  <c:pt idx="9">
                    <c:v>9.0673806663000046E-3</c:v>
                  </c:pt>
                  <c:pt idx="10">
                    <c:v>1.0068436640570007E-2</c:v>
                  </c:pt>
                  <c:pt idx="11">
                    <c:v>1.1127155153829007E-2</c:v>
                  </c:pt>
                  <c:pt idx="12">
                    <c:v>1.2296933003334107E-2</c:v>
                  </c:pt>
                  <c:pt idx="13">
                    <c:v>1.355801058743473E-2</c:v>
                  </c:pt>
                  <c:pt idx="14">
                    <c:v>1.4948334358322135E-2</c:v>
                  </c:pt>
                  <c:pt idx="15">
                    <c:v>1.6481142777512673E-2</c:v>
                  </c:pt>
                  <c:pt idx="16">
                    <c:v>1.8129257055263942E-2</c:v>
                  </c:pt>
                  <c:pt idx="17">
                    <c:v>1.9988132490653909E-2</c:v>
                  </c:pt>
                  <c:pt idx="18">
                    <c:v>2.2037490442569228E-2</c:v>
                  </c:pt>
                  <c:pt idx="19">
                    <c:v>2.429683865996108E-2</c:v>
                  </c:pt>
                  <c:pt idx="20">
                    <c:v>2.6848840706854019E-2</c:v>
                  </c:pt>
                  <c:pt idx="21">
                    <c:v>2.9600999777032681E-2</c:v>
                  </c:pt>
                  <c:pt idx="22">
                    <c:v>3.2709104753621113E-2</c:v>
                  </c:pt>
                  <c:pt idx="23">
                    <c:v>3.6142820727756909E-2</c:v>
                  </c:pt>
                  <c:pt idx="24">
                    <c:v>3.9936188849183651E-2</c:v>
                  </c:pt>
                  <c:pt idx="25">
                    <c:v>4.4126802387618173E-2</c:v>
                  </c:pt>
                  <c:pt idx="26">
                    <c:v>4.8647829685813881E-2</c:v>
                  </c:pt>
                  <c:pt idx="27">
                    <c:v>5.3750976185149818E-2</c:v>
                  </c:pt>
                  <c:pt idx="28">
                    <c:v>5.9388273687494803E-2</c:v>
                  </c:pt>
                </c:numCache>
              </c:numRef>
            </c:plus>
            <c:minus>
              <c:numRef>
                <c:f>'[1]Amber CSV uncertainty'!$AF$3:$AF$31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2.7000000000000006E-3</c:v>
                  </c:pt>
                  <c:pt idx="2">
                    <c:v>4.0700000000000007E-3</c:v>
                  </c:pt>
                  <c:pt idx="3">
                    <c:v>4.5375000000000007E-3</c:v>
                  </c:pt>
                  <c:pt idx="4">
                    <c:v>5.0578000000000012E-3</c:v>
                  </c:pt>
                  <c:pt idx="5">
                    <c:v>5.7246310000000017E-3</c:v>
                  </c:pt>
                  <c:pt idx="6">
                    <c:v>6.4742502000000018E-3</c:v>
                  </c:pt>
                  <c:pt idx="7">
                    <c:v>7.2811157100000027E-3</c:v>
                  </c:pt>
                  <c:pt idx="8">
                    <c:v>8.1456374780000049E-3</c:v>
                  </c:pt>
                  <c:pt idx="9">
                    <c:v>9.0673806663000046E-3</c:v>
                  </c:pt>
                  <c:pt idx="10">
                    <c:v>1.0068436640570007E-2</c:v>
                  </c:pt>
                  <c:pt idx="11">
                    <c:v>1.1127155153829007E-2</c:v>
                  </c:pt>
                  <c:pt idx="12">
                    <c:v>1.2296933003334107E-2</c:v>
                  </c:pt>
                  <c:pt idx="13">
                    <c:v>1.355801058743473E-2</c:v>
                  </c:pt>
                  <c:pt idx="14">
                    <c:v>1.4948334358322135E-2</c:v>
                  </c:pt>
                  <c:pt idx="15">
                    <c:v>1.6481142777512673E-2</c:v>
                  </c:pt>
                  <c:pt idx="16">
                    <c:v>1.8129257055263942E-2</c:v>
                  </c:pt>
                  <c:pt idx="17">
                    <c:v>1.9988132490653909E-2</c:v>
                  </c:pt>
                  <c:pt idx="18">
                    <c:v>2.2037490442569228E-2</c:v>
                  </c:pt>
                  <c:pt idx="19">
                    <c:v>2.429683865996108E-2</c:v>
                  </c:pt>
                  <c:pt idx="20">
                    <c:v>2.6848840706854019E-2</c:v>
                  </c:pt>
                  <c:pt idx="21">
                    <c:v>2.9600999777032681E-2</c:v>
                  </c:pt>
                  <c:pt idx="22">
                    <c:v>3.2709104753621113E-2</c:v>
                  </c:pt>
                  <c:pt idx="23">
                    <c:v>3.6142820727756909E-2</c:v>
                  </c:pt>
                  <c:pt idx="24">
                    <c:v>3.9936188849183651E-2</c:v>
                  </c:pt>
                  <c:pt idx="25">
                    <c:v>4.4126802387618173E-2</c:v>
                  </c:pt>
                  <c:pt idx="26">
                    <c:v>4.8647829685813881E-2</c:v>
                  </c:pt>
                  <c:pt idx="27">
                    <c:v>5.3750976185149818E-2</c:v>
                  </c:pt>
                  <c:pt idx="28">
                    <c:v>5.9388273687494803E-2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'[1]Amber CSV uncertainty'!$V$3:$V$31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'[1]Amber CSV uncertainty'!$AC$3:$AC$31</c:f>
              <c:numCache>
                <c:formatCode>General</c:formatCode>
                <c:ptCount val="29"/>
                <c:pt idx="0">
                  <c:v>7.9000000000000001E-2</c:v>
                </c:pt>
                <c:pt idx="1">
                  <c:v>5.1999999999999998E-2</c:v>
                </c:pt>
                <c:pt idx="2">
                  <c:v>4.2000000000000003E-2</c:v>
                </c:pt>
                <c:pt idx="3">
                  <c:v>4.1500000000000002E-2</c:v>
                </c:pt>
                <c:pt idx="4">
                  <c:v>4.1000000000000002E-2</c:v>
                </c:pt>
                <c:pt idx="5">
                  <c:v>3.9899999999999998E-2</c:v>
                </c:pt>
                <c:pt idx="6">
                  <c:v>3.8800000000000001E-2</c:v>
                </c:pt>
                <c:pt idx="7">
                  <c:v>3.7900000000000003E-2</c:v>
                </c:pt>
                <c:pt idx="8">
                  <c:v>3.7199999999999997E-2</c:v>
                </c:pt>
                <c:pt idx="9">
                  <c:v>3.6700000000000003E-2</c:v>
                </c:pt>
                <c:pt idx="10">
                  <c:v>3.6299999999999999E-2</c:v>
                </c:pt>
                <c:pt idx="11">
                  <c:v>3.61E-2</c:v>
                </c:pt>
                <c:pt idx="12">
                  <c:v>3.5900000000000001E-2</c:v>
                </c:pt>
                <c:pt idx="13">
                  <c:v>3.5799999999999998E-2</c:v>
                </c:pt>
                <c:pt idx="14">
                  <c:v>3.5699999999999996E-2</c:v>
                </c:pt>
                <c:pt idx="15">
                  <c:v>3.56E-2</c:v>
                </c:pt>
                <c:pt idx="16">
                  <c:v>3.56E-2</c:v>
                </c:pt>
                <c:pt idx="17">
                  <c:v>3.5499999999999997E-2</c:v>
                </c:pt>
                <c:pt idx="18">
                  <c:v>3.5400000000000001E-2</c:v>
                </c:pt>
                <c:pt idx="19">
                  <c:v>3.5299999999999998E-2</c:v>
                </c:pt>
                <c:pt idx="20">
                  <c:v>3.5099999999999999E-2</c:v>
                </c:pt>
                <c:pt idx="21">
                  <c:v>3.5000000000000003E-2</c:v>
                </c:pt>
                <c:pt idx="22">
                  <c:v>3.4799999999999998E-2</c:v>
                </c:pt>
                <c:pt idx="23">
                  <c:v>3.4599999999999999E-2</c:v>
                </c:pt>
                <c:pt idx="24">
                  <c:v>3.44E-2</c:v>
                </c:pt>
                <c:pt idx="25">
                  <c:v>3.4200000000000001E-2</c:v>
                </c:pt>
                <c:pt idx="26">
                  <c:v>3.4099999999999998E-2</c:v>
                </c:pt>
                <c:pt idx="27">
                  <c:v>3.39E-2</c:v>
                </c:pt>
                <c:pt idx="28">
                  <c:v>3.3700000000000001E-2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1-45D4-88DD-144B252C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76175"/>
        <c:axId val="775273775"/>
      </c:lineChart>
      <c:catAx>
        <c:axId val="7752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3775"/>
        <c:crosses val="autoZero"/>
        <c:auto val="1"/>
        <c:lblAlgn val="ctr"/>
        <c:lblOffset val="100"/>
        <c:noMultiLvlLbl val="0"/>
      </c:catAx>
      <c:valAx>
        <c:axId val="775273775"/>
        <c:scaling>
          <c:orientation val="minMax"/>
          <c:max val="0.1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Deficit</a:t>
            </a:r>
            <a:r>
              <a:rPr lang="en-US" baseline="0"/>
              <a:t>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ST Uncertainty '!$D$3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'1.2 ST Uncertainty '!$A$51:$A$61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1.4810463271023042E-3</c:v>
                  </c:pt>
                  <c:pt idx="2">
                    <c:v>2.0815788225806119E-3</c:v>
                  </c:pt>
                  <c:pt idx="3">
                    <c:v>2.5941548345150764E-3</c:v>
                  </c:pt>
                  <c:pt idx="4">
                    <c:v>3.0071412550437097E-3</c:v>
                  </c:pt>
                  <c:pt idx="5">
                    <c:v>3.3480331492719562E-3</c:v>
                  </c:pt>
                  <c:pt idx="6">
                    <c:v>3.6303413020128891E-3</c:v>
                  </c:pt>
                  <c:pt idx="7">
                    <c:v>3.880643323427288E-3</c:v>
                  </c:pt>
                  <c:pt idx="8">
                    <c:v>4.0988940385623049E-3</c:v>
                  </c:pt>
                  <c:pt idx="9">
                    <c:v>4.2566765861093495E-3</c:v>
                  </c:pt>
                  <c:pt idx="10">
                    <c:v>4.3541741480348332E-3</c:v>
                  </c:pt>
                </c:numCache>
              </c:numRef>
            </c:plus>
            <c:minus>
              <c:numRef>
                <c:f>'1.2 ST Uncertainty '!$A$51:$A$61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1.4810463271023042E-3</c:v>
                  </c:pt>
                  <c:pt idx="2">
                    <c:v>2.0815788225806119E-3</c:v>
                  </c:pt>
                  <c:pt idx="3">
                    <c:v>2.5941548345150764E-3</c:v>
                  </c:pt>
                  <c:pt idx="4">
                    <c:v>3.0071412550437097E-3</c:v>
                  </c:pt>
                  <c:pt idx="5">
                    <c:v>3.3480331492719562E-3</c:v>
                  </c:pt>
                  <c:pt idx="6">
                    <c:v>3.6303413020128891E-3</c:v>
                  </c:pt>
                  <c:pt idx="7">
                    <c:v>3.880643323427288E-3</c:v>
                  </c:pt>
                  <c:pt idx="8">
                    <c:v>4.0988940385623049E-3</c:v>
                  </c:pt>
                  <c:pt idx="9">
                    <c:v>4.2566765861093495E-3</c:v>
                  </c:pt>
                  <c:pt idx="10">
                    <c:v>4.3541741480348332E-3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'1.2 ST Uncertainty '!$A$4:$A$14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'1.2 ST Uncertainty '!$D$4:$D$14</c:f>
              <c:numCache>
                <c:formatCode>0.00%</c:formatCode>
                <c:ptCount val="11"/>
                <c:pt idx="0">
                  <c:v>1.9284386617100371E-2</c:v>
                </c:pt>
                <c:pt idx="1">
                  <c:v>4.473923346077332E-3</c:v>
                </c:pt>
                <c:pt idx="2">
                  <c:v>2.5289711571883436E-2</c:v>
                </c:pt>
                <c:pt idx="3">
                  <c:v>2.4410146736445034E-2</c:v>
                </c:pt>
                <c:pt idx="4">
                  <c:v>2.3414250822386708E-2</c:v>
                </c:pt>
                <c:pt idx="5">
                  <c:v>2.2693305559382829E-2</c:v>
                </c:pt>
                <c:pt idx="6">
                  <c:v>2.2107468144509715E-2</c:v>
                </c:pt>
                <c:pt idx="7">
                  <c:v>2.1787406831244326E-2</c:v>
                </c:pt>
                <c:pt idx="8">
                  <c:v>2.146689376845054E-2</c:v>
                </c:pt>
                <c:pt idx="9">
                  <c:v>2.0862212092570824E-2</c:v>
                </c:pt>
                <c:pt idx="10">
                  <c:v>2.0259362236355206E-2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CBE-935F-ACDAB5A4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21119"/>
        <c:axId val="1574608159"/>
      </c:lineChart>
      <c:catAx>
        <c:axId val="1574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>
                <a:alpha val="94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8159"/>
        <c:crosses val="autoZero"/>
        <c:auto val="1"/>
        <c:lblAlgn val="ctr"/>
        <c:lblOffset val="100"/>
        <c:noMultiLvlLbl val="0"/>
      </c:catAx>
      <c:valAx>
        <c:axId val="15746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'[1]Amber CSV uncertainty'!$AG$2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'[1]Amber CSV uncertainty'!$AJ$3:$AJ$31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5.000000000000005E-5</c:v>
                  </c:pt>
                  <c:pt idx="2">
                    <c:v>8.8000000000000014E-4</c:v>
                  </c:pt>
                  <c:pt idx="3">
                    <c:v>1.9360000000000004E-3</c:v>
                  </c:pt>
                  <c:pt idx="4">
                    <c:v>2.1961500000000004E-3</c:v>
                  </c:pt>
                  <c:pt idx="5">
                    <c:v>1.9618940000000009E-3</c:v>
                  </c:pt>
                  <c:pt idx="6">
                    <c:v>1.8198763000000014E-3</c:v>
                  </c:pt>
                  <c:pt idx="7">
                    <c:v>1.4881112400000013E-3</c:v>
                  </c:pt>
                  <c:pt idx="8">
                    <c:v>1.5005121670000018E-3</c:v>
                  </c:pt>
                  <c:pt idx="9">
                    <c:v>1.5433839432000018E-3</c:v>
                  </c:pt>
                  <c:pt idx="10">
                    <c:v>1.6034044298800011E-3</c:v>
                  </c:pt>
                  <c:pt idx="11">
                    <c:v>1.7118700236660013E-3</c:v>
                  </c:pt>
                  <c:pt idx="12">
                    <c:v>1.8259946919104019E-3</c:v>
                  </c:pt>
                  <c:pt idx="13">
                    <c:v>1.977209877334231E-3</c:v>
                  </c:pt>
                  <c:pt idx="14">
                    <c:v>2.1404081529237226E-3</c:v>
                  </c:pt>
                  <c:pt idx="15">
                    <c:v>2.316473984857772E-3</c:v>
                  </c:pt>
                  <c:pt idx="16">
                    <c:v>2.5481213833435496E-3</c:v>
                  </c:pt>
                  <c:pt idx="17">
                    <c:v>2.7569837918143313E-3</c:v>
                  </c:pt>
                  <c:pt idx="18">
                    <c:v>2.9821374681458374E-3</c:v>
                  </c:pt>
                  <c:pt idx="19">
                    <c:v>3.2247520418254975E-3</c:v>
                  </c:pt>
                  <c:pt idx="20">
                    <c:v>3.4249090651112192E-3</c:v>
                  </c:pt>
                  <c:pt idx="21">
                    <c:v>3.7001249721290885E-3</c:v>
                  </c:pt>
                  <c:pt idx="22">
                    <c:v>3.9221324704568298E-3</c:v>
                  </c:pt>
                  <c:pt idx="23">
                    <c:v>4.1515402187288341E-3</c:v>
                  </c:pt>
                  <c:pt idx="24">
                    <c:v>4.3876081919506718E-3</c:v>
                  </c:pt>
                  <c:pt idx="25">
                    <c:v>4.6293743576295877E-3</c:v>
                  </c:pt>
                  <c:pt idx="26">
                    <c:v>4.9839647339586599E-3</c:v>
                  </c:pt>
                  <c:pt idx="27">
                    <c:v>5.2439976765999837E-3</c:v>
                  </c:pt>
                  <c:pt idx="28">
                    <c:v>5.5061975604299845E-3</c:v>
                  </c:pt>
                </c:numCache>
              </c:numRef>
            </c:plus>
            <c:minus>
              <c:numRef>
                <c:f>'[1]Amber CSV uncertainty'!$AJ$3:$AJ$31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5.000000000000005E-5</c:v>
                  </c:pt>
                  <c:pt idx="2">
                    <c:v>8.8000000000000014E-4</c:v>
                  </c:pt>
                  <c:pt idx="3">
                    <c:v>1.9360000000000004E-3</c:v>
                  </c:pt>
                  <c:pt idx="4">
                    <c:v>2.1961500000000004E-3</c:v>
                  </c:pt>
                  <c:pt idx="5">
                    <c:v>1.9618940000000009E-3</c:v>
                  </c:pt>
                  <c:pt idx="6">
                    <c:v>1.8198763000000014E-3</c:v>
                  </c:pt>
                  <c:pt idx="7">
                    <c:v>1.4881112400000013E-3</c:v>
                  </c:pt>
                  <c:pt idx="8">
                    <c:v>1.5005121670000018E-3</c:v>
                  </c:pt>
                  <c:pt idx="9">
                    <c:v>1.5433839432000018E-3</c:v>
                  </c:pt>
                  <c:pt idx="10">
                    <c:v>1.6034044298800011E-3</c:v>
                  </c:pt>
                  <c:pt idx="11">
                    <c:v>1.7118700236660013E-3</c:v>
                  </c:pt>
                  <c:pt idx="12">
                    <c:v>1.8259946919104019E-3</c:v>
                  </c:pt>
                  <c:pt idx="13">
                    <c:v>1.977209877334231E-3</c:v>
                  </c:pt>
                  <c:pt idx="14">
                    <c:v>2.1404081529237226E-3</c:v>
                  </c:pt>
                  <c:pt idx="15">
                    <c:v>2.316473984857772E-3</c:v>
                  </c:pt>
                  <c:pt idx="16">
                    <c:v>2.5481213833435496E-3</c:v>
                  </c:pt>
                  <c:pt idx="17">
                    <c:v>2.7569837918143313E-3</c:v>
                  </c:pt>
                  <c:pt idx="18">
                    <c:v>2.9821374681458374E-3</c:v>
                  </c:pt>
                  <c:pt idx="19">
                    <c:v>3.2247520418254975E-3</c:v>
                  </c:pt>
                  <c:pt idx="20">
                    <c:v>3.4249090651112192E-3</c:v>
                  </c:pt>
                  <c:pt idx="21">
                    <c:v>3.7001249721290885E-3</c:v>
                  </c:pt>
                  <c:pt idx="22">
                    <c:v>3.9221324704568298E-3</c:v>
                  </c:pt>
                  <c:pt idx="23">
                    <c:v>4.1515402187288341E-3</c:v>
                  </c:pt>
                  <c:pt idx="24">
                    <c:v>4.3876081919506718E-3</c:v>
                  </c:pt>
                  <c:pt idx="25">
                    <c:v>4.6293743576295877E-3</c:v>
                  </c:pt>
                  <c:pt idx="26">
                    <c:v>4.9839647339586599E-3</c:v>
                  </c:pt>
                  <c:pt idx="27">
                    <c:v>5.2439976765999837E-3</c:v>
                  </c:pt>
                  <c:pt idx="28">
                    <c:v>5.5061975604299845E-3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'[1]Amber CSV uncertainty'!$V$3:$V$31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'[1]Amber CSV uncertainty'!$AG$3:$AG$31</c:f>
              <c:numCache>
                <c:formatCode>General</c:formatCode>
                <c:ptCount val="29"/>
                <c:pt idx="0">
                  <c:v>4.4499999999999998E-2</c:v>
                </c:pt>
                <c:pt idx="1">
                  <c:v>4.4999999999999998E-2</c:v>
                </c:pt>
                <c:pt idx="2">
                  <c:v>5.2499999999999998E-2</c:v>
                </c:pt>
                <c:pt idx="3">
                  <c:v>6.0499999999999998E-2</c:v>
                </c:pt>
                <c:pt idx="4">
                  <c:v>6.0999999999999999E-2</c:v>
                </c:pt>
                <c:pt idx="5">
                  <c:v>5.79E-2</c:v>
                </c:pt>
                <c:pt idx="6">
                  <c:v>5.5800000000000002E-2</c:v>
                </c:pt>
                <c:pt idx="7">
                  <c:v>5.2900000000000003E-2</c:v>
                </c:pt>
                <c:pt idx="8">
                  <c:v>5.2200000000000003E-2</c:v>
                </c:pt>
                <c:pt idx="9">
                  <c:v>5.1700000000000003E-2</c:v>
                </c:pt>
                <c:pt idx="10">
                  <c:v>5.1299999999999998E-2</c:v>
                </c:pt>
                <c:pt idx="11">
                  <c:v>5.11E-2</c:v>
                </c:pt>
                <c:pt idx="12">
                  <c:v>5.0900000000000001E-2</c:v>
                </c:pt>
                <c:pt idx="13">
                  <c:v>5.0799999999999998E-2</c:v>
                </c:pt>
                <c:pt idx="14">
                  <c:v>5.0699999999999995E-2</c:v>
                </c:pt>
                <c:pt idx="15">
                  <c:v>5.0599999999999999E-2</c:v>
                </c:pt>
                <c:pt idx="16">
                  <c:v>5.0599999999999999E-2</c:v>
                </c:pt>
                <c:pt idx="17">
                  <c:v>5.0499999999999996E-2</c:v>
                </c:pt>
                <c:pt idx="18">
                  <c:v>5.04E-2</c:v>
                </c:pt>
                <c:pt idx="19">
                  <c:v>5.0299999999999997E-2</c:v>
                </c:pt>
                <c:pt idx="20">
                  <c:v>5.0099999999999999E-2</c:v>
                </c:pt>
                <c:pt idx="21">
                  <c:v>0.05</c:v>
                </c:pt>
                <c:pt idx="22">
                  <c:v>4.9799999999999997E-2</c:v>
                </c:pt>
                <c:pt idx="23">
                  <c:v>4.9599999999999998E-2</c:v>
                </c:pt>
                <c:pt idx="24">
                  <c:v>4.9399999999999999E-2</c:v>
                </c:pt>
                <c:pt idx="25">
                  <c:v>4.9200000000000001E-2</c:v>
                </c:pt>
                <c:pt idx="26">
                  <c:v>4.9099999999999998E-2</c:v>
                </c:pt>
                <c:pt idx="27">
                  <c:v>4.8899999999999999E-2</c:v>
                </c:pt>
                <c:pt idx="28">
                  <c:v>4.87E-2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0D0-9B8C-EE48BFF9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76175"/>
        <c:axId val="775273775"/>
      </c:lineChart>
      <c:catAx>
        <c:axId val="7752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3775"/>
        <c:crosses val="autoZero"/>
        <c:auto val="1"/>
        <c:lblAlgn val="ctr"/>
        <c:lblOffset val="100"/>
        <c:noMultiLvlLbl val="0"/>
      </c:catAx>
      <c:valAx>
        <c:axId val="7752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'[1]Amber CSV uncertainty'!$AO$2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'[1]Amber CSV uncertainty'!$AR$3:$AR$31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7.2217621874945967E-4</c:v>
                  </c:pt>
                  <c:pt idx="2">
                    <c:v>5.0546371369676439E-4</c:v>
                  </c:pt>
                  <c:pt idx="3">
                    <c:v>2.3304459098452291E-3</c:v>
                  </c:pt>
                  <c:pt idx="4">
                    <c:v>5.0475549902922962E-3</c:v>
                  </c:pt>
                  <c:pt idx="5">
                    <c:v>8.5894394073249506E-3</c:v>
                  </c:pt>
                  <c:pt idx="6">
                    <c:v>1.2574747673100085E-2</c:v>
                  </c:pt>
                  <c:pt idx="7">
                    <c:v>1.7370931690772126E-2</c:v>
                  </c:pt>
                  <c:pt idx="8">
                    <c:v>2.2582577056849788E-2</c:v>
                  </c:pt>
                  <c:pt idx="9">
                    <c:v>2.8588230968203648E-2</c:v>
                  </c:pt>
                  <c:pt idx="10">
                    <c:v>3.5420161548386855E-2</c:v>
                  </c:pt>
                  <c:pt idx="11">
                    <c:v>4.3141596945994717E-2</c:v>
                  </c:pt>
                  <c:pt idx="12">
                    <c:v>5.2708665796707757E-2</c:v>
                  </c:pt>
                  <c:pt idx="13">
                    <c:v>6.4380112318732613E-2</c:v>
                  </c:pt>
                  <c:pt idx="14">
                    <c:v>7.8575911714563351E-2</c:v>
                  </c:pt>
                  <c:pt idx="15">
                    <c:v>9.5749188508026856E-2</c:v>
                  </c:pt>
                  <c:pt idx="16">
                    <c:v>0.11637814094210584</c:v>
                  </c:pt>
                  <c:pt idx="17">
                    <c:v>0.14115840823374035</c:v>
                  </c:pt>
                  <c:pt idx="18">
                    <c:v>0.1707498285778567</c:v>
                  </c:pt>
                  <c:pt idx="19">
                    <c:v>0.20596431032236986</c:v>
                  </c:pt>
                  <c:pt idx="20">
                    <c:v>0.2478121360397473</c:v>
                  </c:pt>
                  <c:pt idx="21">
                    <c:v>0.29722530973659356</c:v>
                  </c:pt>
                  <c:pt idx="22">
                    <c:v>0.35560372540082513</c:v>
                  </c:pt>
                  <c:pt idx="23">
                    <c:v>0.42429139047220743</c:v>
                  </c:pt>
                  <c:pt idx="24">
                    <c:v>0.50492142959971409</c:v>
                  </c:pt>
                  <c:pt idx="25">
                    <c:v>0.59935965357804621</c:v>
                  </c:pt>
                  <c:pt idx="26">
                    <c:v>0.70957691732071471</c:v>
                  </c:pt>
                  <c:pt idx="27">
                    <c:v>0.83830776686599751</c:v>
                  </c:pt>
                  <c:pt idx="28">
                    <c:v>0.98819648970158025</c:v>
                  </c:pt>
                </c:numCache>
              </c:numRef>
            </c:plus>
            <c:minus>
              <c:numRef>
                <c:f>'[1]Amber CSV uncertainty'!$AR$3:$AR$31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7.2217621874945967E-4</c:v>
                  </c:pt>
                  <c:pt idx="2">
                    <c:v>5.0546371369676439E-4</c:v>
                  </c:pt>
                  <c:pt idx="3">
                    <c:v>2.3304459098452291E-3</c:v>
                  </c:pt>
                  <c:pt idx="4">
                    <c:v>5.0475549902922962E-3</c:v>
                  </c:pt>
                  <c:pt idx="5">
                    <c:v>8.5894394073249506E-3</c:v>
                  </c:pt>
                  <c:pt idx="6">
                    <c:v>1.2574747673100085E-2</c:v>
                  </c:pt>
                  <c:pt idx="7">
                    <c:v>1.7370931690772126E-2</c:v>
                  </c:pt>
                  <c:pt idx="8">
                    <c:v>2.2582577056849788E-2</c:v>
                  </c:pt>
                  <c:pt idx="9">
                    <c:v>2.8588230968203648E-2</c:v>
                  </c:pt>
                  <c:pt idx="10">
                    <c:v>3.5420161548386855E-2</c:v>
                  </c:pt>
                  <c:pt idx="11">
                    <c:v>4.3141596945994717E-2</c:v>
                  </c:pt>
                  <c:pt idx="12">
                    <c:v>5.2708665796707757E-2</c:v>
                  </c:pt>
                  <c:pt idx="13">
                    <c:v>6.4380112318732613E-2</c:v>
                  </c:pt>
                  <c:pt idx="14">
                    <c:v>7.8575911714563351E-2</c:v>
                  </c:pt>
                  <c:pt idx="15">
                    <c:v>9.5749188508026856E-2</c:v>
                  </c:pt>
                  <c:pt idx="16">
                    <c:v>0.11637814094210584</c:v>
                  </c:pt>
                  <c:pt idx="17">
                    <c:v>0.14115840823374035</c:v>
                  </c:pt>
                  <c:pt idx="18">
                    <c:v>0.1707498285778567</c:v>
                  </c:pt>
                  <c:pt idx="19">
                    <c:v>0.20596431032236986</c:v>
                  </c:pt>
                  <c:pt idx="20">
                    <c:v>0.2478121360397473</c:v>
                  </c:pt>
                  <c:pt idx="21">
                    <c:v>0.29722530973659356</c:v>
                  </c:pt>
                  <c:pt idx="22">
                    <c:v>0.35560372540082513</c:v>
                  </c:pt>
                  <c:pt idx="23">
                    <c:v>0.42429139047220743</c:v>
                  </c:pt>
                  <c:pt idx="24">
                    <c:v>0.50492142959971409</c:v>
                  </c:pt>
                  <c:pt idx="25">
                    <c:v>0.59935965357804621</c:v>
                  </c:pt>
                  <c:pt idx="26">
                    <c:v>0.70957691732071471</c:v>
                  </c:pt>
                  <c:pt idx="27">
                    <c:v>0.83830776686599751</c:v>
                  </c:pt>
                  <c:pt idx="28">
                    <c:v>0.98819648970158025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'[1]Amber CSV uncertainty'!$V$3:$V$31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'[1]Amber CSV uncertainty'!$AO$3:$AO$31</c:f>
              <c:numCache>
                <c:formatCode>General</c:formatCode>
                <c:ptCount val="29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  <c:pt idx="11">
                  <c:v>1.1016455171081299</c:v>
                </c:pt>
                <c:pt idx="12">
                  <c:v>1.1200566432456074</c:v>
                </c:pt>
                <c:pt idx="13">
                  <c:v>1.1404508634541353</c:v>
                </c:pt>
                <c:pt idx="14">
                  <c:v>1.1629224124205488</c:v>
                </c:pt>
                <c:pt idx="15">
                  <c:v>1.1874535242161914</c:v>
                </c:pt>
                <c:pt idx="16">
                  <c:v>1.2139160017491522</c:v>
                </c:pt>
                <c:pt idx="17">
                  <c:v>1.2425178090643305</c:v>
                </c:pt>
                <c:pt idx="18">
                  <c:v>1.2731354181275203</c:v>
                </c:pt>
                <c:pt idx="19">
                  <c:v>1.3057609013207836</c:v>
                </c:pt>
                <c:pt idx="20">
                  <c:v>1.3405086297930786</c:v>
                </c:pt>
                <c:pt idx="21">
                  <c:v>1.3771224689285819</c:v>
                </c:pt>
                <c:pt idx="22">
                  <c:v>1.4158453295162925</c:v>
                </c:pt>
                <c:pt idx="23">
                  <c:v>1.4565408745449662</c:v>
                </c:pt>
                <c:pt idx="24">
                  <c:v>1.4992029360154506</c:v>
                </c:pt>
                <c:pt idx="25">
                  <c:v>1.5438194575646076</c:v>
                </c:pt>
                <c:pt idx="26">
                  <c:v>1.5902270838053056</c:v>
                </c:pt>
                <c:pt idx="27">
                  <c:v>1.6387019135163181</c:v>
                </c:pt>
                <c:pt idx="28">
                  <c:v>1.6890893852299307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E89-AB3E-AB4FFE83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76175"/>
        <c:axId val="775273775"/>
      </c:lineChart>
      <c:catAx>
        <c:axId val="7752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3775"/>
        <c:crosses val="autoZero"/>
        <c:auto val="1"/>
        <c:lblAlgn val="ctr"/>
        <c:lblOffset val="100"/>
        <c:noMultiLvlLbl val="0"/>
      </c:catAx>
      <c:valAx>
        <c:axId val="775273775"/>
        <c:scaling>
          <c:orientation val="minMax"/>
          <c:max val="2.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 To 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'[1]Amber CSV uncertainty'!$AK$2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'[1]Amber CSV uncertainty'!$AN$3:$AN$31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1E-4</c:v>
                  </c:pt>
                  <c:pt idx="2">
                    <c:v>4.4000000000000007E-4</c:v>
                  </c:pt>
                  <c:pt idx="3">
                    <c:v>1.8150000000000002E-3</c:v>
                  </c:pt>
                  <c:pt idx="4">
                    <c:v>2.1296000000000006E-3</c:v>
                  </c:pt>
                  <c:pt idx="5">
                    <c:v>2.0497400000000004E-3</c:v>
                  </c:pt>
                  <c:pt idx="6">
                    <c:v>2.0936630000000008E-3</c:v>
                  </c:pt>
                  <c:pt idx="7">
                    <c:v>1.9487171000000007E-3</c:v>
                  </c:pt>
                  <c:pt idx="8">
                    <c:v>2.1435888100000008E-3</c:v>
                  </c:pt>
                  <c:pt idx="9">
                    <c:v>2.3579476910000011E-3</c:v>
                  </c:pt>
                  <c:pt idx="10">
                    <c:v>2.5937424601000015E-3</c:v>
                  </c:pt>
                  <c:pt idx="11">
                    <c:v>2.8531167061100014E-3</c:v>
                  </c:pt>
                  <c:pt idx="12">
                    <c:v>3.1384283767210016E-3</c:v>
                  </c:pt>
                  <c:pt idx="13">
                    <c:v>3.452271214393102E-3</c:v>
                  </c:pt>
                  <c:pt idx="14">
                    <c:v>3.7974983358324121E-3</c:v>
                  </c:pt>
                  <c:pt idx="15">
                    <c:v>4.177248169415654E-3</c:v>
                  </c:pt>
                  <c:pt idx="16">
                    <c:v>4.5949729863572191E-3</c:v>
                  </c:pt>
                  <c:pt idx="17">
                    <c:v>5.0544702849929417E-3</c:v>
                  </c:pt>
                  <c:pt idx="18">
                    <c:v>5.5599173134922367E-3</c:v>
                  </c:pt>
                  <c:pt idx="19">
                    <c:v>6.1159090448414605E-3</c:v>
                  </c:pt>
                  <c:pt idx="20">
                    <c:v>6.7274999493256082E-3</c:v>
                  </c:pt>
                  <c:pt idx="21">
                    <c:v>7.4002499442581702E-3</c:v>
                  </c:pt>
                  <c:pt idx="22">
                    <c:v>8.1402749386839876E-3</c:v>
                  </c:pt>
                  <c:pt idx="23">
                    <c:v>8.9543024325523853E-3</c:v>
                  </c:pt>
                  <c:pt idx="24">
                    <c:v>9.8497326758076268E-3</c:v>
                  </c:pt>
                  <c:pt idx="25">
                    <c:v>1.083470594338839E-2</c:v>
                  </c:pt>
                  <c:pt idx="26">
                    <c:v>1.191817653772723E-2</c:v>
                  </c:pt>
                  <c:pt idx="27">
                    <c:v>1.3109994191499955E-2</c:v>
                  </c:pt>
                  <c:pt idx="28">
                    <c:v>1.4420993610649951E-2</c:v>
                  </c:pt>
                </c:numCache>
              </c:numRef>
            </c:plus>
            <c:minus>
              <c:numRef>
                <c:f>'[1]Amber CSV uncertainty'!$AN$3:$AN$31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1E-4</c:v>
                  </c:pt>
                  <c:pt idx="2">
                    <c:v>4.4000000000000007E-4</c:v>
                  </c:pt>
                  <c:pt idx="3">
                    <c:v>1.8150000000000002E-3</c:v>
                  </c:pt>
                  <c:pt idx="4">
                    <c:v>2.1296000000000006E-3</c:v>
                  </c:pt>
                  <c:pt idx="5">
                    <c:v>2.0497400000000004E-3</c:v>
                  </c:pt>
                  <c:pt idx="6">
                    <c:v>2.0936630000000008E-3</c:v>
                  </c:pt>
                  <c:pt idx="7">
                    <c:v>1.9487171000000007E-3</c:v>
                  </c:pt>
                  <c:pt idx="8">
                    <c:v>2.1435888100000008E-3</c:v>
                  </c:pt>
                  <c:pt idx="9">
                    <c:v>2.3579476910000011E-3</c:v>
                  </c:pt>
                  <c:pt idx="10">
                    <c:v>2.5937424601000015E-3</c:v>
                  </c:pt>
                  <c:pt idx="11">
                    <c:v>2.8531167061100014E-3</c:v>
                  </c:pt>
                  <c:pt idx="12">
                    <c:v>3.1384283767210016E-3</c:v>
                  </c:pt>
                  <c:pt idx="13">
                    <c:v>3.452271214393102E-3</c:v>
                  </c:pt>
                  <c:pt idx="14">
                    <c:v>3.7974983358324121E-3</c:v>
                  </c:pt>
                  <c:pt idx="15">
                    <c:v>4.177248169415654E-3</c:v>
                  </c:pt>
                  <c:pt idx="16">
                    <c:v>4.5949729863572191E-3</c:v>
                  </c:pt>
                  <c:pt idx="17">
                    <c:v>5.0544702849929417E-3</c:v>
                  </c:pt>
                  <c:pt idx="18">
                    <c:v>5.5599173134922367E-3</c:v>
                  </c:pt>
                  <c:pt idx="19">
                    <c:v>6.1159090448414605E-3</c:v>
                  </c:pt>
                  <c:pt idx="20">
                    <c:v>6.7274999493256082E-3</c:v>
                  </c:pt>
                  <c:pt idx="21">
                    <c:v>7.4002499442581702E-3</c:v>
                  </c:pt>
                  <c:pt idx="22">
                    <c:v>8.1402749386839876E-3</c:v>
                  </c:pt>
                  <c:pt idx="23">
                    <c:v>8.9543024325523853E-3</c:v>
                  </c:pt>
                  <c:pt idx="24">
                    <c:v>9.8497326758076268E-3</c:v>
                  </c:pt>
                  <c:pt idx="25">
                    <c:v>1.083470594338839E-2</c:v>
                  </c:pt>
                  <c:pt idx="26">
                    <c:v>1.191817653772723E-2</c:v>
                  </c:pt>
                  <c:pt idx="27">
                    <c:v>1.3109994191499955E-2</c:v>
                  </c:pt>
                  <c:pt idx="28">
                    <c:v>1.4420993610649951E-2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'[1]Amber CSV uncertainty'!$V$3:$V$31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'[1]Amber CSV uncertainty'!$AK$3:$AK$31</c:f>
              <c:numCache>
                <c:formatCode>General</c:formatCode>
                <c:ptCount val="29"/>
                <c:pt idx="0">
                  <c:v>4.0000000000000001E-3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1.9E-2</c:v>
                </c:pt>
                <c:pt idx="4">
                  <c:v>0.02</c:v>
                </c:pt>
                <c:pt idx="5">
                  <c:v>1.7999999999999999E-2</c:v>
                </c:pt>
                <c:pt idx="6">
                  <c:v>1.7000000000000001E-2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6-4793-AED9-F6265C7A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76175"/>
        <c:axId val="775273775"/>
      </c:lineChart>
      <c:catAx>
        <c:axId val="7752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3775"/>
        <c:crosses val="autoZero"/>
        <c:auto val="1"/>
        <c:lblAlgn val="ctr"/>
        <c:lblOffset val="100"/>
        <c:noMultiLvlLbl val="0"/>
      </c:catAx>
      <c:valAx>
        <c:axId val="7752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GDP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'[1]Amber CSV uncertainty'!$AS$2</c:f>
              <c:strCache>
                <c:ptCount val="1"/>
                <c:pt idx="0">
                  <c:v>Total Deficit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'[1]Amber CSV uncertainty'!$AV$3:$AV$31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1.4692420317482628E-3</c:v>
                  </c:pt>
                  <c:pt idx="2">
                    <c:v>1.4690786712581012E-3</c:v>
                  </c:pt>
                  <c:pt idx="3">
                    <c:v>2.2952956657692793E-3</c:v>
                  </c:pt>
                  <c:pt idx="4">
                    <c:v>2.5600823050217956E-3</c:v>
                  </c:pt>
                  <c:pt idx="5">
                    <c:v>2.474091928824757E-3</c:v>
                  </c:pt>
                  <c:pt idx="6">
                    <c:v>2.5090208159994636E-3</c:v>
                  </c:pt>
                  <c:pt idx="7">
                    <c:v>2.4166332531402328E-3</c:v>
                  </c:pt>
                  <c:pt idx="8">
                    <c:v>2.6641712252208965E-3</c:v>
                  </c:pt>
                  <c:pt idx="9">
                    <c:v>2.8887667138318288E-3</c:v>
                  </c:pt>
                  <c:pt idx="10">
                    <c:v>3.1469684062605504E-3</c:v>
                  </c:pt>
                  <c:pt idx="11">
                    <c:v>4.2435367019159368E-3</c:v>
                  </c:pt>
                  <c:pt idx="12">
                    <c:v>5.4973241504472827E-3</c:v>
                  </c:pt>
                  <c:pt idx="13">
                    <c:v>7.0207825931350139E-3</c:v>
                  </c:pt>
                  <c:pt idx="14">
                    <c:v>8.8222521023292953E-3</c:v>
                  </c:pt>
                  <c:pt idx="15">
                    <c:v>1.0946398674727909E-2</c:v>
                  </c:pt>
                  <c:pt idx="16">
                    <c:v>1.3487339478502834E-2</c:v>
                  </c:pt>
                  <c:pt idx="17">
                    <c:v>1.6414298442695627E-2</c:v>
                  </c:pt>
                  <c:pt idx="18">
                    <c:v>1.9835721860943806E-2</c:v>
                  </c:pt>
                  <c:pt idx="19">
                    <c:v>2.3821950851883513E-2</c:v>
                  </c:pt>
                  <c:pt idx="20">
                    <c:v>2.8383092506590598E-2</c:v>
                  </c:pt>
                  <c:pt idx="21">
                    <c:v>3.3752284154091351E-2</c:v>
                  </c:pt>
                  <c:pt idx="22">
                    <c:v>3.9871535911468234E-2</c:v>
                  </c:pt>
                  <c:pt idx="23">
                    <c:v>4.6937922784342993E-2</c:v>
                  </c:pt>
                  <c:pt idx="24">
                    <c:v>5.5078899747521677E-2</c:v>
                  </c:pt>
                  <c:pt idx="25">
                    <c:v>6.4443292192128701E-2</c:v>
                  </c:pt>
                  <c:pt idx="26">
                    <c:v>7.5351062197277205E-2</c:v>
                  </c:pt>
                  <c:pt idx="27">
                    <c:v>8.7699647581141391E-2</c:v>
                  </c:pt>
                  <c:pt idx="28">
                    <c:v>0.10185234483904708</c:v>
                  </c:pt>
                </c:numCache>
              </c:numRef>
            </c:plus>
            <c:minus>
              <c:numRef>
                <c:f>'[1]Amber CSV uncertainty'!$AV$3:$AV$31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1.4692420317482628E-3</c:v>
                  </c:pt>
                  <c:pt idx="2">
                    <c:v>1.4690786712581012E-3</c:v>
                  </c:pt>
                  <c:pt idx="3">
                    <c:v>2.2952956657692793E-3</c:v>
                  </c:pt>
                  <c:pt idx="4">
                    <c:v>2.5600823050217956E-3</c:v>
                  </c:pt>
                  <c:pt idx="5">
                    <c:v>2.474091928824757E-3</c:v>
                  </c:pt>
                  <c:pt idx="6">
                    <c:v>2.5090208159994636E-3</c:v>
                  </c:pt>
                  <c:pt idx="7">
                    <c:v>2.4166332531402328E-3</c:v>
                  </c:pt>
                  <c:pt idx="8">
                    <c:v>2.6641712252208965E-3</c:v>
                  </c:pt>
                  <c:pt idx="9">
                    <c:v>2.8887667138318288E-3</c:v>
                  </c:pt>
                  <c:pt idx="10">
                    <c:v>3.1469684062605504E-3</c:v>
                  </c:pt>
                  <c:pt idx="11">
                    <c:v>4.2435367019159368E-3</c:v>
                  </c:pt>
                  <c:pt idx="12">
                    <c:v>5.4973241504472827E-3</c:v>
                  </c:pt>
                  <c:pt idx="13">
                    <c:v>7.0207825931350139E-3</c:v>
                  </c:pt>
                  <c:pt idx="14">
                    <c:v>8.8222521023292953E-3</c:v>
                  </c:pt>
                  <c:pt idx="15">
                    <c:v>1.0946398674727909E-2</c:v>
                  </c:pt>
                  <c:pt idx="16">
                    <c:v>1.3487339478502834E-2</c:v>
                  </c:pt>
                  <c:pt idx="17">
                    <c:v>1.6414298442695627E-2</c:v>
                  </c:pt>
                  <c:pt idx="18">
                    <c:v>1.9835721860943806E-2</c:v>
                  </c:pt>
                  <c:pt idx="19">
                    <c:v>2.3821950851883513E-2</c:v>
                  </c:pt>
                  <c:pt idx="20">
                    <c:v>2.8383092506590598E-2</c:v>
                  </c:pt>
                  <c:pt idx="21">
                    <c:v>3.3752284154091351E-2</c:v>
                  </c:pt>
                  <c:pt idx="22">
                    <c:v>3.9871535911468234E-2</c:v>
                  </c:pt>
                  <c:pt idx="23">
                    <c:v>4.6937922784342993E-2</c:v>
                  </c:pt>
                  <c:pt idx="24">
                    <c:v>5.5078899747521677E-2</c:v>
                  </c:pt>
                  <c:pt idx="25">
                    <c:v>6.4443292192128701E-2</c:v>
                  </c:pt>
                  <c:pt idx="26">
                    <c:v>7.5351062197277205E-2</c:v>
                  </c:pt>
                  <c:pt idx="27">
                    <c:v>8.7699647581141391E-2</c:v>
                  </c:pt>
                  <c:pt idx="28">
                    <c:v>0.10185234483904708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'[1]Amber CSV uncertainty'!$V$3:$V$31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'[1]Amber CSV uncertainty'!$AS$3:$AS$31</c:f>
              <c:numCache>
                <c:formatCode>General</c:formatCode>
                <c:ptCount val="29"/>
                <c:pt idx="0">
                  <c:v>5.9061338289962823E-2</c:v>
                </c:pt>
                <c:pt idx="1">
                  <c:v>4.4368917972480194E-2</c:v>
                </c:pt>
                <c:pt idx="2">
                  <c:v>7.241659893776374E-2</c:v>
                </c:pt>
                <c:pt idx="3">
                  <c:v>7.8030723957477524E-2</c:v>
                </c:pt>
                <c:pt idx="4">
                  <c:v>7.8295615562853846E-2</c:v>
                </c:pt>
                <c:pt idx="5">
                  <c:v>7.5959719061937117E-2</c:v>
                </c:pt>
                <c:pt idx="6">
                  <c:v>7.4640383536496296E-2</c:v>
                </c:pt>
                <c:pt idx="7">
                  <c:v>7.2702602988949941E-2</c:v>
                </c:pt>
                <c:pt idx="8">
                  <c:v>7.2732749215750334E-2</c:v>
                </c:pt>
                <c:pt idx="9">
                  <c:v>7.2537648207030486E-2</c:v>
                </c:pt>
                <c:pt idx="10">
                  <c:v>7.2407556351848354E-2</c:v>
                </c:pt>
                <c:pt idx="11">
                  <c:v>7.5422009278678981E-2</c:v>
                </c:pt>
                <c:pt idx="12">
                  <c:v>7.8329124071997824E-2</c:v>
                </c:pt>
                <c:pt idx="13">
                  <c:v>8.1431715276135297E-2</c:v>
                </c:pt>
                <c:pt idx="14">
                  <c:v>8.4616260120981876E-2</c:v>
                </c:pt>
                <c:pt idx="15">
                  <c:v>8.7886627221467922E-2</c:v>
                </c:pt>
                <c:pt idx="16">
                  <c:v>9.1348956672927001E-2</c:v>
                </c:pt>
                <c:pt idx="17">
                  <c:v>9.4783634136817133E-2</c:v>
                </c:pt>
                <c:pt idx="18">
                  <c:v>9.8305256529698806E-2</c:v>
                </c:pt>
                <c:pt idx="19">
                  <c:v>0.10190721082492812</c:v>
                </c:pt>
                <c:pt idx="20">
                  <c:v>0.10546996258193241</c:v>
                </c:pt>
                <c:pt idx="21">
                  <c:v>0.10923195799762229</c:v>
                </c:pt>
                <c:pt idx="22">
                  <c:v>0.1129399724061043</c:v>
                </c:pt>
                <c:pt idx="23">
                  <c:v>0.11672268650964752</c:v>
                </c:pt>
                <c:pt idx="24">
                  <c:v>0.12057243886133548</c:v>
                </c:pt>
                <c:pt idx="25">
                  <c:v>0.12448777605553871</c:v>
                </c:pt>
                <c:pt idx="26">
                  <c:v>0.12860735328196019</c:v>
                </c:pt>
                <c:pt idx="27">
                  <c:v>0.13264612477430995</c:v>
                </c:pt>
                <c:pt idx="28">
                  <c:v>0.13675194848495775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3-412A-95A9-93C0C005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276175"/>
        <c:axId val="775273775"/>
      </c:lineChart>
      <c:catAx>
        <c:axId val="7752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3775"/>
        <c:crosses val="autoZero"/>
        <c:auto val="1"/>
        <c:lblAlgn val="ctr"/>
        <c:lblOffset val="100"/>
        <c:noMultiLvlLbl val="0"/>
      </c:catAx>
      <c:valAx>
        <c:axId val="7752737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Term Baseline with High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'3.1 LT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'3.3 LT High Growth'!$B$2:$AD$2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'3.1 LT Baseline'!$B$8:$AD$8</c:f>
              <c:numCache>
                <c:formatCode>0.00%</c:formatCode>
                <c:ptCount val="29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  <c:pt idx="11">
                  <c:v>1.1016455171081299</c:v>
                </c:pt>
                <c:pt idx="12">
                  <c:v>1.1200566432456074</c:v>
                </c:pt>
                <c:pt idx="13">
                  <c:v>1.1404508634541353</c:v>
                </c:pt>
                <c:pt idx="14">
                  <c:v>1.1629224124205488</c:v>
                </c:pt>
                <c:pt idx="15">
                  <c:v>1.1874535242161914</c:v>
                </c:pt>
                <c:pt idx="16">
                  <c:v>1.2139160017491522</c:v>
                </c:pt>
                <c:pt idx="17">
                  <c:v>1.2425178090643305</c:v>
                </c:pt>
                <c:pt idx="18">
                  <c:v>1.2731354181275203</c:v>
                </c:pt>
                <c:pt idx="19">
                  <c:v>1.3057609013207836</c:v>
                </c:pt>
                <c:pt idx="20">
                  <c:v>1.3405086297930786</c:v>
                </c:pt>
                <c:pt idx="21">
                  <c:v>1.3771224689285819</c:v>
                </c:pt>
                <c:pt idx="22">
                  <c:v>1.4158453295162925</c:v>
                </c:pt>
                <c:pt idx="23">
                  <c:v>1.4565408745449662</c:v>
                </c:pt>
                <c:pt idx="24">
                  <c:v>1.4992029360154506</c:v>
                </c:pt>
                <c:pt idx="25">
                  <c:v>1.5438194575646076</c:v>
                </c:pt>
                <c:pt idx="26">
                  <c:v>1.5902270838053056</c:v>
                </c:pt>
                <c:pt idx="27">
                  <c:v>1.6387019135163181</c:v>
                </c:pt>
                <c:pt idx="28">
                  <c:v>1.6890893852299307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8-492D-A689-FDD294D6FC05}"/>
            </c:ext>
          </c:extLst>
        </c:ser>
        <c:ser>
          <c:idx val="0"/>
          <c:order val="1"/>
          <c:tx>
            <c:strRef>
              <c:f>'3.3 LT High Growth'!$A$8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'3.3 LT High Growth'!$B$2:$AD$2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'3.3 LT High Growth'!$B$8:$AD$8</c:f>
              <c:numCache>
                <c:formatCode>0.00%</c:formatCode>
                <c:ptCount val="29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  <c:pt idx="11">
                  <c:v>1.0898973137358274</c:v>
                </c:pt>
                <c:pt idx="12">
                  <c:v>1.0943631638372864</c:v>
                </c:pt>
                <c:pt idx="13">
                  <c:v>1.0967300001106433</c:v>
                </c:pt>
                <c:pt idx="14">
                  <c:v>1.1073816879755032</c:v>
                </c:pt>
                <c:pt idx="15">
                  <c:v>1.1158857713721351</c:v>
                </c:pt>
                <c:pt idx="16">
                  <c:v>1.1230283738762243</c:v>
                </c:pt>
                <c:pt idx="17">
                  <c:v>1.1290720950676274</c:v>
                </c:pt>
                <c:pt idx="18">
                  <c:v>1.1340334841357107</c:v>
                </c:pt>
                <c:pt idx="19">
                  <c:v>1.1380289713930269</c:v>
                </c:pt>
                <c:pt idx="20">
                  <c:v>1.1412681033311134</c:v>
                </c:pt>
                <c:pt idx="21">
                  <c:v>1.1436484608499549</c:v>
                </c:pt>
                <c:pt idx="22">
                  <c:v>1.1454758852309905</c:v>
                </c:pt>
                <c:pt idx="23">
                  <c:v>1.1467369151465776</c:v>
                </c:pt>
                <c:pt idx="24">
                  <c:v>1.1475266085672555</c:v>
                </c:pt>
                <c:pt idx="25">
                  <c:v>1.1479282097633738</c:v>
                </c:pt>
                <c:pt idx="26">
                  <c:v>1.1479159509796566</c:v>
                </c:pt>
                <c:pt idx="27">
                  <c:v>1.1477712757871863</c:v>
                </c:pt>
                <c:pt idx="28">
                  <c:v>1.1474622570474113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8-492D-A689-FDD294D6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7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</a:t>
            </a:r>
            <a:r>
              <a:rPr lang="en-US" baseline="0"/>
              <a:t> Climate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'3.1 LT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'3.4 Climate Change'!$B$2:$AD$2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'3.1 LT Baseline'!$B$8:$AD$8</c:f>
              <c:numCache>
                <c:formatCode>0.00%</c:formatCode>
                <c:ptCount val="29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  <c:pt idx="11">
                  <c:v>1.1016455171081299</c:v>
                </c:pt>
                <c:pt idx="12">
                  <c:v>1.1200566432456074</c:v>
                </c:pt>
                <c:pt idx="13">
                  <c:v>1.1404508634541353</c:v>
                </c:pt>
                <c:pt idx="14">
                  <c:v>1.1629224124205488</c:v>
                </c:pt>
                <c:pt idx="15">
                  <c:v>1.1874535242161914</c:v>
                </c:pt>
                <c:pt idx="16">
                  <c:v>1.2139160017491522</c:v>
                </c:pt>
                <c:pt idx="17">
                  <c:v>1.2425178090643305</c:v>
                </c:pt>
                <c:pt idx="18">
                  <c:v>1.2731354181275203</c:v>
                </c:pt>
                <c:pt idx="19">
                  <c:v>1.3057609013207836</c:v>
                </c:pt>
                <c:pt idx="20">
                  <c:v>1.3405086297930786</c:v>
                </c:pt>
                <c:pt idx="21">
                  <c:v>1.3771224689285819</c:v>
                </c:pt>
                <c:pt idx="22">
                  <c:v>1.4158453295162925</c:v>
                </c:pt>
                <c:pt idx="23">
                  <c:v>1.4565408745449662</c:v>
                </c:pt>
                <c:pt idx="24">
                  <c:v>1.4992029360154506</c:v>
                </c:pt>
                <c:pt idx="25">
                  <c:v>1.5438194575646076</c:v>
                </c:pt>
                <c:pt idx="26">
                  <c:v>1.5902270838053056</c:v>
                </c:pt>
                <c:pt idx="27">
                  <c:v>1.6387019135163181</c:v>
                </c:pt>
                <c:pt idx="28">
                  <c:v>1.6890893852299307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A-4FF5-836C-CAC388D5E33B}"/>
            </c:ext>
          </c:extLst>
        </c:ser>
        <c:ser>
          <c:idx val="0"/>
          <c:order val="1"/>
          <c:tx>
            <c:strRef>
              <c:f>'3.4 Climate Change'!$A$8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'3.4 Climate Change'!$B$2:$AD$2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'3.4 Climate Change'!$B$8:$AD$8</c:f>
              <c:numCache>
                <c:formatCode>0.00%</c:formatCode>
                <c:ptCount val="29"/>
                <c:pt idx="0">
                  <c:v>0.93531598513011149</c:v>
                </c:pt>
                <c:pt idx="1">
                  <c:v>0.94382388696065833</c:v>
                </c:pt>
                <c:pt idx="2">
                  <c:v>0.94236089959637204</c:v>
                </c:pt>
                <c:pt idx="3">
                  <c:v>0.95810155626066318</c:v>
                </c:pt>
                <c:pt idx="4">
                  <c:v>0.97778233139380299</c:v>
                </c:pt>
                <c:pt idx="5">
                  <c:v>0.99949830815471608</c:v>
                </c:pt>
                <c:pt idx="6">
                  <c:v>1.0198292462398997</c:v>
                </c:pt>
                <c:pt idx="7">
                  <c:v>1.0406836008383407</c:v>
                </c:pt>
                <c:pt idx="8">
                  <c:v>1.0593377090011136</c:v>
                </c:pt>
                <c:pt idx="9">
                  <c:v>1.0776010496587074</c:v>
                </c:pt>
                <c:pt idx="10">
                  <c:v>1.0982474680976095</c:v>
                </c:pt>
                <c:pt idx="11">
                  <c:v>1.1178208622425456</c:v>
                </c:pt>
                <c:pt idx="12">
                  <c:v>1.1395233432634349</c:v>
                </c:pt>
                <c:pt idx="13">
                  <c:v>1.1630400539228656</c:v>
                </c:pt>
                <c:pt idx="14">
                  <c:v>1.1884751956439266</c:v>
                </c:pt>
                <c:pt idx="15">
                  <c:v>1.2158189382681901</c:v>
                </c:pt>
                <c:pt idx="16">
                  <c:v>1.2449477259625639</c:v>
                </c:pt>
                <c:pt idx="17">
                  <c:v>1.2760817644772762</c:v>
                </c:pt>
                <c:pt idx="18">
                  <c:v>1.3091019401039108</c:v>
                </c:pt>
                <c:pt idx="19">
                  <c:v>1.3526197648198566</c:v>
                </c:pt>
                <c:pt idx="20">
                  <c:v>1.3973249579837406</c:v>
                </c:pt>
                <c:pt idx="21">
                  <c:v>1.4434127020513277</c:v>
                </c:pt>
                <c:pt idx="22">
                  <c:v>1.4911416249485239</c:v>
                </c:pt>
                <c:pt idx="23">
                  <c:v>1.5403961172053617</c:v>
                </c:pt>
                <c:pt idx="24">
                  <c:v>1.5911931798745571</c:v>
                </c:pt>
                <c:pt idx="25">
                  <c:v>1.6435425106953392</c:v>
                </c:pt>
                <c:pt idx="26">
                  <c:v>1.6972911363051544</c:v>
                </c:pt>
                <c:pt idx="27">
                  <c:v>1.7527525716467018</c:v>
                </c:pt>
                <c:pt idx="28">
                  <c:v>1.8097819771843888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A-4FF5-836C-CAC388D5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2010-2050</a:t>
            </a:r>
            <a:r>
              <a:rPr lang="en-GB" baseline="0"/>
              <a:t>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'3.5 2010-2050'!$A$3</c:f>
              <c:strCache>
                <c:ptCount val="1"/>
                <c:pt idx="0">
                  <c:v>Historic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'3.5 2010-2050'!$B$2:$AP$2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'3.5 2010-2050'!$B$3:$AP$3</c:f>
              <c:numCache>
                <c:formatCode>0.00%</c:formatCode>
                <c:ptCount val="41"/>
                <c:pt idx="0">
                  <c:v>0.77897435897435896</c:v>
                </c:pt>
                <c:pt idx="1">
                  <c:v>0.77939337085678539</c:v>
                </c:pt>
                <c:pt idx="2">
                  <c:v>0.79989476563566519</c:v>
                </c:pt>
                <c:pt idx="3">
                  <c:v>0.81739171149250078</c:v>
                </c:pt>
                <c:pt idx="4">
                  <c:v>0.82743259494453048</c:v>
                </c:pt>
                <c:pt idx="5">
                  <c:v>0.84971967509473634</c:v>
                </c:pt>
                <c:pt idx="6">
                  <c:v>0.86635270565111644</c:v>
                </c:pt>
                <c:pt idx="7">
                  <c:v>0.86091125153090642</c:v>
                </c:pt>
                <c:pt idx="8">
                  <c:v>0.86508768408977932</c:v>
                </c:pt>
                <c:pt idx="9">
                  <c:v>0.87057368592389439</c:v>
                </c:pt>
                <c:pt idx="10">
                  <c:v>0.85939106369086826</c:v>
                </c:pt>
                <c:pt idx="11">
                  <c:v>0.89</c:v>
                </c:pt>
                <c:pt idx="12">
                  <c:v>0.93531598513011149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8-466C-8C0A-7DDA00D77358}"/>
            </c:ext>
          </c:extLst>
        </c:ser>
        <c:ser>
          <c:idx val="1"/>
          <c:order val="1"/>
          <c:tx>
            <c:strRef>
              <c:f>'3.5 2010-2050'!$A$4</c:f>
              <c:strCache>
                <c:ptCount val="1"/>
                <c:pt idx="0">
                  <c:v>Short Term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'3.5 2010-2050'!$B$2:$AP$2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'3.5 2010-2050'!$B$4:$AP$4</c:f>
              <c:numCache>
                <c:formatCode>General</c:formatCode>
                <c:ptCount val="41"/>
                <c:pt idx="12" formatCode="0.00%">
                  <c:v>0.93531598513011149</c:v>
                </c:pt>
                <c:pt idx="13" formatCode="0.00%">
                  <c:v>0.94253774731760609</c:v>
                </c:pt>
                <c:pt idx="14" formatCode="0.00%">
                  <c:v>0.93991110980008208</c:v>
                </c:pt>
                <c:pt idx="15" formatCode="0.00%">
                  <c:v>0.9545758686825514</c:v>
                </c:pt>
                <c:pt idx="16" formatCode="0.00%">
                  <c:v>0.9732390128558237</c:v>
                </c:pt>
                <c:pt idx="17" formatCode="0.00%">
                  <c:v>0.99398301202257067</c:v>
                </c:pt>
                <c:pt idx="18" formatCode="0.00%">
                  <c:v>1.0133952747532748</c:v>
                </c:pt>
                <c:pt idx="19" formatCode="0.00%">
                  <c:v>1.03337036593197</c:v>
                </c:pt>
                <c:pt idx="20" formatCode="0.00%">
                  <c:v>1.0512003126030411</c:v>
                </c:pt>
                <c:pt idx="21" formatCode="0.00%">
                  <c:v>1.068682192468186</c:v>
                </c:pt>
                <c:pt idx="22" formatCode="0.00%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8-466C-8C0A-7DDA00D77358}"/>
            </c:ext>
          </c:extLst>
        </c:ser>
        <c:ser>
          <c:idx val="2"/>
          <c:order val="2"/>
          <c:tx>
            <c:strRef>
              <c:f>'3.5 2010-2050'!$A$5</c:f>
              <c:strCache>
                <c:ptCount val="1"/>
                <c:pt idx="0">
                  <c:v>Long Term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'3.5 2010-2050'!$B$2:$AP$2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'3.5 2010-2050'!$B$5:$AP$5</c:f>
              <c:numCache>
                <c:formatCode>General</c:formatCode>
                <c:ptCount val="41"/>
                <c:pt idx="22" formatCode="0.00%">
                  <c:v>1.0855320466805067</c:v>
                </c:pt>
                <c:pt idx="23" formatCode="0.00%">
                  <c:v>1.1016455171081299</c:v>
                </c:pt>
                <c:pt idx="24" formatCode="0.00%">
                  <c:v>1.1200566432456074</c:v>
                </c:pt>
                <c:pt idx="25" formatCode="0.00%">
                  <c:v>1.1404508634541353</c:v>
                </c:pt>
                <c:pt idx="26" formatCode="0.00%">
                  <c:v>1.1629224124205488</c:v>
                </c:pt>
                <c:pt idx="27" formatCode="0.00%">
                  <c:v>1.1874535242161914</c:v>
                </c:pt>
                <c:pt idx="28" formatCode="0.00%">
                  <c:v>1.2139160017491522</c:v>
                </c:pt>
                <c:pt idx="29" formatCode="0.00%">
                  <c:v>1.2425178090643305</c:v>
                </c:pt>
                <c:pt idx="30" formatCode="0.00%">
                  <c:v>1.2731354181275203</c:v>
                </c:pt>
                <c:pt idx="31" formatCode="0.00%">
                  <c:v>1.3057609013207836</c:v>
                </c:pt>
                <c:pt idx="32" formatCode="0.00%">
                  <c:v>1.3405086297930786</c:v>
                </c:pt>
                <c:pt idx="33" formatCode="0.00%">
                  <c:v>1.3771224689285819</c:v>
                </c:pt>
                <c:pt idx="34" formatCode="0.00%">
                  <c:v>1.4158453295162925</c:v>
                </c:pt>
                <c:pt idx="35" formatCode="0.00%">
                  <c:v>1.4565408745449662</c:v>
                </c:pt>
                <c:pt idx="36" formatCode="0.00%">
                  <c:v>1.4992029360154506</c:v>
                </c:pt>
                <c:pt idx="37" formatCode="0.00%">
                  <c:v>1.5438194575646076</c:v>
                </c:pt>
                <c:pt idx="38" formatCode="0.00%">
                  <c:v>1.5902270838053056</c:v>
                </c:pt>
                <c:pt idx="39" formatCode="0.00%">
                  <c:v>1.6387019135163181</c:v>
                </c:pt>
                <c:pt idx="40" formatCode="0.00%">
                  <c:v>1.6890893852299307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8-466C-8C0A-7DDA00D7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883695"/>
        <c:axId val="1614884175"/>
      </c:lineChart>
      <c:catAx>
        <c:axId val="161488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84175"/>
        <c:crosses val="autoZero"/>
        <c:auto val="1"/>
        <c:lblAlgn val="ctr"/>
        <c:lblOffset val="100"/>
        <c:noMultiLvlLbl val="0"/>
      </c:catAx>
      <c:valAx>
        <c:axId val="1614884175"/>
        <c:scaling>
          <c:orientation val="minMax"/>
          <c:max val="1.750000000000000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83695"/>
        <c:crosses val="autoZero"/>
        <c:crossBetween val="midCat"/>
        <c:majorUnit val="0.1"/>
        <c:min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ST Uncertainty '!$G$3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'1.2 ST Uncertainty '!$C$51:$C$61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2.700000000000001E-3</c:v>
                  </c:pt>
                  <c:pt idx="2">
                    <c:v>4.0699999999999972E-3</c:v>
                  </c:pt>
                  <c:pt idx="3">
                    <c:v>4.5374999999999999E-3</c:v>
                  </c:pt>
                  <c:pt idx="4">
                    <c:v>5.0578000000000012E-3</c:v>
                  </c:pt>
                  <c:pt idx="5">
                    <c:v>5.7246310000000009E-3</c:v>
                  </c:pt>
                  <c:pt idx="6">
                    <c:v>6.4742502000000035E-3</c:v>
                  </c:pt>
                  <c:pt idx="7">
                    <c:v>7.281115710000001E-3</c:v>
                  </c:pt>
                  <c:pt idx="8">
                    <c:v>8.1456374780000049E-3</c:v>
                  </c:pt>
                  <c:pt idx="9">
                    <c:v>9.0673806663000046E-3</c:v>
                  </c:pt>
                  <c:pt idx="10">
                    <c:v>1.0068436640570007E-2</c:v>
                  </c:pt>
                </c:numCache>
              </c:numRef>
            </c:plus>
            <c:minus>
              <c:numRef>
                <c:f>'1.2 ST Uncertainty '!$C$51:$C$61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2.700000000000001E-3</c:v>
                  </c:pt>
                  <c:pt idx="2">
                    <c:v>4.0699999999999972E-3</c:v>
                  </c:pt>
                  <c:pt idx="3">
                    <c:v>4.5374999999999999E-3</c:v>
                  </c:pt>
                  <c:pt idx="4">
                    <c:v>5.0578000000000012E-3</c:v>
                  </c:pt>
                  <c:pt idx="5">
                    <c:v>5.7246310000000009E-3</c:v>
                  </c:pt>
                  <c:pt idx="6">
                    <c:v>6.4742502000000035E-3</c:v>
                  </c:pt>
                  <c:pt idx="7">
                    <c:v>7.281115710000001E-3</c:v>
                  </c:pt>
                  <c:pt idx="8">
                    <c:v>8.1456374780000049E-3</c:v>
                  </c:pt>
                  <c:pt idx="9">
                    <c:v>9.0673806663000046E-3</c:v>
                  </c:pt>
                  <c:pt idx="10">
                    <c:v>1.0068436640570007E-2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'1.2 ST Uncertainty '!$A$4:$A$14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'1.2 ST Uncertainty '!$G$4:$G$14</c:f>
              <c:numCache>
                <c:formatCode>0.00%</c:formatCode>
                <c:ptCount val="11"/>
                <c:pt idx="0">
                  <c:v>7.9000000000000001E-2</c:v>
                </c:pt>
                <c:pt idx="1">
                  <c:v>5.1999999999999998E-2</c:v>
                </c:pt>
                <c:pt idx="2">
                  <c:v>4.2000000000000003E-2</c:v>
                </c:pt>
                <c:pt idx="3">
                  <c:v>4.1500000000000002E-2</c:v>
                </c:pt>
                <c:pt idx="4">
                  <c:v>4.1000000000000002E-2</c:v>
                </c:pt>
                <c:pt idx="5">
                  <c:v>3.9899999999999998E-2</c:v>
                </c:pt>
                <c:pt idx="6">
                  <c:v>3.8800000000000001E-2</c:v>
                </c:pt>
                <c:pt idx="7">
                  <c:v>3.7900000000000003E-2</c:v>
                </c:pt>
                <c:pt idx="8">
                  <c:v>3.7199999999999997E-2</c:v>
                </c:pt>
                <c:pt idx="9">
                  <c:v>3.6700000000000003E-2</c:v>
                </c:pt>
                <c:pt idx="1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B-49AA-B461-0FBF7F4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21119"/>
        <c:axId val="1574608159"/>
      </c:lineChart>
      <c:catAx>
        <c:axId val="1574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8159"/>
        <c:crosses val="autoZero"/>
        <c:auto val="1"/>
        <c:lblAlgn val="ctr"/>
        <c:lblOffset val="100"/>
        <c:noMultiLvlLbl val="0"/>
      </c:catAx>
      <c:valAx>
        <c:axId val="1574608159"/>
        <c:scaling>
          <c:orientation val="minMax"/>
          <c:max val="8.0000000000000016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Rate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ST Uncertainty '!$J$3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'1.2 ST Uncertainty '!$E$51:$E$61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5.0000000000001432E-5</c:v>
                  </c:pt>
                  <c:pt idx="2">
                    <c:v>8.7999999999999884E-4</c:v>
                  </c:pt>
                  <c:pt idx="3">
                    <c:v>1.9360000000000002E-3</c:v>
                  </c:pt>
                  <c:pt idx="4">
                    <c:v>2.1961500000000009E-3</c:v>
                  </c:pt>
                  <c:pt idx="5">
                    <c:v>1.9618939999999988E-3</c:v>
                  </c:pt>
                  <c:pt idx="6">
                    <c:v>1.8198763000000021E-3</c:v>
                  </c:pt>
                  <c:pt idx="7">
                    <c:v>1.4881112399999993E-3</c:v>
                  </c:pt>
                  <c:pt idx="8">
                    <c:v>1.5005121669999996E-3</c:v>
                  </c:pt>
                  <c:pt idx="9">
                    <c:v>1.5433839431999996E-3</c:v>
                  </c:pt>
                  <c:pt idx="10">
                    <c:v>1.6034044298800024E-3</c:v>
                  </c:pt>
                </c:numCache>
              </c:numRef>
            </c:plus>
            <c:minus>
              <c:numRef>
                <c:f>'1.2 ST Uncertainty '!$E$51:$E$61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5.0000000000001432E-5</c:v>
                  </c:pt>
                  <c:pt idx="2">
                    <c:v>8.7999999999999884E-4</c:v>
                  </c:pt>
                  <c:pt idx="3">
                    <c:v>1.9360000000000002E-3</c:v>
                  </c:pt>
                  <c:pt idx="4">
                    <c:v>2.1961500000000009E-3</c:v>
                  </c:pt>
                  <c:pt idx="5">
                    <c:v>1.9618939999999988E-3</c:v>
                  </c:pt>
                  <c:pt idx="6">
                    <c:v>1.8198763000000021E-3</c:v>
                  </c:pt>
                  <c:pt idx="7">
                    <c:v>1.4881112399999993E-3</c:v>
                  </c:pt>
                  <c:pt idx="8">
                    <c:v>1.5005121669999996E-3</c:v>
                  </c:pt>
                  <c:pt idx="9">
                    <c:v>1.5433839431999996E-3</c:v>
                  </c:pt>
                  <c:pt idx="10">
                    <c:v>1.6034044298800024E-3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'1.2 ST Uncertainty '!$A$4:$A$14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'1.2 ST Uncertainty '!$J$4:$J$14</c:f>
              <c:numCache>
                <c:formatCode>0.00%</c:formatCode>
                <c:ptCount val="11"/>
                <c:pt idx="0">
                  <c:v>4.4499999999999998E-2</c:v>
                </c:pt>
                <c:pt idx="1">
                  <c:v>4.4999999999999998E-2</c:v>
                </c:pt>
                <c:pt idx="2">
                  <c:v>5.2499999999999998E-2</c:v>
                </c:pt>
                <c:pt idx="3">
                  <c:v>6.0499999999999998E-2</c:v>
                </c:pt>
                <c:pt idx="4">
                  <c:v>6.0999999999999999E-2</c:v>
                </c:pt>
                <c:pt idx="5">
                  <c:v>5.79E-2</c:v>
                </c:pt>
                <c:pt idx="6">
                  <c:v>5.5800000000000002E-2</c:v>
                </c:pt>
                <c:pt idx="7">
                  <c:v>5.2900000000000003E-2</c:v>
                </c:pt>
                <c:pt idx="8">
                  <c:v>5.2200000000000003E-2</c:v>
                </c:pt>
                <c:pt idx="9">
                  <c:v>5.1700000000000003E-2</c:v>
                </c:pt>
                <c:pt idx="10">
                  <c:v>5.1299999999999998E-2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5-4BB6-9B8B-0AFAC7F5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21119"/>
        <c:axId val="1574608159"/>
      </c:lineChart>
      <c:catAx>
        <c:axId val="1574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8159"/>
        <c:crosses val="autoZero"/>
        <c:auto val="1"/>
        <c:lblAlgn val="ctr"/>
        <c:lblOffset val="100"/>
        <c:noMultiLvlLbl val="0"/>
      </c:catAx>
      <c:valAx>
        <c:axId val="1574608159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Growth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ST Uncertainty '!$M$3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'1.2 ST Uncertainty '!$G$51:$G$61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9.9999999999999829E-5</c:v>
                  </c:pt>
                  <c:pt idx="2">
                    <c:v>4.4000000000000029E-4</c:v>
                  </c:pt>
                  <c:pt idx="3">
                    <c:v>1.8150000000000006E-3</c:v>
                  </c:pt>
                  <c:pt idx="4">
                    <c:v>2.1295999999999989E-3</c:v>
                  </c:pt>
                  <c:pt idx="5">
                    <c:v>2.0497400000000013E-3</c:v>
                  </c:pt>
                  <c:pt idx="6">
                    <c:v>2.0936630000000008E-3</c:v>
                  </c:pt>
                  <c:pt idx="7">
                    <c:v>1.9487171000000005E-3</c:v>
                  </c:pt>
                  <c:pt idx="8">
                    <c:v>2.1435888100000012E-3</c:v>
                  </c:pt>
                  <c:pt idx="9">
                    <c:v>2.3579476910000011E-3</c:v>
                  </c:pt>
                  <c:pt idx="10">
                    <c:v>2.5937424601000011E-3</c:v>
                  </c:pt>
                </c:numCache>
              </c:numRef>
            </c:plus>
            <c:minus>
              <c:numRef>
                <c:f>'1.2 ST Uncertainty '!$G$51:$G$61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9.9999999999999829E-5</c:v>
                  </c:pt>
                  <c:pt idx="2">
                    <c:v>4.4000000000000029E-4</c:v>
                  </c:pt>
                  <c:pt idx="3">
                    <c:v>1.8150000000000006E-3</c:v>
                  </c:pt>
                  <c:pt idx="4">
                    <c:v>2.1295999999999989E-3</c:v>
                  </c:pt>
                  <c:pt idx="5">
                    <c:v>2.0497400000000013E-3</c:v>
                  </c:pt>
                  <c:pt idx="6">
                    <c:v>2.0936630000000008E-3</c:v>
                  </c:pt>
                  <c:pt idx="7">
                    <c:v>1.9487171000000005E-3</c:v>
                  </c:pt>
                  <c:pt idx="8">
                    <c:v>2.1435888100000012E-3</c:v>
                  </c:pt>
                  <c:pt idx="9">
                    <c:v>2.3579476910000011E-3</c:v>
                  </c:pt>
                  <c:pt idx="10">
                    <c:v>2.5937424601000011E-3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'1.2 ST Uncertainty '!$A$4:$A$14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'1.2 ST Uncertainty '!$M$4:$M$14</c:f>
              <c:numCache>
                <c:formatCode>0.00%</c:formatCode>
                <c:ptCount val="11"/>
                <c:pt idx="0">
                  <c:v>4.0000000000000001E-3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1.9E-2</c:v>
                </c:pt>
                <c:pt idx="4">
                  <c:v>0.02</c:v>
                </c:pt>
                <c:pt idx="5">
                  <c:v>1.7999999999999999E-2</c:v>
                </c:pt>
                <c:pt idx="6">
                  <c:v>1.7000000000000001E-2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5-4D07-A5AF-D45B83FB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21119"/>
        <c:axId val="1574608159"/>
      </c:lineChart>
      <c:catAx>
        <c:axId val="1574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8159"/>
        <c:crosses val="autoZero"/>
        <c:auto val="1"/>
        <c:lblAlgn val="ctr"/>
        <c:lblOffset val="100"/>
        <c:noMultiLvlLbl val="0"/>
      </c:catAx>
      <c:valAx>
        <c:axId val="15746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Government</a:t>
            </a:r>
            <a:r>
              <a:rPr lang="en-US" baseline="0"/>
              <a:t> Debt to GDP</a:t>
            </a:r>
            <a:r>
              <a:rPr lang="en-US"/>
              <a:t>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ST Uncertainty '!$P$3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'1.2 ST Uncertainty '!$I$51:$I$61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7.2217621874948179E-4</c:v>
                  </c:pt>
                  <c:pt idx="2">
                    <c:v>1.2998575543211599E-3</c:v>
                  </c:pt>
                  <c:pt idx="3">
                    <c:v>3.7602892195984783E-3</c:v>
                  </c:pt>
                  <c:pt idx="4">
                    <c:v>9.1838731318506506E-3</c:v>
                  </c:pt>
                  <c:pt idx="5">
                    <c:v>1.8691699852360633E-2</c:v>
                  </c:pt>
                  <c:pt idx="6">
                    <c:v>3.3135617510696824E-2</c:v>
                  </c:pt>
                  <c:pt idx="7">
                    <c:v>5.3820110952538691E-2</c:v>
                  </c:pt>
                  <c:pt idx="8">
                    <c:v>8.1784699104642256E-2</c:v>
                  </c:pt>
                  <c:pt idx="9">
                    <c:v>0.11855139998331021</c:v>
                  </c:pt>
                  <c:pt idx="10">
                    <c:v>0.1658267015300281</c:v>
                  </c:pt>
                </c:numCache>
              </c:numRef>
            </c:plus>
            <c:minus>
              <c:numRef>
                <c:f>'1.2 ST Uncertainty '!$I$51:$I$61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7.2217621874948179E-4</c:v>
                  </c:pt>
                  <c:pt idx="2">
                    <c:v>1.2998575543211599E-3</c:v>
                  </c:pt>
                  <c:pt idx="3">
                    <c:v>3.7602892195984783E-3</c:v>
                  </c:pt>
                  <c:pt idx="4">
                    <c:v>9.1838731318506506E-3</c:v>
                  </c:pt>
                  <c:pt idx="5">
                    <c:v>1.8691699852360633E-2</c:v>
                  </c:pt>
                  <c:pt idx="6">
                    <c:v>3.3135617510696824E-2</c:v>
                  </c:pt>
                  <c:pt idx="7">
                    <c:v>5.3820110952538691E-2</c:v>
                  </c:pt>
                  <c:pt idx="8">
                    <c:v>8.1784699104642256E-2</c:v>
                  </c:pt>
                  <c:pt idx="9">
                    <c:v>0.11855139998331021</c:v>
                  </c:pt>
                  <c:pt idx="10">
                    <c:v>0.1658267015300281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'1.2 ST Uncertainty '!$A$4:$A$14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'1.2 ST Uncertainty '!$P$4:$P$14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7-4F27-9867-FB94A8D8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21119"/>
        <c:axId val="1574608159"/>
      </c:lineChart>
      <c:catAx>
        <c:axId val="1574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8159"/>
        <c:crosses val="autoZero"/>
        <c:auto val="1"/>
        <c:lblAlgn val="ctr"/>
        <c:lblOffset val="100"/>
        <c:noMultiLvlLbl val="0"/>
      </c:catAx>
      <c:valAx>
        <c:axId val="1574608159"/>
        <c:scaling>
          <c:orientation val="minMax"/>
          <c:max val="1.254999999999999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Debto to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Deficit</a:t>
            </a:r>
            <a:r>
              <a:rPr lang="en-US"/>
              <a:t>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ST Uncertainty '!$S$3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'1.2 ST Uncertainty '!$K$51:$K$61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1.4692420317482593E-3</c:v>
                  </c:pt>
                  <c:pt idx="2">
                    <c:v>1.4690786712581033E-3</c:v>
                  </c:pt>
                  <c:pt idx="3">
                    <c:v>2.2952956657692758E-3</c:v>
                  </c:pt>
                  <c:pt idx="4">
                    <c:v>2.5600823050217908E-3</c:v>
                  </c:pt>
                  <c:pt idx="5">
                    <c:v>2.4740919288247509E-3</c:v>
                  </c:pt>
                  <c:pt idx="6">
                    <c:v>2.5090208159994631E-3</c:v>
                  </c:pt>
                  <c:pt idx="7">
                    <c:v>2.4166332531402324E-3</c:v>
                  </c:pt>
                  <c:pt idx="8">
                    <c:v>2.6641712252208904E-3</c:v>
                  </c:pt>
                  <c:pt idx="9">
                    <c:v>2.8887667138318279E-3</c:v>
                  </c:pt>
                  <c:pt idx="10">
                    <c:v>3.146968406260553E-3</c:v>
                  </c:pt>
                </c:numCache>
              </c:numRef>
            </c:plus>
            <c:minus>
              <c:numRef>
                <c:f>'1.2 ST Uncertainty '!$K$51:$K$61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1.4692420317482593E-3</c:v>
                  </c:pt>
                  <c:pt idx="2">
                    <c:v>1.4690786712581033E-3</c:v>
                  </c:pt>
                  <c:pt idx="3">
                    <c:v>2.2952956657692758E-3</c:v>
                  </c:pt>
                  <c:pt idx="4">
                    <c:v>2.5600823050217908E-3</c:v>
                  </c:pt>
                  <c:pt idx="5">
                    <c:v>2.4740919288247509E-3</c:v>
                  </c:pt>
                  <c:pt idx="6">
                    <c:v>2.5090208159994631E-3</c:v>
                  </c:pt>
                  <c:pt idx="7">
                    <c:v>2.4166332531402324E-3</c:v>
                  </c:pt>
                  <c:pt idx="8">
                    <c:v>2.6641712252208904E-3</c:v>
                  </c:pt>
                  <c:pt idx="9">
                    <c:v>2.8887667138318279E-3</c:v>
                  </c:pt>
                  <c:pt idx="10">
                    <c:v>3.146968406260553E-3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'1.2 ST Uncertainty '!$A$4:$A$14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'1.2 ST Uncertainty '!$S$4:$S$14</c:f>
              <c:numCache>
                <c:formatCode>0.00%</c:formatCode>
                <c:ptCount val="11"/>
                <c:pt idx="0">
                  <c:v>5.9061338289962823E-2</c:v>
                </c:pt>
                <c:pt idx="1">
                  <c:v>4.4368917972480194E-2</c:v>
                </c:pt>
                <c:pt idx="2">
                  <c:v>7.241659893776374E-2</c:v>
                </c:pt>
                <c:pt idx="3">
                  <c:v>7.8030723957477524E-2</c:v>
                </c:pt>
                <c:pt idx="4">
                  <c:v>7.8295615562853846E-2</c:v>
                </c:pt>
                <c:pt idx="5">
                  <c:v>7.5959719061937117E-2</c:v>
                </c:pt>
                <c:pt idx="6">
                  <c:v>7.4640383536496296E-2</c:v>
                </c:pt>
                <c:pt idx="7">
                  <c:v>7.2702602988949941E-2</c:v>
                </c:pt>
                <c:pt idx="8">
                  <c:v>7.2732749215750334E-2</c:v>
                </c:pt>
                <c:pt idx="9">
                  <c:v>7.2537648207030486E-2</c:v>
                </c:pt>
                <c:pt idx="10">
                  <c:v>7.2407556351848354E-2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1-4EC8-9634-A1FAA423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21119"/>
        <c:axId val="1574608159"/>
      </c:lineChart>
      <c:catAx>
        <c:axId val="15746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8159"/>
        <c:crosses val="autoZero"/>
        <c:auto val="1"/>
        <c:lblAlgn val="ctr"/>
        <c:lblOffset val="100"/>
        <c:noMultiLvlLbl val="0"/>
      </c:catAx>
      <c:valAx>
        <c:axId val="1574608159"/>
        <c:scaling>
          <c:orientation val="minMax"/>
          <c:max val="8.500000000000002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Term High Gorwth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'1.3 ST High Growth'!$B$2:$L$2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A12-A1AB-55556FAE3DF4}"/>
            </c:ext>
          </c:extLst>
        </c:ser>
        <c:ser>
          <c:idx val="1"/>
          <c:order val="1"/>
          <c:tx>
            <c:strRef>
              <c:f>'1.3 ST High Growth'!$A$8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'1.3 ST High Growth'!$B$2:$L$2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'1.3 ST High Growth'!$B$8:$L$8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0.94742883363392227</c:v>
                </c:pt>
                <c:pt idx="4">
                  <c:v>0.95879253770431661</c:v>
                </c:pt>
                <c:pt idx="5">
                  <c:v>0.96949029948103427</c:v>
                </c:pt>
                <c:pt idx="6">
                  <c:v>0.97682329072733154</c:v>
                </c:pt>
                <c:pt idx="7">
                  <c:v>0.9816109438733619</c:v>
                </c:pt>
                <c:pt idx="8">
                  <c:v>0.98295791850411707</c:v>
                </c:pt>
                <c:pt idx="9">
                  <c:v>0.98266146740011961</c:v>
                </c:pt>
                <c:pt idx="10">
                  <c:v>0.98048907284041109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A12-A1AB-55556FAE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15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Term Worse Case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ST Baseline'!$A$8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'1.4 ST worse case'!$B$2:$L$2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'1.1 ST Baseline'!$B$8:$L$8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0.9545758686825514</c:v>
                </c:pt>
                <c:pt idx="4">
                  <c:v>0.9732390128558237</c:v>
                </c:pt>
                <c:pt idx="5">
                  <c:v>0.99398301202257067</c:v>
                </c:pt>
                <c:pt idx="6">
                  <c:v>1.0133952747532748</c:v>
                </c:pt>
                <c:pt idx="7">
                  <c:v>1.03337036593197</c:v>
                </c:pt>
                <c:pt idx="8">
                  <c:v>1.0512003126030411</c:v>
                </c:pt>
                <c:pt idx="9">
                  <c:v>1.068682192468186</c:v>
                </c:pt>
                <c:pt idx="10">
                  <c:v>1.0855320466805067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C-4ED8-B881-545045715833}"/>
            </c:ext>
          </c:extLst>
        </c:ser>
        <c:ser>
          <c:idx val="1"/>
          <c:order val="1"/>
          <c:tx>
            <c:strRef>
              <c:f>'1.4 ST worse case'!$A$8</c:f>
              <c:strCache>
                <c:ptCount val="1"/>
                <c:pt idx="0">
                  <c:v>Total Government Debt to GDP ratio</c:v>
                </c:pt>
              </c:strCache>
            </c:strRef>
          </c:tx>
          <c:spPr>
            <a:ln w="190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'1.4 ST worse case'!$B$2:$L$2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'1.4 ST worse case'!$B$8:$L$8</c:f>
              <c:numCache>
                <c:formatCode>0.00%</c:formatCode>
                <c:ptCount val="11"/>
                <c:pt idx="0">
                  <c:v>0.93531598513011149</c:v>
                </c:pt>
                <c:pt idx="1">
                  <c:v>0.94253774731760609</c:v>
                </c:pt>
                <c:pt idx="2">
                  <c:v>0.93991110980008208</c:v>
                </c:pt>
                <c:pt idx="3">
                  <c:v>0.98475458048428577</c:v>
                </c:pt>
                <c:pt idx="4">
                  <c:v>1.0587265913211239</c:v>
                </c:pt>
                <c:pt idx="5">
                  <c:v>1.1348669201730983</c:v>
                </c:pt>
                <c:pt idx="6">
                  <c:v>1.2154598419462588</c:v>
                </c:pt>
                <c:pt idx="7">
                  <c:v>1.3005591208044984</c:v>
                </c:pt>
                <c:pt idx="8">
                  <c:v>1.3904007903114159</c:v>
                </c:pt>
                <c:pt idx="9">
                  <c:v>1.4852187808906698</c:v>
                </c:pt>
                <c:pt idx="10">
                  <c:v>1.5849817053733535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C-4ED8-B881-54504571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4927"/>
        <c:axId val="1367415407"/>
      </c:lineChart>
      <c:catAx>
        <c:axId val="13674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5407"/>
        <c:crosses val="autoZero"/>
        <c:auto val="1"/>
        <c:lblAlgn val="ctr"/>
        <c:lblOffset val="100"/>
        <c:noMultiLvlLbl val="0"/>
      </c:catAx>
      <c:valAx>
        <c:axId val="1367415407"/>
        <c:scaling>
          <c:orientation val="minMax"/>
          <c:max val="1.65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Debt-to-GDP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30480</xdr:rowOff>
    </xdr:from>
    <xdr:to>
      <xdr:col>12</xdr:col>
      <xdr:colOff>19050</xdr:colOff>
      <xdr:row>85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9F785-A046-6400-3DFC-E54CC6BF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41563</xdr:rowOff>
    </xdr:from>
    <xdr:to>
      <xdr:col>11</xdr:col>
      <xdr:colOff>573741</xdr:colOff>
      <xdr:row>74</xdr:row>
      <xdr:rowOff>8965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22957C3F-AA6B-4805-852F-F5460AAF6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60960</xdr:rowOff>
    </xdr:from>
    <xdr:to>
      <xdr:col>11</xdr:col>
      <xdr:colOff>762000</xdr:colOff>
      <xdr:row>77</xdr:row>
      <xdr:rowOff>91440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39B0F24-005F-478A-888F-5242500DB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91440</xdr:rowOff>
    </xdr:from>
    <xdr:to>
      <xdr:col>29</xdr:col>
      <xdr:colOff>853440</xdr:colOff>
      <xdr:row>91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2A8DB-E27B-4427-80E3-1B5E0A84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38101</xdr:rowOff>
    </xdr:from>
    <xdr:to>
      <xdr:col>9</xdr:col>
      <xdr:colOff>138545</xdr:colOff>
      <xdr:row>51</xdr:row>
      <xdr:rowOff>76201</xdr:rowOff>
    </xdr:to>
    <xdr:graphicFrame macro="">
      <xdr:nvGraphicFramePr>
        <xdr:cNvPr id="61" name="Chart 7">
          <a:extLst>
            <a:ext uri="{FF2B5EF4-FFF2-40B4-BE49-F238E27FC236}">
              <a16:creationId xmlns:a16="http://schemas.microsoft.com/office/drawing/2014/main" id="{39FA537B-7F6A-4A90-AF24-D0E9C491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32</xdr:row>
      <xdr:rowOff>0</xdr:rowOff>
    </xdr:from>
    <xdr:to>
      <xdr:col>20</xdr:col>
      <xdr:colOff>30480</xdr:colOff>
      <xdr:row>51</xdr:row>
      <xdr:rowOff>57150</xdr:rowOff>
    </xdr:to>
    <xdr:graphicFrame macro="">
      <xdr:nvGraphicFramePr>
        <xdr:cNvPr id="62" name="Chart 8">
          <a:extLst>
            <a:ext uri="{FF2B5EF4-FFF2-40B4-BE49-F238E27FC236}">
              <a16:creationId xmlns:a16="http://schemas.microsoft.com/office/drawing/2014/main" id="{F01F5AAC-9D80-4B0B-8BB6-AB1A52C7A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</xdr:colOff>
      <xdr:row>51</xdr:row>
      <xdr:rowOff>168090</xdr:rowOff>
    </xdr:from>
    <xdr:to>
      <xdr:col>9</xdr:col>
      <xdr:colOff>149263</xdr:colOff>
      <xdr:row>71</xdr:row>
      <xdr:rowOff>17930</xdr:rowOff>
    </xdr:to>
    <xdr:graphicFrame macro="">
      <xdr:nvGraphicFramePr>
        <xdr:cNvPr id="31" name="Chart 9">
          <a:extLst>
            <a:ext uri="{FF2B5EF4-FFF2-40B4-BE49-F238E27FC236}">
              <a16:creationId xmlns:a16="http://schemas.microsoft.com/office/drawing/2014/main" id="{AA4540BF-21BD-4004-8AFB-BA95511F6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116541</xdr:colOff>
      <xdr:row>71</xdr:row>
      <xdr:rowOff>80684</xdr:rowOff>
    </xdr:from>
    <xdr:to>
      <xdr:col>9</xdr:col>
      <xdr:colOff>224117</xdr:colOff>
      <xdr:row>90</xdr:row>
      <xdr:rowOff>80684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FA23E4-F75D-4E09-9058-397A953B6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201930</xdr:colOff>
      <xdr:row>51</xdr:row>
      <xdr:rowOff>140970</xdr:rowOff>
    </xdr:from>
    <xdr:to>
      <xdr:col>19</xdr:col>
      <xdr:colOff>598170</xdr:colOff>
      <xdr:row>71</xdr:row>
      <xdr:rowOff>0</xdr:rowOff>
    </xdr:to>
    <xdr:graphicFrame macro="">
      <xdr:nvGraphicFramePr>
        <xdr:cNvPr id="47" name="Chart 11">
          <a:extLst>
            <a:ext uri="{FF2B5EF4-FFF2-40B4-BE49-F238E27FC236}">
              <a16:creationId xmlns:a16="http://schemas.microsoft.com/office/drawing/2014/main" id="{78557A01-81D2-43F7-84D1-33B50985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188259</xdr:colOff>
      <xdr:row>71</xdr:row>
      <xdr:rowOff>102198</xdr:rowOff>
    </xdr:from>
    <xdr:to>
      <xdr:col>20</xdr:col>
      <xdr:colOff>35859</xdr:colOff>
      <xdr:row>90</xdr:row>
      <xdr:rowOff>134471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F632CD-4FDB-4782-8FD1-6CCB07773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0</xdr:rowOff>
    </xdr:from>
    <xdr:to>
      <xdr:col>30</xdr:col>
      <xdr:colOff>182880</xdr:colOff>
      <xdr:row>92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77DD9-EB48-416A-8471-B0D3F36C2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</xdr:colOff>
      <xdr:row>51</xdr:row>
      <xdr:rowOff>83128</xdr:rowOff>
    </xdr:from>
    <xdr:to>
      <xdr:col>30</xdr:col>
      <xdr:colOff>76199</xdr:colOff>
      <xdr:row>91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69EE3-5409-4E3D-BE91-C9FE63318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45720</xdr:rowOff>
    </xdr:from>
    <xdr:to>
      <xdr:col>32</xdr:col>
      <xdr:colOff>571500</xdr:colOff>
      <xdr:row>87</xdr:row>
      <xdr:rowOff>76200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C7B4687-7FA4-CF5D-9332-B1596432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</xdr:colOff>
      <xdr:row>15</xdr:row>
      <xdr:rowOff>179615</xdr:rowOff>
    </xdr:from>
    <xdr:to>
      <xdr:col>6</xdr:col>
      <xdr:colOff>108857</xdr:colOff>
      <xdr:row>30</xdr:row>
      <xdr:rowOff>146958</xdr:rowOff>
    </xdr:to>
    <xdr:graphicFrame macro="">
      <xdr:nvGraphicFramePr>
        <xdr:cNvPr id="237" name="Chart 1">
          <a:extLst>
            <a:ext uri="{FF2B5EF4-FFF2-40B4-BE49-F238E27FC236}">
              <a16:creationId xmlns:a16="http://schemas.microsoft.com/office/drawing/2014/main" id="{178DDACE-AA78-8811-86CE-97505272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152400</xdr:rowOff>
    </xdr:from>
    <xdr:to>
      <xdr:col>6</xdr:col>
      <xdr:colOff>76200</xdr:colOff>
      <xdr:row>47</xdr:row>
      <xdr:rowOff>119743</xdr:rowOff>
    </xdr:to>
    <xdr:graphicFrame macro="">
      <xdr:nvGraphicFramePr>
        <xdr:cNvPr id="232" name="Chart 2">
          <a:extLst>
            <a:ext uri="{FF2B5EF4-FFF2-40B4-BE49-F238E27FC236}">
              <a16:creationId xmlns:a16="http://schemas.microsoft.com/office/drawing/2014/main" id="{D24E4E84-F690-44DB-891A-29680AAB3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217713</xdr:colOff>
      <xdr:row>15</xdr:row>
      <xdr:rowOff>174171</xdr:rowOff>
    </xdr:from>
    <xdr:to>
      <xdr:col>13</xdr:col>
      <xdr:colOff>76199</xdr:colOff>
      <xdr:row>30</xdr:row>
      <xdr:rowOff>141514</xdr:rowOff>
    </xdr:to>
    <xdr:graphicFrame macro="">
      <xdr:nvGraphicFramePr>
        <xdr:cNvPr id="236" name="Chart 3">
          <a:extLst>
            <a:ext uri="{FF2B5EF4-FFF2-40B4-BE49-F238E27FC236}">
              <a16:creationId xmlns:a16="http://schemas.microsoft.com/office/drawing/2014/main" id="{DFD8E6E3-430E-450F-A415-A658F7FF4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206828</xdr:colOff>
      <xdr:row>32</xdr:row>
      <xdr:rowOff>130630</xdr:rowOff>
    </xdr:from>
    <xdr:to>
      <xdr:col>13</xdr:col>
      <xdr:colOff>65314</xdr:colOff>
      <xdr:row>47</xdr:row>
      <xdr:rowOff>97973</xdr:rowOff>
    </xdr:to>
    <xdr:graphicFrame macro="">
      <xdr:nvGraphicFramePr>
        <xdr:cNvPr id="233" name="Chart 4">
          <a:extLst>
            <a:ext uri="{FF2B5EF4-FFF2-40B4-BE49-F238E27FC236}">
              <a16:creationId xmlns:a16="http://schemas.microsoft.com/office/drawing/2014/main" id="{8F7CDCCB-015E-43BE-92D6-FF7EB7E5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130629</xdr:colOff>
      <xdr:row>15</xdr:row>
      <xdr:rowOff>174171</xdr:rowOff>
    </xdr:from>
    <xdr:to>
      <xdr:col>20</xdr:col>
      <xdr:colOff>10886</xdr:colOff>
      <xdr:row>30</xdr:row>
      <xdr:rowOff>141514</xdr:rowOff>
    </xdr:to>
    <xdr:graphicFrame macro="">
      <xdr:nvGraphicFramePr>
        <xdr:cNvPr id="235" name="Chart 5">
          <a:extLst>
            <a:ext uri="{FF2B5EF4-FFF2-40B4-BE49-F238E27FC236}">
              <a16:creationId xmlns:a16="http://schemas.microsoft.com/office/drawing/2014/main" id="{6C238BEB-9AC4-417A-9FB6-266BD396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119743</xdr:colOff>
      <xdr:row>32</xdr:row>
      <xdr:rowOff>141515</xdr:rowOff>
    </xdr:from>
    <xdr:to>
      <xdr:col>20</xdr:col>
      <xdr:colOff>0</xdr:colOff>
      <xdr:row>47</xdr:row>
      <xdr:rowOff>108858</xdr:rowOff>
    </xdr:to>
    <xdr:graphicFrame macro="">
      <xdr:nvGraphicFramePr>
        <xdr:cNvPr id="234" name="Chart 6">
          <a:extLst>
            <a:ext uri="{FF2B5EF4-FFF2-40B4-BE49-F238E27FC236}">
              <a16:creationId xmlns:a16="http://schemas.microsoft.com/office/drawing/2014/main" id="{537BFC00-A228-42C9-9FC3-5423E2047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</xdr:colOff>
      <xdr:row>48</xdr:row>
      <xdr:rowOff>201704</xdr:rowOff>
    </xdr:from>
    <xdr:to>
      <xdr:col>11</xdr:col>
      <xdr:colOff>773206</xdr:colOff>
      <xdr:row>84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6DFA1-F016-49EE-AC11-338EF317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54429</xdr:rowOff>
    </xdr:from>
    <xdr:to>
      <xdr:col>12</xdr:col>
      <xdr:colOff>21771</xdr:colOff>
      <xdr:row>84</xdr:row>
      <xdr:rowOff>42999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AF7B7-A5D2-4DAF-9217-1D80A6E2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32657</xdr:rowOff>
    </xdr:from>
    <xdr:to>
      <xdr:col>11</xdr:col>
      <xdr:colOff>772886</xdr:colOff>
      <xdr:row>84</xdr:row>
      <xdr:rowOff>76200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EEF3796B-2A4C-41C1-B887-79DFA31E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21773</xdr:rowOff>
    </xdr:from>
    <xdr:to>
      <xdr:col>11</xdr:col>
      <xdr:colOff>598713</xdr:colOff>
      <xdr:row>76</xdr:row>
      <xdr:rowOff>87086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A25760DC-B796-4A21-8CF5-7BA7EA9AA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121920</xdr:rowOff>
    </xdr:from>
    <xdr:to>
      <xdr:col>25</xdr:col>
      <xdr:colOff>60960</xdr:colOff>
      <xdr:row>90</xdr:row>
      <xdr:rowOff>57150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A5CE288A-07EA-4910-B469-8FDB89B8A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25</xdr:col>
      <xdr:colOff>91440</xdr:colOff>
      <xdr:row>98</xdr:row>
      <xdr:rowOff>121920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CF10425-ADD8-425E-96C5-B3CEF8C91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</xdr:colOff>
      <xdr:row>51</xdr:row>
      <xdr:rowOff>10885</xdr:rowOff>
    </xdr:from>
    <xdr:to>
      <xdr:col>24</xdr:col>
      <xdr:colOff>566056</xdr:colOff>
      <xdr:row>79</xdr:row>
      <xdr:rowOff>21771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2B487F1-5FDD-48B0-A2DF-E606518BD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aag120_ic_ac_uk/Documents/FYP%20Managment/Regression%20data.xlsx" TargetMode="External"/><Relationship Id="rId1" Type="http://schemas.openxmlformats.org/officeDocument/2006/relationships/externalLinkPath" Target="/personal/aag120_ic_ac_uk/Documents/FYP%20Managment/Regress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ression data "/>
      <sheetName val="Sensitivity Scenario Evidence"/>
      <sheetName val="Sensitivity Scenario Analysis"/>
      <sheetName val="Ismaeel Model"/>
      <sheetName val="Sensitivity  "/>
      <sheetName val="Amber CSV uncertainty"/>
    </sheetNames>
    <sheetDataSet>
      <sheetData sheetId="0"/>
      <sheetData sheetId="1"/>
      <sheetData sheetId="2"/>
      <sheetData sheetId="3"/>
      <sheetData sheetId="4"/>
      <sheetData sheetId="5">
        <row r="2">
          <cell r="Y2" t="str">
            <v>Primary Deficit</v>
          </cell>
          <cell r="AC2" t="str">
            <v>Inflation</v>
          </cell>
          <cell r="AG2" t="str">
            <v>Interest Rate</v>
          </cell>
          <cell r="AK2" t="str">
            <v>Real GDP growth</v>
          </cell>
          <cell r="AO2" t="str">
            <v>Total Government Debt to GDP ratio</v>
          </cell>
          <cell r="AS2" t="str">
            <v xml:space="preserve">Total Deficit </v>
          </cell>
        </row>
        <row r="3">
          <cell r="V3">
            <v>2022</v>
          </cell>
          <cell r="Y3">
            <v>1.9284386617100371E-2</v>
          </cell>
          <cell r="AB3">
            <v>0</v>
          </cell>
          <cell r="AC3">
            <v>7.9000000000000001E-2</v>
          </cell>
          <cell r="AF3">
            <v>0</v>
          </cell>
          <cell r="AG3">
            <v>4.4499999999999998E-2</v>
          </cell>
          <cell r="AJ3">
            <v>0</v>
          </cell>
          <cell r="AK3">
            <v>4.0000000000000001E-3</v>
          </cell>
          <cell r="AN3">
            <v>0</v>
          </cell>
          <cell r="AO3">
            <v>0.93531598513011149</v>
          </cell>
          <cell r="AR3">
            <v>0</v>
          </cell>
          <cell r="AS3">
            <v>5.9061338289962823E-2</v>
          </cell>
          <cell r="AV3">
            <v>0</v>
          </cell>
        </row>
        <row r="4">
          <cell r="V4">
            <v>2023</v>
          </cell>
          <cell r="Y4">
            <v>4.473923346077332E-3</v>
          </cell>
          <cell r="AB4">
            <v>1.4810463271023042E-3</v>
          </cell>
          <cell r="AC4">
            <v>5.1999999999999998E-2</v>
          </cell>
          <cell r="AF4">
            <v>2.7000000000000006E-3</v>
          </cell>
          <cell r="AG4">
            <v>4.4999999999999998E-2</v>
          </cell>
          <cell r="AJ4">
            <v>5.000000000000005E-5</v>
          </cell>
          <cell r="AK4">
            <v>3.0000000000000001E-3</v>
          </cell>
          <cell r="AN4">
            <v>1E-4</v>
          </cell>
          <cell r="AO4">
            <v>0.94253774731760609</v>
          </cell>
          <cell r="AR4">
            <v>7.2217621874945967E-4</v>
          </cell>
          <cell r="AS4">
            <v>4.4368917972480194E-2</v>
          </cell>
          <cell r="AV4">
            <v>1.4692420317482628E-3</v>
          </cell>
        </row>
        <row r="5">
          <cell r="V5">
            <v>2024</v>
          </cell>
          <cell r="Y5">
            <v>2.5289711571883436E-2</v>
          </cell>
          <cell r="AB5">
            <v>6.6058574502613713E-4</v>
          </cell>
          <cell r="AC5">
            <v>4.2000000000000003E-2</v>
          </cell>
          <cell r="AF5">
            <v>4.0700000000000007E-3</v>
          </cell>
          <cell r="AG5">
            <v>5.2499999999999998E-2</v>
          </cell>
          <cell r="AJ5">
            <v>8.8000000000000014E-4</v>
          </cell>
          <cell r="AK5">
            <v>8.0000000000000002E-3</v>
          </cell>
          <cell r="AN5">
            <v>4.4000000000000007E-4</v>
          </cell>
          <cell r="AO5">
            <v>0.93991110980008208</v>
          </cell>
          <cell r="AR5">
            <v>5.0546371369676439E-4</v>
          </cell>
          <cell r="AS5">
            <v>7.241659893776374E-2</v>
          </cell>
          <cell r="AV5">
            <v>1.4690786712581012E-3</v>
          </cell>
        </row>
        <row r="6">
          <cell r="V6">
            <v>2025</v>
          </cell>
          <cell r="Y6">
            <v>2.4410146736445034E-2</v>
          </cell>
          <cell r="AB6">
            <v>6.2021697444070427E-4</v>
          </cell>
          <cell r="AC6">
            <v>4.1500000000000002E-2</v>
          </cell>
          <cell r="AF6">
            <v>4.5375000000000007E-3</v>
          </cell>
          <cell r="AG6">
            <v>6.0499999999999998E-2</v>
          </cell>
          <cell r="AJ6">
            <v>1.9360000000000004E-3</v>
          </cell>
          <cell r="AK6">
            <v>1.9E-2</v>
          </cell>
          <cell r="AN6">
            <v>1.8150000000000002E-3</v>
          </cell>
          <cell r="AO6">
            <v>0.9545758686825514</v>
          </cell>
          <cell r="AR6">
            <v>2.3304459098452291E-3</v>
          </cell>
          <cell r="AS6">
            <v>7.8030723957477524E-2</v>
          </cell>
          <cell r="AV6">
            <v>2.2952956657692793E-3</v>
          </cell>
        </row>
        <row r="7">
          <cell r="V7">
            <v>2026</v>
          </cell>
          <cell r="Y7">
            <v>2.3414250822386708E-2</v>
          </cell>
          <cell r="AB7">
            <v>5.4968492572361153E-4</v>
          </cell>
          <cell r="AC7">
            <v>4.1000000000000002E-2</v>
          </cell>
          <cell r="AF7">
            <v>5.0578000000000012E-3</v>
          </cell>
          <cell r="AG7">
            <v>6.0999999999999999E-2</v>
          </cell>
          <cell r="AJ7">
            <v>2.1961500000000004E-3</v>
          </cell>
          <cell r="AK7">
            <v>0.02</v>
          </cell>
          <cell r="AN7">
            <v>2.1296000000000006E-3</v>
          </cell>
          <cell r="AO7">
            <v>0.9732390128558237</v>
          </cell>
          <cell r="AR7">
            <v>5.0475549902922962E-3</v>
          </cell>
          <cell r="AS7">
            <v>7.8295615562853846E-2</v>
          </cell>
          <cell r="AV7">
            <v>2.5600823050217956E-3</v>
          </cell>
        </row>
        <row r="8">
          <cell r="V8">
            <v>2027</v>
          </cell>
          <cell r="Y8">
            <v>2.2693305559382829E-2</v>
          </cell>
          <cell r="AB8">
            <v>4.9909982233957472E-4</v>
          </cell>
          <cell r="AC8">
            <v>3.9899999999999998E-2</v>
          </cell>
          <cell r="AF8">
            <v>5.7246310000000017E-3</v>
          </cell>
          <cell r="AG8">
            <v>5.79E-2</v>
          </cell>
          <cell r="AJ8">
            <v>1.9618940000000009E-3</v>
          </cell>
          <cell r="AK8">
            <v>1.7999999999999999E-2</v>
          </cell>
          <cell r="AN8">
            <v>2.0497400000000004E-3</v>
          </cell>
          <cell r="AO8">
            <v>0.99398301202257067</v>
          </cell>
          <cell r="AR8">
            <v>8.5894394073249506E-3</v>
          </cell>
          <cell r="AS8">
            <v>7.5959719061937117E-2</v>
          </cell>
          <cell r="AV8">
            <v>2.474091928824757E-3</v>
          </cell>
        </row>
        <row r="9">
          <cell r="V9">
            <v>2028</v>
          </cell>
          <cell r="Y9">
            <v>2.2107468144509715E-2</v>
          </cell>
          <cell r="AB9">
            <v>4.5466010307080234E-4</v>
          </cell>
          <cell r="AC9">
            <v>3.8800000000000001E-2</v>
          </cell>
          <cell r="AF9">
            <v>6.4742502000000018E-3</v>
          </cell>
          <cell r="AG9">
            <v>5.5800000000000002E-2</v>
          </cell>
          <cell r="AJ9">
            <v>1.8198763000000014E-3</v>
          </cell>
          <cell r="AK9">
            <v>1.7000000000000001E-2</v>
          </cell>
          <cell r="AN9">
            <v>2.0936630000000008E-3</v>
          </cell>
          <cell r="AO9">
            <v>1.0133952747532748</v>
          </cell>
          <cell r="AR9">
            <v>1.2574747673100085E-2</v>
          </cell>
          <cell r="AS9">
            <v>7.4640383536496296E-2</v>
          </cell>
          <cell r="AV9">
            <v>2.5090208159994636E-3</v>
          </cell>
        </row>
        <row r="10">
          <cell r="V10">
            <v>2029</v>
          </cell>
          <cell r="Y10">
            <v>2.1787406831244326E-2</v>
          </cell>
          <cell r="AB10">
            <v>4.4342529935890795E-4</v>
          </cell>
          <cell r="AC10">
            <v>3.7900000000000003E-2</v>
          </cell>
          <cell r="AF10">
            <v>7.2811157100000027E-3</v>
          </cell>
          <cell r="AG10">
            <v>5.2900000000000003E-2</v>
          </cell>
          <cell r="AJ10">
            <v>1.4881112400000013E-3</v>
          </cell>
          <cell r="AK10">
            <v>1.4999999999999999E-2</v>
          </cell>
          <cell r="AN10">
            <v>1.9487171000000007E-3</v>
          </cell>
          <cell r="AO10">
            <v>1.03337036593197</v>
          </cell>
          <cell r="AR10">
            <v>1.7370931690772126E-2</v>
          </cell>
          <cell r="AS10">
            <v>7.2702602988949941E-2</v>
          </cell>
          <cell r="AV10">
            <v>2.4166332531402328E-3</v>
          </cell>
        </row>
        <row r="11">
          <cell r="V11">
            <v>2030</v>
          </cell>
          <cell r="Y11">
            <v>2.146689376845054E-2</v>
          </cell>
          <cell r="AB11">
            <v>4.2530890067083636E-4</v>
          </cell>
          <cell r="AC11">
            <v>3.7199999999999997E-2</v>
          </cell>
          <cell r="AF11">
            <v>8.1456374780000049E-3</v>
          </cell>
          <cell r="AG11">
            <v>5.2200000000000003E-2</v>
          </cell>
          <cell r="AJ11">
            <v>1.5005121670000018E-3</v>
          </cell>
          <cell r="AK11">
            <v>1.4999999999999999E-2</v>
          </cell>
          <cell r="AN11">
            <v>2.1435888100000008E-3</v>
          </cell>
          <cell r="AO11">
            <v>1.0512003126030411</v>
          </cell>
          <cell r="AR11">
            <v>2.2582577056849788E-2</v>
          </cell>
          <cell r="AS11">
            <v>7.2732749215750334E-2</v>
          </cell>
          <cell r="AV11">
            <v>2.6641712252208965E-3</v>
          </cell>
        </row>
        <row r="12">
          <cell r="V12">
            <v>2031</v>
          </cell>
          <cell r="Y12">
            <v>2.0862212092570824E-2</v>
          </cell>
          <cell r="AB12">
            <v>3.3822090333513935E-4</v>
          </cell>
          <cell r="AC12">
            <v>3.6700000000000003E-2</v>
          </cell>
          <cell r="AF12">
            <v>9.0673806663000046E-3</v>
          </cell>
          <cell r="AG12">
            <v>5.1700000000000003E-2</v>
          </cell>
          <cell r="AJ12">
            <v>1.5433839432000018E-3</v>
          </cell>
          <cell r="AK12">
            <v>1.4999999999999999E-2</v>
          </cell>
          <cell r="AN12">
            <v>2.3579476910000011E-3</v>
          </cell>
          <cell r="AO12">
            <v>1.068682192468186</v>
          </cell>
          <cell r="AR12">
            <v>2.8588230968203648E-2</v>
          </cell>
          <cell r="AS12">
            <v>7.2537648207030486E-2</v>
          </cell>
          <cell r="AV12">
            <v>2.8887667138318288E-3</v>
          </cell>
        </row>
        <row r="13">
          <cell r="V13">
            <v>2032</v>
          </cell>
          <cell r="Y13">
            <v>2.0259362236355206E-2</v>
          </cell>
          <cell r="AB13">
            <v>2.2989415102032333E-4</v>
          </cell>
          <cell r="AC13">
            <v>3.6299999999999999E-2</v>
          </cell>
          <cell r="AF13">
            <v>1.0068436640570007E-2</v>
          </cell>
          <cell r="AG13">
            <v>5.1299999999999998E-2</v>
          </cell>
          <cell r="AJ13">
            <v>1.6034044298800011E-3</v>
          </cell>
          <cell r="AK13">
            <v>1.4999999999999999E-2</v>
          </cell>
          <cell r="AN13">
            <v>2.5937424601000015E-3</v>
          </cell>
          <cell r="AO13">
            <v>1.0855320466805067</v>
          </cell>
          <cell r="AR13">
            <v>3.5420161548386855E-2</v>
          </cell>
          <cell r="AS13">
            <v>7.2407556351848354E-2</v>
          </cell>
          <cell r="AV13">
            <v>3.1469684062605504E-3</v>
          </cell>
        </row>
        <row r="14">
          <cell r="V14">
            <v>2033</v>
          </cell>
          <cell r="Y14">
            <v>2.2648069990910066E-2</v>
          </cell>
          <cell r="AB14">
            <v>8.7245283889826294E-4</v>
          </cell>
          <cell r="AC14">
            <v>3.61E-2</v>
          </cell>
          <cell r="AF14">
            <v>1.1127155153829007E-2</v>
          </cell>
          <cell r="AG14">
            <v>5.11E-2</v>
          </cell>
          <cell r="AJ14">
            <v>1.7118700236660013E-3</v>
          </cell>
          <cell r="AK14">
            <v>1.4999999999999999E-2</v>
          </cell>
          <cell r="AN14">
            <v>2.8531167061100014E-3</v>
          </cell>
          <cell r="AO14">
            <v>1.1016455171081299</v>
          </cell>
          <cell r="AR14">
            <v>4.3141596945994717E-2</v>
          </cell>
          <cell r="AS14">
            <v>7.5422009278678981E-2</v>
          </cell>
          <cell r="AV14">
            <v>4.2435367019159368E-3</v>
          </cell>
        </row>
        <row r="15">
          <cell r="V15">
            <v>2034</v>
          </cell>
          <cell r="Y15">
            <v>2.4971281441106382E-2</v>
          </cell>
          <cell r="AB15">
            <v>1.6225374628262045E-3</v>
          </cell>
          <cell r="AC15">
            <v>3.5900000000000001E-2</v>
          </cell>
          <cell r="AF15">
            <v>1.2296933003334107E-2</v>
          </cell>
          <cell r="AG15">
            <v>5.0900000000000001E-2</v>
          </cell>
          <cell r="AJ15">
            <v>1.8259946919104019E-3</v>
          </cell>
          <cell r="AK15">
            <v>1.4999999999999999E-2</v>
          </cell>
          <cell r="AN15">
            <v>3.1384283767210016E-3</v>
          </cell>
          <cell r="AO15">
            <v>1.1200566432456074</v>
          </cell>
          <cell r="AR15">
            <v>5.2708665796707757E-2</v>
          </cell>
          <cell r="AS15">
            <v>7.8329124071997824E-2</v>
          </cell>
          <cell r="AV15">
            <v>5.4973241504472827E-3</v>
          </cell>
        </row>
        <row r="16">
          <cell r="V16">
            <v>2035</v>
          </cell>
          <cell r="Y16">
            <v>2.7283563889689867E-2</v>
          </cell>
          <cell r="AB16">
            <v>2.5104844942716582E-3</v>
          </cell>
          <cell r="AC16">
            <v>3.5799999999999998E-2</v>
          </cell>
          <cell r="AF16">
            <v>1.355801058743473E-2</v>
          </cell>
          <cell r="AG16">
            <v>5.0799999999999998E-2</v>
          </cell>
          <cell r="AJ16">
            <v>1.977209877334231E-3</v>
          </cell>
          <cell r="AK16">
            <v>1.4999999999999999E-2</v>
          </cell>
          <cell r="AN16">
            <v>3.452271214393102E-3</v>
          </cell>
          <cell r="AO16">
            <v>1.1404508634541353</v>
          </cell>
          <cell r="AR16">
            <v>6.4380112318732613E-2</v>
          </cell>
          <cell r="AS16">
            <v>8.1431715276135297E-2</v>
          </cell>
          <cell r="AV16">
            <v>7.0207825931350139E-3</v>
          </cell>
        </row>
        <row r="17">
          <cell r="V17">
            <v>2036</v>
          </cell>
          <cell r="Y17">
            <v>2.9585462769573613E-2</v>
          </cell>
          <cell r="AB17">
            <v>3.5562108678454623E-3</v>
          </cell>
          <cell r="AC17">
            <v>3.5699999999999996E-2</v>
          </cell>
          <cell r="AF17">
            <v>1.4948334358322135E-2</v>
          </cell>
          <cell r="AG17">
            <v>5.0699999999999995E-2</v>
          </cell>
          <cell r="AJ17">
            <v>2.1404081529237226E-3</v>
          </cell>
          <cell r="AK17">
            <v>1.4999999999999999E-2</v>
          </cell>
          <cell r="AN17">
            <v>3.7974983358324121E-3</v>
          </cell>
          <cell r="AO17">
            <v>1.1629224124205488</v>
          </cell>
          <cell r="AR17">
            <v>7.8575911714563351E-2</v>
          </cell>
          <cell r="AS17">
            <v>8.4616260120981876E-2</v>
          </cell>
          <cell r="AV17">
            <v>8.8222521023292953E-3</v>
          </cell>
        </row>
        <row r="18">
          <cell r="V18">
            <v>2037</v>
          </cell>
          <cell r="Y18">
            <v>3.1876847982480909E-2</v>
          </cell>
          <cell r="AB18">
            <v>4.781985107906654E-3</v>
          </cell>
          <cell r="AC18">
            <v>3.56E-2</v>
          </cell>
          <cell r="AF18">
            <v>1.6481142777512673E-2</v>
          </cell>
          <cell r="AG18">
            <v>5.0599999999999999E-2</v>
          </cell>
          <cell r="AJ18">
            <v>2.316473984857772E-3</v>
          </cell>
          <cell r="AK18">
            <v>1.4999999999999999E-2</v>
          </cell>
          <cell r="AN18">
            <v>4.177248169415654E-3</v>
          </cell>
          <cell r="AO18">
            <v>1.1874535242161914</v>
          </cell>
          <cell r="AR18">
            <v>9.5749188508026856E-2</v>
          </cell>
          <cell r="AS18">
            <v>8.7886627221467922E-2</v>
          </cell>
          <cell r="AV18">
            <v>1.0946398674727909E-2</v>
          </cell>
        </row>
        <row r="19">
          <cell r="V19">
            <v>2038</v>
          </cell>
          <cell r="Y19">
            <v>3.4157686612638329E-2</v>
          </cell>
          <cell r="AB19">
            <v>6.2129465179530793E-3</v>
          </cell>
          <cell r="AC19">
            <v>3.56E-2</v>
          </cell>
          <cell r="AF19">
            <v>1.8129257055263942E-2</v>
          </cell>
          <cell r="AG19">
            <v>5.0599999999999999E-2</v>
          </cell>
          <cell r="AJ19">
            <v>2.5481213833435496E-3</v>
          </cell>
          <cell r="AK19">
            <v>1.4999999999999999E-2</v>
          </cell>
          <cell r="AN19">
            <v>4.5949729863572191E-3</v>
          </cell>
          <cell r="AO19">
            <v>1.2139160017491522</v>
          </cell>
          <cell r="AR19">
            <v>0.11637814094210584</v>
          </cell>
          <cell r="AS19">
            <v>9.1348956672927001E-2</v>
          </cell>
          <cell r="AV19">
            <v>1.3487339478502834E-2</v>
          </cell>
        </row>
        <row r="20">
          <cell r="V20">
            <v>2039</v>
          </cell>
          <cell r="Y20">
            <v>3.6427843476815061E-2</v>
          </cell>
          <cell r="AB20">
            <v>7.8773721163169375E-3</v>
          </cell>
          <cell r="AC20">
            <v>3.5499999999999997E-2</v>
          </cell>
          <cell r="AF20">
            <v>1.9988132490653909E-2</v>
          </cell>
          <cell r="AG20">
            <v>5.0499999999999996E-2</v>
          </cell>
          <cell r="AJ20">
            <v>2.7569837918143313E-3</v>
          </cell>
          <cell r="AK20">
            <v>1.4999999999999999E-2</v>
          </cell>
          <cell r="AN20">
            <v>5.0544702849929417E-3</v>
          </cell>
          <cell r="AO20">
            <v>1.2425178090643305</v>
          </cell>
          <cell r="AR20">
            <v>0.14115840823374035</v>
          </cell>
          <cell r="AS20">
            <v>9.4783634136817133E-2</v>
          </cell>
          <cell r="AV20">
            <v>1.6414298442695627E-2</v>
          </cell>
        </row>
        <row r="21">
          <cell r="V21">
            <v>2040</v>
          </cell>
          <cell r="Y21">
            <v>3.8687113368196281E-2</v>
          </cell>
          <cell r="AB21">
            <v>9.8070505811251926E-3</v>
          </cell>
          <cell r="AC21">
            <v>3.5400000000000001E-2</v>
          </cell>
          <cell r="AF21">
            <v>2.2037490442569228E-2</v>
          </cell>
          <cell r="AG21">
            <v>5.04E-2</v>
          </cell>
          <cell r="AJ21">
            <v>2.9821374681458374E-3</v>
          </cell>
          <cell r="AK21">
            <v>1.4999999999999999E-2</v>
          </cell>
          <cell r="AN21">
            <v>5.5599173134922367E-3</v>
          </cell>
          <cell r="AO21">
            <v>1.2731354181275203</v>
          </cell>
          <cell r="AR21">
            <v>0.1707498285778567</v>
          </cell>
          <cell r="AS21">
            <v>9.8305256529698806E-2</v>
          </cell>
          <cell r="AV21">
            <v>1.9835721860943806E-2</v>
          </cell>
        </row>
        <row r="22">
          <cell r="V22">
            <v>2041</v>
          </cell>
          <cell r="Y22">
            <v>4.0935382269454187E-2</v>
          </cell>
          <cell r="AB22">
            <v>1.2037774558186715E-2</v>
          </cell>
          <cell r="AC22">
            <v>3.5299999999999998E-2</v>
          </cell>
          <cell r="AF22">
            <v>2.429683865996108E-2</v>
          </cell>
          <cell r="AG22">
            <v>5.0299999999999997E-2</v>
          </cell>
          <cell r="AJ22">
            <v>3.2247520418254975E-3</v>
          </cell>
          <cell r="AK22">
            <v>1.4999999999999999E-2</v>
          </cell>
          <cell r="AN22">
            <v>6.1159090448414605E-3</v>
          </cell>
          <cell r="AO22">
            <v>1.3057609013207836</v>
          </cell>
          <cell r="AR22">
            <v>0.20596431032236986</v>
          </cell>
          <cell r="AS22">
            <v>0.10190721082492812</v>
          </cell>
          <cell r="AV22">
            <v>2.3821950851883513E-2</v>
          </cell>
        </row>
        <row r="23">
          <cell r="V23">
            <v>2042</v>
          </cell>
          <cell r="Y23">
            <v>4.3172446958495349E-2</v>
          </cell>
          <cell r="AB23">
            <v>1.4609720430565618E-2</v>
          </cell>
          <cell r="AC23">
            <v>3.5099999999999999E-2</v>
          </cell>
          <cell r="AF23">
            <v>2.6848840706854019E-2</v>
          </cell>
          <cell r="AG23">
            <v>5.0099999999999999E-2</v>
          </cell>
          <cell r="AJ23">
            <v>3.4249090651112192E-3</v>
          </cell>
          <cell r="AK23">
            <v>1.4999999999999999E-2</v>
          </cell>
          <cell r="AN23">
            <v>6.7274999493256082E-3</v>
          </cell>
          <cell r="AO23">
            <v>1.3405086297930786</v>
          </cell>
          <cell r="AR23">
            <v>0.2478121360397473</v>
          </cell>
          <cell r="AS23">
            <v>0.10546996258193241</v>
          </cell>
          <cell r="AV23">
            <v>2.8383092506590598E-2</v>
          </cell>
        </row>
        <row r="24">
          <cell r="V24">
            <v>2043</v>
          </cell>
          <cell r="Y24">
            <v>4.53982137217614E-2</v>
          </cell>
          <cell r="AB24">
            <v>1.7568077052330478E-2</v>
          </cell>
          <cell r="AC24">
            <v>3.5000000000000003E-2</v>
          </cell>
          <cell r="AF24">
            <v>2.9600999777032681E-2</v>
          </cell>
          <cell r="AG24">
            <v>0.05</v>
          </cell>
          <cell r="AJ24">
            <v>3.7001249721290885E-3</v>
          </cell>
          <cell r="AK24">
            <v>1.4999999999999999E-2</v>
          </cell>
          <cell r="AN24">
            <v>7.4002499442581702E-3</v>
          </cell>
          <cell r="AO24">
            <v>1.3771224689285819</v>
          </cell>
          <cell r="AR24">
            <v>0.29722530973659356</v>
          </cell>
          <cell r="AS24">
            <v>0.10923195799762229</v>
          </cell>
          <cell r="AV24">
            <v>3.3752284154091351E-2</v>
          </cell>
        </row>
        <row r="25">
          <cell r="V25">
            <v>2044</v>
          </cell>
          <cell r="Y25">
            <v>4.761257770935886E-2</v>
          </cell>
          <cell r="AB25">
            <v>2.0963569455142068E-2</v>
          </cell>
          <cell r="AC25">
            <v>3.4799999999999998E-2</v>
          </cell>
          <cell r="AF25">
            <v>3.2709104753621113E-2</v>
          </cell>
          <cell r="AG25">
            <v>4.9799999999999997E-2</v>
          </cell>
          <cell r="AJ25">
            <v>3.9221324704568298E-3</v>
          </cell>
          <cell r="AK25">
            <v>1.4999999999999999E-2</v>
          </cell>
          <cell r="AN25">
            <v>8.1402749386839876E-3</v>
          </cell>
          <cell r="AO25">
            <v>1.4158453295162925</v>
          </cell>
          <cell r="AR25">
            <v>0.35560372540082513</v>
          </cell>
          <cell r="AS25">
            <v>0.1129399724061043</v>
          </cell>
          <cell r="AV25">
            <v>3.9871535911468234E-2</v>
          </cell>
        </row>
        <row r="26">
          <cell r="V26">
            <v>2045</v>
          </cell>
          <cell r="Y26">
            <v>4.9815361486773957E-2</v>
          </cell>
          <cell r="AB26">
            <v>2.4853052958519452E-2</v>
          </cell>
          <cell r="AC26">
            <v>3.4599999999999999E-2</v>
          </cell>
          <cell r="AF26">
            <v>3.6142820727756909E-2</v>
          </cell>
          <cell r="AG26">
            <v>4.9599999999999998E-2</v>
          </cell>
          <cell r="AJ26">
            <v>4.1515402187288341E-3</v>
          </cell>
          <cell r="AK26">
            <v>1.4999999999999999E-2</v>
          </cell>
          <cell r="AN26">
            <v>8.9543024325523853E-3</v>
          </cell>
          <cell r="AO26">
            <v>1.4565408745449662</v>
          </cell>
          <cell r="AR26">
            <v>0.42429139047220743</v>
          </cell>
          <cell r="AS26">
            <v>0.11672268650964752</v>
          </cell>
          <cell r="AV26">
            <v>4.6937922784342993E-2</v>
          </cell>
        </row>
        <row r="27">
          <cell r="V27">
            <v>2046</v>
          </cell>
          <cell r="Y27">
            <v>5.2006478119462664E-2</v>
          </cell>
          <cell r="AB27">
            <v>2.9300350353780449E-2</v>
          </cell>
          <cell r="AC27">
            <v>3.44E-2</v>
          </cell>
          <cell r="AF27">
            <v>3.9936188849183651E-2</v>
          </cell>
          <cell r="AG27">
            <v>4.9399999999999999E-2</v>
          </cell>
          <cell r="AJ27">
            <v>4.3876081919506718E-3</v>
          </cell>
          <cell r="AK27">
            <v>1.4999999999999999E-2</v>
          </cell>
          <cell r="AN27">
            <v>9.8497326758076268E-3</v>
          </cell>
          <cell r="AO27">
            <v>1.4992029360154506</v>
          </cell>
          <cell r="AR27">
            <v>0.50492142959971409</v>
          </cell>
          <cell r="AS27">
            <v>0.12057243886133548</v>
          </cell>
          <cell r="AV27">
            <v>5.5078899747521677E-2</v>
          </cell>
        </row>
        <row r="28">
          <cell r="V28">
            <v>2047</v>
          </cell>
          <cell r="Y28">
            <v>5.4185846535942661E-2</v>
          </cell>
          <cell r="AB28">
            <v>3.4377005019601115E-2</v>
          </cell>
          <cell r="AC28">
            <v>3.4200000000000001E-2</v>
          </cell>
          <cell r="AF28">
            <v>4.4126802387618173E-2</v>
          </cell>
          <cell r="AG28">
            <v>4.9200000000000001E-2</v>
          </cell>
          <cell r="AJ28">
            <v>4.6293743576295877E-3</v>
          </cell>
          <cell r="AK28">
            <v>1.4999999999999999E-2</v>
          </cell>
          <cell r="AN28">
            <v>1.083470594338839E-2</v>
          </cell>
          <cell r="AO28">
            <v>1.5438194575646076</v>
          </cell>
          <cell r="AR28">
            <v>0.59935965357804621</v>
          </cell>
          <cell r="AS28">
            <v>0.12448777605553871</v>
          </cell>
          <cell r="AV28">
            <v>6.4443292192128701E-2</v>
          </cell>
        </row>
        <row r="29">
          <cell r="V29">
            <v>2048</v>
          </cell>
          <cell r="Y29">
            <v>5.6353482948891642E-2</v>
          </cell>
          <cell r="AB29">
            <v>4.0163275834209575E-2</v>
          </cell>
          <cell r="AC29">
            <v>3.4099999999999998E-2</v>
          </cell>
          <cell r="AF29">
            <v>4.8647829685813881E-2</v>
          </cell>
          <cell r="AG29">
            <v>4.9099999999999998E-2</v>
          </cell>
          <cell r="AJ29">
            <v>4.9839647339586599E-3</v>
          </cell>
          <cell r="AK29">
            <v>1.4999999999999999E-2</v>
          </cell>
          <cell r="AN29">
            <v>1.191817653772723E-2</v>
          </cell>
          <cell r="AO29">
            <v>1.5902270838053056</v>
          </cell>
          <cell r="AR29">
            <v>0.70957691732071471</v>
          </cell>
          <cell r="AS29">
            <v>0.12860735328196019</v>
          </cell>
          <cell r="AV29">
            <v>7.5351062197277205E-2</v>
          </cell>
        </row>
        <row r="30">
          <cell r="V30">
            <v>2049</v>
          </cell>
          <cell r="Y30">
            <v>5.8509310589850559E-2</v>
          </cell>
          <cell r="AB30">
            <v>4.6748956858616575E-2</v>
          </cell>
          <cell r="AC30">
            <v>3.39E-2</v>
          </cell>
          <cell r="AF30">
            <v>5.3750976185149818E-2</v>
          </cell>
          <cell r="AG30">
            <v>4.8899999999999999E-2</v>
          </cell>
          <cell r="AJ30">
            <v>5.2439976765999837E-3</v>
          </cell>
          <cell r="AK30">
            <v>1.4999999999999999E-2</v>
          </cell>
          <cell r="AN30">
            <v>1.3109994191499955E-2</v>
          </cell>
          <cell r="AO30">
            <v>1.6387019135163181</v>
          </cell>
          <cell r="AR30">
            <v>0.83830776686599751</v>
          </cell>
          <cell r="AS30">
            <v>0.13264612477430995</v>
          </cell>
          <cell r="AV30">
            <v>8.7699647581141391E-2</v>
          </cell>
        </row>
        <row r="31">
          <cell r="V31">
            <v>2050</v>
          </cell>
          <cell r="Y31">
            <v>6.0653175539172779E-2</v>
          </cell>
          <cell r="AB31">
            <v>5.4234458247775702E-2</v>
          </cell>
          <cell r="AC31">
            <v>3.3700000000000001E-2</v>
          </cell>
          <cell r="AF31">
            <v>5.9388273687494803E-2</v>
          </cell>
          <cell r="AG31">
            <v>4.87E-2</v>
          </cell>
          <cell r="AJ31">
            <v>5.5061975604299845E-3</v>
          </cell>
          <cell r="AK31">
            <v>1.4999999999999999E-2</v>
          </cell>
          <cell r="AN31">
            <v>1.4420993610649951E-2</v>
          </cell>
          <cell r="AO31">
            <v>1.6890893852299307</v>
          </cell>
          <cell r="AR31">
            <v>0.98819648970158025</v>
          </cell>
          <cell r="AS31">
            <v>0.13675194848495775</v>
          </cell>
          <cell r="AV31">
            <v>0.10185234483904708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14BA-728D-4E44-B2DC-D4260C14428C}">
  <dimension ref="A1:B20"/>
  <sheetViews>
    <sheetView tabSelected="1" workbookViewId="0">
      <selection activeCell="A8" sqref="A8"/>
    </sheetView>
  </sheetViews>
  <sheetFormatPr defaultColWidth="8.88671875" defaultRowHeight="14.4" x14ac:dyDescent="0.3"/>
  <cols>
    <col min="1" max="1" width="27.1093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2</v>
      </c>
      <c r="B2">
        <v>1</v>
      </c>
    </row>
    <row r="3" spans="1:2" x14ac:dyDescent="0.3">
      <c r="A3" t="s">
        <v>3</v>
      </c>
      <c r="B3">
        <v>1.1000000000000001</v>
      </c>
    </row>
    <row r="4" spans="1:2" x14ac:dyDescent="0.3">
      <c r="A4" t="s">
        <v>4</v>
      </c>
      <c r="B4">
        <v>1.2</v>
      </c>
    </row>
    <row r="5" spans="1:2" x14ac:dyDescent="0.3">
      <c r="A5" t="s">
        <v>5</v>
      </c>
      <c r="B5">
        <v>1.3</v>
      </c>
    </row>
    <row r="6" spans="1:2" x14ac:dyDescent="0.3">
      <c r="A6" t="s">
        <v>89</v>
      </c>
      <c r="B6">
        <v>1.4</v>
      </c>
    </row>
    <row r="7" spans="1:2" x14ac:dyDescent="0.3">
      <c r="A7" t="s">
        <v>6</v>
      </c>
      <c r="B7">
        <v>1.5</v>
      </c>
    </row>
    <row r="8" spans="1:2" x14ac:dyDescent="0.3">
      <c r="A8" s="2" t="s">
        <v>7</v>
      </c>
      <c r="B8">
        <v>2</v>
      </c>
    </row>
    <row r="9" spans="1:2" x14ac:dyDescent="0.3">
      <c r="A9" t="s">
        <v>8</v>
      </c>
      <c r="B9">
        <v>2.1</v>
      </c>
    </row>
    <row r="10" spans="1:2" x14ac:dyDescent="0.3">
      <c r="A10" t="s">
        <v>9</v>
      </c>
      <c r="B10">
        <v>2.2000000000000002</v>
      </c>
    </row>
    <row r="11" spans="1:2" x14ac:dyDescent="0.3">
      <c r="A11" t="s">
        <v>10</v>
      </c>
      <c r="B11">
        <v>2.2999999999999998</v>
      </c>
    </row>
    <row r="12" spans="1:2" x14ac:dyDescent="0.3">
      <c r="A12" t="s">
        <v>11</v>
      </c>
      <c r="B12">
        <v>2.4</v>
      </c>
    </row>
    <row r="13" spans="1:2" x14ac:dyDescent="0.3">
      <c r="A13" t="s">
        <v>12</v>
      </c>
      <c r="B13">
        <v>2.5</v>
      </c>
    </row>
    <row r="14" spans="1:2" x14ac:dyDescent="0.3">
      <c r="A14" t="s">
        <v>13</v>
      </c>
      <c r="B14">
        <v>2.6</v>
      </c>
    </row>
    <row r="15" spans="1:2" x14ac:dyDescent="0.3">
      <c r="A15" s="2" t="s">
        <v>14</v>
      </c>
      <c r="B15">
        <v>3</v>
      </c>
    </row>
    <row r="16" spans="1:2" x14ac:dyDescent="0.3">
      <c r="A16" t="s">
        <v>15</v>
      </c>
      <c r="B16">
        <v>3.1</v>
      </c>
    </row>
    <row r="17" spans="1:2" x14ac:dyDescent="0.3">
      <c r="A17" t="s">
        <v>16</v>
      </c>
      <c r="B17">
        <v>3.2</v>
      </c>
    </row>
    <row r="18" spans="1:2" x14ac:dyDescent="0.3">
      <c r="A18" t="s">
        <v>17</v>
      </c>
      <c r="B18">
        <v>3.3</v>
      </c>
    </row>
    <row r="19" spans="1:2" x14ac:dyDescent="0.3">
      <c r="A19" t="s">
        <v>18</v>
      </c>
      <c r="B19">
        <v>3.4</v>
      </c>
    </row>
    <row r="20" spans="1:2" x14ac:dyDescent="0.3">
      <c r="A20" t="s">
        <v>19</v>
      </c>
      <c r="B20">
        <v>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442B-BA0A-4BDC-947A-65EA8301CEB3}">
  <sheetPr>
    <pageSetUpPr fitToPage="1"/>
  </sheetPr>
  <dimension ref="A1:Z51"/>
  <sheetViews>
    <sheetView zoomScale="70" zoomScaleNormal="70" workbookViewId="0">
      <selection activeCell="E23" sqref="E23"/>
    </sheetView>
  </sheetViews>
  <sheetFormatPr defaultColWidth="8.88671875" defaultRowHeight="14.4" x14ac:dyDescent="0.3"/>
  <cols>
    <col min="1" max="1" width="39.109375" bestFit="1" customWidth="1"/>
    <col min="14" max="14" width="39.109375" bestFit="1" customWidth="1"/>
  </cols>
  <sheetData>
    <row r="1" spans="1:26" ht="36.6" x14ac:dyDescent="0.7">
      <c r="A1" s="77" t="s">
        <v>74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N1" s="77" t="s">
        <v>75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6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N2" s="3" t="s">
        <v>21</v>
      </c>
      <c r="O2" s="4">
        <v>2022</v>
      </c>
      <c r="P2" s="5">
        <v>2023</v>
      </c>
      <c r="Q2" s="5">
        <v>2024</v>
      </c>
      <c r="R2" s="5">
        <v>2025</v>
      </c>
      <c r="S2" s="5">
        <v>2026</v>
      </c>
      <c r="T2" s="5">
        <v>2027</v>
      </c>
      <c r="U2" s="5">
        <v>2028</v>
      </c>
      <c r="V2" s="5">
        <v>2029</v>
      </c>
      <c r="W2" s="5">
        <v>2030</v>
      </c>
      <c r="X2" s="5">
        <v>2031</v>
      </c>
      <c r="Y2" s="5">
        <v>2032</v>
      </c>
    </row>
    <row r="3" spans="1:26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N3" s="6" t="s">
        <v>22</v>
      </c>
      <c r="O3" s="4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6" ht="15.6" x14ac:dyDescent="0.3">
      <c r="A4" s="7" t="s">
        <v>23</v>
      </c>
      <c r="B4" s="8">
        <f t="shared" ref="B4:L4" si="0">B35</f>
        <v>1.9284386617100371E-2</v>
      </c>
      <c r="C4" s="8">
        <f t="shared" si="0"/>
        <v>4.473923346077332E-3</v>
      </c>
      <c r="D4" s="8">
        <f t="shared" si="0"/>
        <v>2.5289711571883436E-2</v>
      </c>
      <c r="E4" s="8">
        <f t="shared" si="0"/>
        <v>3.6195861016445063E-2</v>
      </c>
      <c r="F4" s="8">
        <f t="shared" si="0"/>
        <v>4.7271393662386592E-2</v>
      </c>
      <c r="G4" s="8">
        <f t="shared" si="0"/>
        <v>4.683616267938278E-2</v>
      </c>
      <c r="H4" s="8">
        <f t="shared" si="0"/>
        <v>3.4321753844509736E-2</v>
      </c>
      <c r="I4" s="8">
        <f t="shared" si="0"/>
        <v>2.178740683124427E-2</v>
      </c>
      <c r="J4" s="8">
        <f t="shared" si="0"/>
        <v>2.146689376845054E-2</v>
      </c>
      <c r="K4" s="8">
        <f t="shared" si="0"/>
        <v>2.0862212092570824E-2</v>
      </c>
      <c r="L4" s="8">
        <f t="shared" si="0"/>
        <v>2.0259362236355206E-2</v>
      </c>
      <c r="N4" s="7" t="s">
        <v>23</v>
      </c>
      <c r="O4" s="8">
        <f t="shared" ref="O4:Y4" si="1">O35</f>
        <v>1.9284386617100371E-2</v>
      </c>
      <c r="P4" s="8">
        <f t="shared" si="1"/>
        <v>4.473923346077332E-3</v>
      </c>
      <c r="Q4" s="8">
        <f t="shared" si="1"/>
        <v>2.5289711571883436E-2</v>
      </c>
      <c r="R4" s="8">
        <f t="shared" si="1"/>
        <v>4.798157529644502E-2</v>
      </c>
      <c r="S4" s="8">
        <f t="shared" si="1"/>
        <v>9.4985679342386622E-2</v>
      </c>
      <c r="T4" s="8">
        <f t="shared" si="1"/>
        <v>9.5121876919382758E-2</v>
      </c>
      <c r="U4" s="8">
        <f t="shared" si="1"/>
        <v>9.5393182344509719E-2</v>
      </c>
      <c r="V4" s="8">
        <f t="shared" si="1"/>
        <v>9.5930263871244301E-2</v>
      </c>
      <c r="W4" s="8">
        <f t="shared" si="1"/>
        <v>4.6466893728450538E-2</v>
      </c>
      <c r="X4" s="8">
        <f t="shared" si="1"/>
        <v>2.0862212092570824E-2</v>
      </c>
      <c r="Y4" s="8">
        <f t="shared" si="1"/>
        <v>2.0259362236355206E-2</v>
      </c>
    </row>
    <row r="5" spans="1:26" ht="15.6" x14ac:dyDescent="0.3">
      <c r="A5" s="7" t="s">
        <v>24</v>
      </c>
      <c r="B5" s="9">
        <f t="shared" ref="B5:L5" si="2">B38</f>
        <v>7.9000000000000001E-2</v>
      </c>
      <c r="C5" s="9">
        <f t="shared" si="2"/>
        <v>5.1999999999999998E-2</v>
      </c>
      <c r="D5" s="9">
        <f t="shared" si="2"/>
        <v>4.2000000000000003E-2</v>
      </c>
      <c r="E5" s="9">
        <f t="shared" si="2"/>
        <v>4.1500000000000002E-2</v>
      </c>
      <c r="F5" s="9">
        <f t="shared" si="2"/>
        <v>4.1000000000000002E-2</v>
      </c>
      <c r="G5" s="9">
        <f t="shared" si="2"/>
        <v>3.9899999999999998E-2</v>
      </c>
      <c r="H5" s="9">
        <f t="shared" si="2"/>
        <v>3.8800000000000001E-2</v>
      </c>
      <c r="I5" s="9">
        <f t="shared" si="2"/>
        <v>3.7900000000000003E-2</v>
      </c>
      <c r="J5" s="9">
        <f t="shared" si="2"/>
        <v>3.7199999999999997E-2</v>
      </c>
      <c r="K5" s="9">
        <f t="shared" si="2"/>
        <v>3.6700000000000003E-2</v>
      </c>
      <c r="L5" s="9">
        <f t="shared" si="2"/>
        <v>3.6299999999999999E-2</v>
      </c>
      <c r="N5" s="7" t="s">
        <v>24</v>
      </c>
      <c r="O5" s="9">
        <f t="shared" ref="O5:Y5" si="3">O38</f>
        <v>7.9000000000000001E-2</v>
      </c>
      <c r="P5" s="9">
        <f t="shared" si="3"/>
        <v>5.1999999999999998E-2</v>
      </c>
      <c r="Q5" s="9">
        <f t="shared" si="3"/>
        <v>4.2000000000000003E-2</v>
      </c>
      <c r="R5" s="9">
        <f t="shared" si="3"/>
        <v>4.1500000000000002E-2</v>
      </c>
      <c r="S5" s="9">
        <f t="shared" si="3"/>
        <v>4.1000000000000002E-2</v>
      </c>
      <c r="T5" s="9">
        <f t="shared" si="3"/>
        <v>3.9899999999999998E-2</v>
      </c>
      <c r="U5" s="9">
        <f t="shared" si="3"/>
        <v>3.8800000000000001E-2</v>
      </c>
      <c r="V5" s="9">
        <f t="shared" si="3"/>
        <v>3.7900000000000003E-2</v>
      </c>
      <c r="W5" s="9">
        <f t="shared" si="3"/>
        <v>3.7199999999999997E-2</v>
      </c>
      <c r="X5" s="9">
        <f t="shared" si="3"/>
        <v>3.6700000000000003E-2</v>
      </c>
      <c r="Y5" s="9">
        <f t="shared" si="3"/>
        <v>3.6299999999999999E-2</v>
      </c>
    </row>
    <row r="6" spans="1:26" ht="15.6" x14ac:dyDescent="0.3">
      <c r="A6" s="7" t="s">
        <v>25</v>
      </c>
      <c r="B6" s="10">
        <f t="shared" ref="B6:L6" si="4">B41</f>
        <v>4.4499999999999998E-2</v>
      </c>
      <c r="C6" s="10">
        <f t="shared" si="4"/>
        <v>4.4999999999999998E-2</v>
      </c>
      <c r="D6" s="10">
        <f t="shared" si="4"/>
        <v>5.2499999999999998E-2</v>
      </c>
      <c r="E6" s="10">
        <f t="shared" si="4"/>
        <v>6.0499999999999998E-2</v>
      </c>
      <c r="F6" s="10">
        <f t="shared" si="4"/>
        <v>6.0999999999999999E-2</v>
      </c>
      <c r="G6" s="10">
        <f t="shared" si="4"/>
        <v>5.79E-2</v>
      </c>
      <c r="H6" s="10">
        <f t="shared" si="4"/>
        <v>5.5800000000000002E-2</v>
      </c>
      <c r="I6" s="10">
        <f t="shared" si="4"/>
        <v>5.2900000000000003E-2</v>
      </c>
      <c r="J6" s="10">
        <f t="shared" si="4"/>
        <v>5.2200000000000003E-2</v>
      </c>
      <c r="K6" s="10">
        <f t="shared" si="4"/>
        <v>5.1700000000000003E-2</v>
      </c>
      <c r="L6" s="10">
        <f t="shared" si="4"/>
        <v>5.1299999999999998E-2</v>
      </c>
      <c r="N6" s="7" t="s">
        <v>25</v>
      </c>
      <c r="O6" s="10">
        <f t="shared" ref="O6:Y6" si="5">O41</f>
        <v>4.4499999999999998E-2</v>
      </c>
      <c r="P6" s="10">
        <f t="shared" si="5"/>
        <v>4.4999999999999998E-2</v>
      </c>
      <c r="Q6" s="10">
        <f t="shared" si="5"/>
        <v>5.2499999999999998E-2</v>
      </c>
      <c r="R6" s="10">
        <f t="shared" si="5"/>
        <v>6.0499999999999998E-2</v>
      </c>
      <c r="S6" s="10">
        <f t="shared" si="5"/>
        <v>6.0999999999999999E-2</v>
      </c>
      <c r="T6" s="10">
        <f t="shared" si="5"/>
        <v>5.79E-2</v>
      </c>
      <c r="U6" s="10">
        <f t="shared" si="5"/>
        <v>5.5800000000000002E-2</v>
      </c>
      <c r="V6" s="10">
        <f t="shared" si="5"/>
        <v>5.2900000000000003E-2</v>
      </c>
      <c r="W6" s="10">
        <f t="shared" si="5"/>
        <v>5.2200000000000003E-2</v>
      </c>
      <c r="X6" s="10">
        <f t="shared" si="5"/>
        <v>5.1700000000000003E-2</v>
      </c>
      <c r="Y6" s="10">
        <f t="shared" si="5"/>
        <v>5.1299999999999998E-2</v>
      </c>
    </row>
    <row r="7" spans="1:26" ht="15.6" x14ac:dyDescent="0.3">
      <c r="A7" s="7" t="s">
        <v>26</v>
      </c>
      <c r="B7" s="10">
        <f t="shared" ref="B7:L7" si="6">B44</f>
        <v>4.0000000000000001E-3</v>
      </c>
      <c r="C7" s="10">
        <f t="shared" si="6"/>
        <v>3.0000000000000001E-3</v>
      </c>
      <c r="D7" s="10">
        <f t="shared" si="6"/>
        <v>8.0000000000000002E-3</v>
      </c>
      <c r="E7" s="10">
        <f t="shared" si="6"/>
        <v>1.9E-2</v>
      </c>
      <c r="F7" s="10">
        <f t="shared" si="6"/>
        <v>0.02</v>
      </c>
      <c r="G7" s="10">
        <f t="shared" si="6"/>
        <v>1.7999999999999999E-2</v>
      </c>
      <c r="H7" s="10">
        <f t="shared" si="6"/>
        <v>1.7000000000000001E-2</v>
      </c>
      <c r="I7" s="10">
        <f t="shared" si="6"/>
        <v>1.4999999999999999E-2</v>
      </c>
      <c r="J7" s="10">
        <f t="shared" si="6"/>
        <v>1.4999999999999999E-2</v>
      </c>
      <c r="K7" s="10">
        <f t="shared" si="6"/>
        <v>1.4999999999999999E-2</v>
      </c>
      <c r="L7" s="10">
        <f t="shared" si="6"/>
        <v>1.4999999999999999E-2</v>
      </c>
      <c r="N7" s="7" t="s">
        <v>26</v>
      </c>
      <c r="O7" s="10">
        <f t="shared" ref="O7:Y7" si="7">O44</f>
        <v>4.0000000000000001E-3</v>
      </c>
      <c r="P7" s="10">
        <f t="shared" si="7"/>
        <v>3.0000000000000001E-3</v>
      </c>
      <c r="Q7" s="10">
        <f t="shared" si="7"/>
        <v>8.0000000000000002E-3</v>
      </c>
      <c r="R7" s="10">
        <f t="shared" si="7"/>
        <v>1.9E-2</v>
      </c>
      <c r="S7" s="10">
        <f t="shared" si="7"/>
        <v>0.02</v>
      </c>
      <c r="T7" s="10">
        <f t="shared" si="7"/>
        <v>1.7999999999999999E-2</v>
      </c>
      <c r="U7" s="10">
        <f t="shared" si="7"/>
        <v>1.7000000000000001E-2</v>
      </c>
      <c r="V7" s="10">
        <f t="shared" si="7"/>
        <v>1.4999999999999999E-2</v>
      </c>
      <c r="W7" s="10">
        <f t="shared" si="7"/>
        <v>1.4999999999999999E-2</v>
      </c>
      <c r="X7" s="10">
        <f t="shared" si="7"/>
        <v>1.4999999999999999E-2</v>
      </c>
      <c r="Y7" s="10">
        <f t="shared" si="7"/>
        <v>1.4999999999999999E-2</v>
      </c>
    </row>
    <row r="8" spans="1:26" ht="15.6" x14ac:dyDescent="0.3">
      <c r="A8" s="7" t="s">
        <v>27</v>
      </c>
      <c r="B8" s="10">
        <f t="shared" ref="B8:L8" si="8">B47/B11</f>
        <v>0.93531598513011149</v>
      </c>
      <c r="C8" s="10">
        <f t="shared" si="8"/>
        <v>0.94253774731760609</v>
      </c>
      <c r="D8" s="10">
        <f t="shared" si="8"/>
        <v>0.93991110980008208</v>
      </c>
      <c r="E8" s="10">
        <f t="shared" si="8"/>
        <v>0.9545758686825514</v>
      </c>
      <c r="F8" s="10">
        <f t="shared" si="8"/>
        <v>0.9843471318756164</v>
      </c>
      <c r="G8" s="10">
        <f t="shared" si="8"/>
        <v>1.0270345876533415</v>
      </c>
      <c r="H8" s="10">
        <f t="shared" si="8"/>
        <v>1.0681427572323479</v>
      </c>
      <c r="I8" s="10">
        <f t="shared" si="8"/>
        <v>1.0986268711240923</v>
      </c>
      <c r="J8" s="10">
        <f t="shared" si="8"/>
        <v>1.1158335938353272</v>
      </c>
      <c r="K8" s="10">
        <f t="shared" si="8"/>
        <v>1.1332164500109339</v>
      </c>
      <c r="L8" s="10">
        <f t="shared" si="8"/>
        <v>1.1499394784690407</v>
      </c>
      <c r="M8" s="56">
        <f>((L8-B8)/10)*100</f>
        <v>2.1462349333892914</v>
      </c>
      <c r="N8" s="7" t="s">
        <v>27</v>
      </c>
      <c r="O8" s="10">
        <f t="shared" ref="O8:Y8" si="9">O47/O11</f>
        <v>0.93531598513011149</v>
      </c>
      <c r="P8" s="10">
        <f t="shared" si="9"/>
        <v>0.94253774731760609</v>
      </c>
      <c r="Q8" s="10">
        <f t="shared" si="9"/>
        <v>0.93991110980008208</v>
      </c>
      <c r="R8" s="10">
        <f t="shared" si="9"/>
        <v>0.9545758686825514</v>
      </c>
      <c r="S8" s="10">
        <f t="shared" si="9"/>
        <v>0.99545525089540909</v>
      </c>
      <c r="T8" s="10">
        <f t="shared" si="9"/>
        <v>1.0826375791457252</v>
      </c>
      <c r="U8" s="10">
        <f t="shared" si="9"/>
        <v>1.1671166774663106</v>
      </c>
      <c r="V8" s="10">
        <f t="shared" si="9"/>
        <v>1.2534222153341101</v>
      </c>
      <c r="W8" s="10">
        <f t="shared" si="9"/>
        <v>1.3381400636903558</v>
      </c>
      <c r="X8" s="10">
        <f t="shared" si="9"/>
        <v>1.3756676428499355</v>
      </c>
      <c r="Y8" s="10">
        <f t="shared" si="9"/>
        <v>1.3909548371778004</v>
      </c>
      <c r="Z8" s="55">
        <f>((Y8-O8)/10)*100</f>
        <v>4.5563885204768892</v>
      </c>
    </row>
    <row r="9" spans="1:26" ht="15.6" x14ac:dyDescent="0.3">
      <c r="A9" s="7" t="s">
        <v>28</v>
      </c>
      <c r="B9" s="10">
        <f t="shared" ref="B9:L9" si="10">B51</f>
        <v>5.9061338289962823E-2</v>
      </c>
      <c r="C9" s="10">
        <f t="shared" si="10"/>
        <v>4.4368917972480194E-2</v>
      </c>
      <c r="D9" s="10">
        <f t="shared" si="10"/>
        <v>7.241659893776374E-2</v>
      </c>
      <c r="E9" s="10">
        <f t="shared" si="10"/>
        <v>8.981643823747755E-2</v>
      </c>
      <c r="F9" s="10">
        <f t="shared" si="10"/>
        <v>0.10215275840285373</v>
      </c>
      <c r="G9" s="10">
        <f t="shared" si="10"/>
        <v>0.10071053543257136</v>
      </c>
      <c r="H9" s="10">
        <f t="shared" si="10"/>
        <v>8.8601475374208982E-2</v>
      </c>
      <c r="I9" s="10">
        <f t="shared" si="10"/>
        <v>7.5453236309438967E-2</v>
      </c>
      <c r="J9" s="10">
        <f t="shared" si="10"/>
        <v>7.5970146641172104E-2</v>
      </c>
      <c r="K9" s="10">
        <f t="shared" si="10"/>
        <v>7.5714923703568651E-2</v>
      </c>
      <c r="L9" s="10">
        <f t="shared" si="10"/>
        <v>7.5556616954856978E-2</v>
      </c>
      <c r="N9" s="7" t="s">
        <v>28</v>
      </c>
      <c r="O9" s="10">
        <f t="shared" ref="O9:Y9" si="11">O51</f>
        <v>5.9061338289962823E-2</v>
      </c>
      <c r="P9" s="10">
        <f t="shared" si="11"/>
        <v>4.4368917972480194E-2</v>
      </c>
      <c r="Q9" s="10">
        <f t="shared" si="11"/>
        <v>7.241659893776374E-2</v>
      </c>
      <c r="R9" s="10">
        <f t="shared" si="11"/>
        <v>0.10160215251747751</v>
      </c>
      <c r="S9" s="10">
        <f t="shared" si="11"/>
        <v>0.14986704408285378</v>
      </c>
      <c r="T9" s="10">
        <f t="shared" si="11"/>
        <v>0.14960420892320561</v>
      </c>
      <c r="U9" s="10">
        <f t="shared" si="11"/>
        <v>0.15261157305897405</v>
      </c>
      <c r="V9" s="10">
        <f t="shared" si="11"/>
        <v>0.15456875968088227</v>
      </c>
      <c r="W9" s="10">
        <f t="shared" si="11"/>
        <v>0.10864959629492132</v>
      </c>
      <c r="X9" s="10">
        <f t="shared" si="11"/>
        <v>8.6643177475086181E-2</v>
      </c>
      <c r="Y9" s="10">
        <f t="shared" si="11"/>
        <v>8.738744183133447E-2</v>
      </c>
    </row>
    <row r="10" spans="1:26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N10" s="7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6" ht="15.6" x14ac:dyDescent="0.3">
      <c r="A11" s="7" t="s">
        <v>29</v>
      </c>
      <c r="B11" s="6">
        <v>2690</v>
      </c>
      <c r="C11" s="11">
        <f t="shared" ref="C11:L11" si="12">B11*(1+C13)</f>
        <v>2837.95</v>
      </c>
      <c r="D11" s="11">
        <f t="shared" si="12"/>
        <v>2979.8474999999999</v>
      </c>
      <c r="E11" s="11">
        <f t="shared" si="12"/>
        <v>3160.1282737500001</v>
      </c>
      <c r="F11" s="11">
        <f t="shared" si="12"/>
        <v>3352.8960984487499</v>
      </c>
      <c r="G11" s="11">
        <f t="shared" si="12"/>
        <v>3547.0287825489327</v>
      </c>
      <c r="H11" s="11">
        <f t="shared" si="12"/>
        <v>3744.9529886151636</v>
      </c>
      <c r="I11" s="11">
        <f t="shared" si="12"/>
        <v>3943.0610017129056</v>
      </c>
      <c r="J11" s="11">
        <f t="shared" si="12"/>
        <v>4148.8887860023196</v>
      </c>
      <c r="K11" s="11">
        <f t="shared" si="12"/>
        <v>4363.3863362386401</v>
      </c>
      <c r="L11" s="11">
        <f t="shared" si="12"/>
        <v>4587.2280552876819</v>
      </c>
      <c r="N11" s="7" t="s">
        <v>29</v>
      </c>
      <c r="O11" s="6">
        <v>2690</v>
      </c>
      <c r="P11" s="11">
        <f t="shared" ref="P11:Y11" si="13">O11*(1+P13)</f>
        <v>2837.95</v>
      </c>
      <c r="Q11" s="11">
        <f t="shared" si="13"/>
        <v>2979.8474999999999</v>
      </c>
      <c r="R11" s="11">
        <f t="shared" si="13"/>
        <v>3160.1282737500001</v>
      </c>
      <c r="S11" s="11">
        <f t="shared" si="13"/>
        <v>3352.8960984487499</v>
      </c>
      <c r="T11" s="11">
        <f t="shared" si="13"/>
        <v>3547.0287825489327</v>
      </c>
      <c r="U11" s="11">
        <f t="shared" si="13"/>
        <v>3744.9529886151636</v>
      </c>
      <c r="V11" s="11">
        <f t="shared" si="13"/>
        <v>3943.0610017129056</v>
      </c>
      <c r="W11" s="11">
        <f t="shared" si="13"/>
        <v>4148.8887860023196</v>
      </c>
      <c r="X11" s="11">
        <f t="shared" si="13"/>
        <v>4363.3863362386401</v>
      </c>
      <c r="Y11" s="11">
        <f t="shared" si="13"/>
        <v>4587.2280552876819</v>
      </c>
    </row>
    <row r="12" spans="1:26" ht="15.6" x14ac:dyDescent="0.3">
      <c r="A12" s="7" t="s">
        <v>26</v>
      </c>
      <c r="B12" s="8">
        <v>4.0000000000000001E-3</v>
      </c>
      <c r="C12" s="10">
        <f t="shared" ref="C12:L12" si="14">C44</f>
        <v>3.0000000000000001E-3</v>
      </c>
      <c r="D12" s="10">
        <f t="shared" si="14"/>
        <v>8.0000000000000002E-3</v>
      </c>
      <c r="E12" s="10">
        <f t="shared" si="14"/>
        <v>1.9E-2</v>
      </c>
      <c r="F12" s="10">
        <f t="shared" si="14"/>
        <v>0.02</v>
      </c>
      <c r="G12" s="10">
        <f t="shared" si="14"/>
        <v>1.7999999999999999E-2</v>
      </c>
      <c r="H12" s="10">
        <f t="shared" si="14"/>
        <v>1.7000000000000001E-2</v>
      </c>
      <c r="I12" s="10">
        <f t="shared" si="14"/>
        <v>1.4999999999999999E-2</v>
      </c>
      <c r="J12" s="10">
        <f t="shared" si="14"/>
        <v>1.4999999999999999E-2</v>
      </c>
      <c r="K12" s="10">
        <f t="shared" si="14"/>
        <v>1.4999999999999999E-2</v>
      </c>
      <c r="L12" s="10">
        <f t="shared" si="14"/>
        <v>1.4999999999999999E-2</v>
      </c>
      <c r="N12" s="7" t="s">
        <v>26</v>
      </c>
      <c r="O12" s="8">
        <v>4.0000000000000001E-3</v>
      </c>
      <c r="P12" s="10">
        <f t="shared" ref="P12:Y12" si="15">P44</f>
        <v>3.0000000000000001E-3</v>
      </c>
      <c r="Q12" s="10">
        <f t="shared" si="15"/>
        <v>8.0000000000000002E-3</v>
      </c>
      <c r="R12" s="10">
        <f t="shared" si="15"/>
        <v>1.9E-2</v>
      </c>
      <c r="S12" s="10">
        <f t="shared" si="15"/>
        <v>0.02</v>
      </c>
      <c r="T12" s="10">
        <f t="shared" si="15"/>
        <v>1.7999999999999999E-2</v>
      </c>
      <c r="U12" s="10">
        <f t="shared" si="15"/>
        <v>1.7000000000000001E-2</v>
      </c>
      <c r="V12" s="10">
        <f t="shared" si="15"/>
        <v>1.4999999999999999E-2</v>
      </c>
      <c r="W12" s="10">
        <f t="shared" si="15"/>
        <v>1.4999999999999999E-2</v>
      </c>
      <c r="X12" s="10">
        <f t="shared" si="15"/>
        <v>1.4999999999999999E-2</v>
      </c>
      <c r="Y12" s="10">
        <f t="shared" si="15"/>
        <v>1.4999999999999999E-2</v>
      </c>
    </row>
    <row r="13" spans="1:26" ht="15.6" x14ac:dyDescent="0.3">
      <c r="A13" s="7" t="s">
        <v>30</v>
      </c>
      <c r="B13" s="8">
        <f t="shared" ref="B13:L13" si="16">(B38+B12)</f>
        <v>8.3000000000000004E-2</v>
      </c>
      <c r="C13" s="8">
        <f t="shared" si="16"/>
        <v>5.5E-2</v>
      </c>
      <c r="D13" s="8">
        <f t="shared" si="16"/>
        <v>0.05</v>
      </c>
      <c r="E13" s="8">
        <f t="shared" si="16"/>
        <v>6.0499999999999998E-2</v>
      </c>
      <c r="F13" s="8">
        <f t="shared" si="16"/>
        <v>6.0999999999999999E-2</v>
      </c>
      <c r="G13" s="8">
        <f t="shared" si="16"/>
        <v>5.7899999999999993E-2</v>
      </c>
      <c r="H13" s="8">
        <f t="shared" si="16"/>
        <v>5.5800000000000002E-2</v>
      </c>
      <c r="I13" s="8">
        <f t="shared" si="16"/>
        <v>5.2900000000000003E-2</v>
      </c>
      <c r="J13" s="8">
        <f t="shared" si="16"/>
        <v>5.2199999999999996E-2</v>
      </c>
      <c r="K13" s="8">
        <f t="shared" si="16"/>
        <v>5.1700000000000003E-2</v>
      </c>
      <c r="L13" s="8">
        <f t="shared" si="16"/>
        <v>5.1299999999999998E-2</v>
      </c>
      <c r="N13" s="7" t="s">
        <v>30</v>
      </c>
      <c r="O13" s="8">
        <f t="shared" ref="O13:Y13" si="17">(O38+O12)</f>
        <v>8.3000000000000004E-2</v>
      </c>
      <c r="P13" s="8">
        <f t="shared" si="17"/>
        <v>5.5E-2</v>
      </c>
      <c r="Q13" s="8">
        <f t="shared" si="17"/>
        <v>0.05</v>
      </c>
      <c r="R13" s="8">
        <f t="shared" si="17"/>
        <v>6.0499999999999998E-2</v>
      </c>
      <c r="S13" s="8">
        <f t="shared" si="17"/>
        <v>6.0999999999999999E-2</v>
      </c>
      <c r="T13" s="8">
        <f t="shared" si="17"/>
        <v>5.7899999999999993E-2</v>
      </c>
      <c r="U13" s="8">
        <f t="shared" si="17"/>
        <v>5.5800000000000002E-2</v>
      </c>
      <c r="V13" s="8">
        <f t="shared" si="17"/>
        <v>5.2900000000000003E-2</v>
      </c>
      <c r="W13" s="8">
        <f t="shared" si="17"/>
        <v>5.2199999999999996E-2</v>
      </c>
      <c r="X13" s="8">
        <f t="shared" si="17"/>
        <v>5.1700000000000003E-2</v>
      </c>
      <c r="Y13" s="8">
        <f t="shared" si="17"/>
        <v>5.1299999999999998E-2</v>
      </c>
    </row>
    <row r="14" spans="1:26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N14" s="7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6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N15" s="30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6" ht="15.6" x14ac:dyDescent="0.3">
      <c r="A16" s="6" t="s">
        <v>32</v>
      </c>
      <c r="B16" s="11">
        <v>380.78800000000001</v>
      </c>
      <c r="C16" s="11">
        <f t="shared" ref="C16:L16" si="18">B16*1.01*(1+C5)</f>
        <v>404.59486576000006</v>
      </c>
      <c r="D16" s="11">
        <f t="shared" si="18"/>
        <v>425.80372862313925</v>
      </c>
      <c r="E16" s="11">
        <f t="shared" si="18"/>
        <v>447.9093291946096</v>
      </c>
      <c r="F16" s="11">
        <f t="shared" si="18"/>
        <v>470.93634780850442</v>
      </c>
      <c r="G16" s="11">
        <f t="shared" si="18"/>
        <v>494.62397516692442</v>
      </c>
      <c r="H16" s="11">
        <f t="shared" si="18"/>
        <v>518.95353925743507</v>
      </c>
      <c r="I16" s="11">
        <f t="shared" si="18"/>
        <v>544.00809717924483</v>
      </c>
      <c r="J16" s="11">
        <f t="shared" si="18"/>
        <v>569.88765037825578</v>
      </c>
      <c r="K16" s="11">
        <f t="shared" si="18"/>
        <v>596.71055241860915</v>
      </c>
      <c r="L16" s="11">
        <f t="shared" si="18"/>
        <v>624.55485692611865</v>
      </c>
      <c r="N16" s="6" t="s">
        <v>32</v>
      </c>
      <c r="O16" s="11">
        <v>380.78800000000001</v>
      </c>
      <c r="P16" s="11">
        <f t="shared" ref="P16:Y16" si="19">O16*1.01*(1+P5)</f>
        <v>404.59486576000006</v>
      </c>
      <c r="Q16" s="11">
        <f t="shared" si="19"/>
        <v>425.80372862313925</v>
      </c>
      <c r="R16" s="11">
        <f t="shared" si="19"/>
        <v>447.9093291946096</v>
      </c>
      <c r="S16" s="11">
        <f t="shared" si="19"/>
        <v>470.93634780850442</v>
      </c>
      <c r="T16" s="11">
        <f t="shared" si="19"/>
        <v>494.62397516692442</v>
      </c>
      <c r="U16" s="11">
        <f t="shared" si="19"/>
        <v>518.95353925743507</v>
      </c>
      <c r="V16" s="11">
        <f t="shared" si="19"/>
        <v>544.00809717924483</v>
      </c>
      <c r="W16" s="11">
        <f t="shared" si="19"/>
        <v>569.88765037825578</v>
      </c>
      <c r="X16" s="11">
        <f t="shared" si="19"/>
        <v>596.71055241860915</v>
      </c>
      <c r="Y16" s="11">
        <f t="shared" si="19"/>
        <v>624.55485692611865</v>
      </c>
    </row>
    <row r="17" spans="1:25" ht="15.6" x14ac:dyDescent="0.3">
      <c r="A17" s="6" t="s">
        <v>33</v>
      </c>
      <c r="B17" s="11">
        <v>224</v>
      </c>
      <c r="C17" s="11">
        <f t="shared" ref="C17:L17" si="20">C11*(0.083)+(B17*0.0109)</f>
        <v>237.99144999999999</v>
      </c>
      <c r="D17" s="11">
        <f t="shared" si="20"/>
        <v>249.92144930500001</v>
      </c>
      <c r="E17" s="11">
        <f t="shared" si="20"/>
        <v>265.01479051867454</v>
      </c>
      <c r="F17" s="11">
        <f t="shared" si="20"/>
        <v>281.17903738789977</v>
      </c>
      <c r="G17" s="11">
        <f t="shared" si="20"/>
        <v>297.46824045908954</v>
      </c>
      <c r="H17" s="11">
        <f t="shared" si="20"/>
        <v>314.07350187606266</v>
      </c>
      <c r="I17" s="11">
        <f t="shared" si="20"/>
        <v>330.6974643126203</v>
      </c>
      <c r="J17" s="11">
        <f t="shared" si="20"/>
        <v>347.96237159920008</v>
      </c>
      <c r="K17" s="11">
        <f t="shared" si="20"/>
        <v>365.95385575823843</v>
      </c>
      <c r="L17" s="11">
        <f t="shared" si="20"/>
        <v>384.72882561664238</v>
      </c>
      <c r="N17" s="6" t="s">
        <v>33</v>
      </c>
      <c r="O17" s="11">
        <v>224</v>
      </c>
      <c r="P17" s="11">
        <f t="shared" ref="P17:Y17" si="21">P11*(0.083)+(O17*0.0109)</f>
        <v>237.99144999999999</v>
      </c>
      <c r="Q17" s="11">
        <f t="shared" si="21"/>
        <v>249.92144930500001</v>
      </c>
      <c r="R17" s="11">
        <f t="shared" si="21"/>
        <v>265.01479051867454</v>
      </c>
      <c r="S17" s="11">
        <f t="shared" si="21"/>
        <v>281.17903738789977</v>
      </c>
      <c r="T17" s="11">
        <f t="shared" si="21"/>
        <v>297.46824045908954</v>
      </c>
      <c r="U17" s="11">
        <f t="shared" si="21"/>
        <v>314.07350187606266</v>
      </c>
      <c r="V17" s="11">
        <f t="shared" si="21"/>
        <v>330.6974643126203</v>
      </c>
      <c r="W17" s="11">
        <f t="shared" si="21"/>
        <v>347.96237159920008</v>
      </c>
      <c r="X17" s="11">
        <f t="shared" si="21"/>
        <v>365.95385575823843</v>
      </c>
      <c r="Y17" s="11">
        <f t="shared" si="21"/>
        <v>384.72882561664238</v>
      </c>
    </row>
    <row r="18" spans="1:25" ht="15.6" x14ac:dyDescent="0.3">
      <c r="A18" s="6" t="s">
        <v>34</v>
      </c>
      <c r="B18" s="11">
        <v>124.276</v>
      </c>
      <c r="C18" s="11">
        <v>130.46700000000001</v>
      </c>
      <c r="D18" s="11">
        <f t="shared" ref="D18:L18" si="22">D11*0.0547</f>
        <v>162.99765825</v>
      </c>
      <c r="E18" s="11">
        <f t="shared" si="22"/>
        <v>172.85901657412501</v>
      </c>
      <c r="F18" s="11">
        <f t="shared" si="22"/>
        <v>183.4034165851466</v>
      </c>
      <c r="G18" s="11">
        <f t="shared" si="22"/>
        <v>194.02247440542661</v>
      </c>
      <c r="H18" s="11">
        <f t="shared" si="22"/>
        <v>204.84892847724944</v>
      </c>
      <c r="I18" s="11">
        <f t="shared" si="22"/>
        <v>215.68543679369594</v>
      </c>
      <c r="J18" s="11">
        <f t="shared" si="22"/>
        <v>226.94421659432689</v>
      </c>
      <c r="K18" s="11">
        <f t="shared" si="22"/>
        <v>238.6772325922536</v>
      </c>
      <c r="L18" s="11">
        <f t="shared" si="22"/>
        <v>250.92137462423619</v>
      </c>
      <c r="N18" s="6" t="s">
        <v>34</v>
      </c>
      <c r="O18" s="11">
        <v>124.276</v>
      </c>
      <c r="P18" s="11">
        <v>130.46700000000001</v>
      </c>
      <c r="Q18" s="11">
        <f t="shared" ref="Q18:Y18" si="23">Q11*0.0547</f>
        <v>162.99765825</v>
      </c>
      <c r="R18" s="11">
        <f t="shared" si="23"/>
        <v>172.85901657412501</v>
      </c>
      <c r="S18" s="11">
        <f t="shared" si="23"/>
        <v>183.4034165851466</v>
      </c>
      <c r="T18" s="11">
        <f t="shared" si="23"/>
        <v>194.02247440542661</v>
      </c>
      <c r="U18" s="11">
        <f t="shared" si="23"/>
        <v>204.84892847724944</v>
      </c>
      <c r="V18" s="11">
        <f t="shared" si="23"/>
        <v>215.68543679369594</v>
      </c>
      <c r="W18" s="11">
        <f t="shared" si="23"/>
        <v>226.94421659432689</v>
      </c>
      <c r="X18" s="11">
        <f t="shared" si="23"/>
        <v>238.6772325922536</v>
      </c>
      <c r="Y18" s="11">
        <f t="shared" si="23"/>
        <v>250.92137462423619</v>
      </c>
    </row>
    <row r="19" spans="1:25" ht="15.6" x14ac:dyDescent="0.3">
      <c r="A19" s="6" t="s">
        <v>35</v>
      </c>
      <c r="B19" s="11">
        <f>168-B32</f>
        <v>61</v>
      </c>
      <c r="C19" s="13">
        <f>B19*(1+C13)</f>
        <v>64.35499999999999</v>
      </c>
      <c r="D19" s="13">
        <f t="shared" ref="D19:L19" si="24">C19*(1+D13)</f>
        <v>67.572749999999999</v>
      </c>
      <c r="E19" s="13">
        <f t="shared" si="24"/>
        <v>71.660901374999995</v>
      </c>
      <c r="F19" s="13">
        <f t="shared" si="24"/>
        <v>76.03221635887499</v>
      </c>
      <c r="G19" s="13">
        <f t="shared" si="24"/>
        <v>80.434481686053857</v>
      </c>
      <c r="H19" s="13">
        <f t="shared" si="24"/>
        <v>84.922725764135663</v>
      </c>
      <c r="I19" s="13">
        <f t="shared" si="24"/>
        <v>89.415137957058434</v>
      </c>
      <c r="J19" s="13">
        <f t="shared" si="24"/>
        <v>94.082608158416889</v>
      </c>
      <c r="K19" s="13">
        <f t="shared" si="24"/>
        <v>98.946679000207055</v>
      </c>
      <c r="L19" s="13">
        <f t="shared" si="24"/>
        <v>104.02264363291766</v>
      </c>
      <c r="N19" s="6" t="s">
        <v>35</v>
      </c>
      <c r="O19" s="11">
        <f>168-O32</f>
        <v>61</v>
      </c>
      <c r="P19" s="13">
        <f>O19*(1+P13)</f>
        <v>64.35499999999999</v>
      </c>
      <c r="Q19" s="13">
        <f t="shared" ref="Q19:Y19" si="25">P19*(1+Q13)</f>
        <v>67.572749999999999</v>
      </c>
      <c r="R19" s="13">
        <f t="shared" si="25"/>
        <v>71.660901374999995</v>
      </c>
      <c r="S19" s="13">
        <f t="shared" si="25"/>
        <v>76.03221635887499</v>
      </c>
      <c r="T19" s="13">
        <f t="shared" si="25"/>
        <v>80.434481686053857</v>
      </c>
      <c r="U19" s="13">
        <f t="shared" si="25"/>
        <v>84.922725764135663</v>
      </c>
      <c r="V19" s="13">
        <f t="shared" si="25"/>
        <v>89.415137957058434</v>
      </c>
      <c r="W19" s="13">
        <f t="shared" si="25"/>
        <v>94.082608158416889</v>
      </c>
      <c r="X19" s="13">
        <f t="shared" si="25"/>
        <v>98.946679000207055</v>
      </c>
      <c r="Y19" s="13">
        <f t="shared" si="25"/>
        <v>104.02264363291766</v>
      </c>
    </row>
    <row r="20" spans="1:25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26">((D11*0.011)/27.8)*100</f>
        <v>117.90763489208631</v>
      </c>
      <c r="E20" s="11">
        <f t="shared" si="26"/>
        <v>125.04104680305754</v>
      </c>
      <c r="F20" s="11">
        <f t="shared" si="26"/>
        <v>132.66855065804404</v>
      </c>
      <c r="G20" s="11">
        <f t="shared" si="26"/>
        <v>140.3500597411448</v>
      </c>
      <c r="H20" s="11">
        <f t="shared" si="26"/>
        <v>148.18159307470071</v>
      </c>
      <c r="I20" s="11">
        <f t="shared" si="26"/>
        <v>156.02039934835236</v>
      </c>
      <c r="J20" s="11">
        <f t="shared" si="26"/>
        <v>164.16466419433638</v>
      </c>
      <c r="K20" s="11">
        <f t="shared" si="26"/>
        <v>172.65197733318359</v>
      </c>
      <c r="L20" s="11">
        <f t="shared" si="26"/>
        <v>181.50902377037588</v>
      </c>
      <c r="N20" s="6" t="s">
        <v>36</v>
      </c>
      <c r="O20" s="11">
        <v>128</v>
      </c>
      <c r="P20" s="11">
        <v>79.760000000000005</v>
      </c>
      <c r="Q20" s="11">
        <f t="shared" ref="Q20:Y20" si="27">((Q11*0.011)/27.8)*100</f>
        <v>117.90763489208631</v>
      </c>
      <c r="R20" s="11">
        <f t="shared" si="27"/>
        <v>125.04104680305754</v>
      </c>
      <c r="S20" s="11">
        <f t="shared" si="27"/>
        <v>132.66855065804404</v>
      </c>
      <c r="T20" s="11">
        <f t="shared" si="27"/>
        <v>140.3500597411448</v>
      </c>
      <c r="U20" s="11">
        <f t="shared" si="27"/>
        <v>148.18159307470071</v>
      </c>
      <c r="V20" s="11">
        <f t="shared" si="27"/>
        <v>156.02039934835236</v>
      </c>
      <c r="W20" s="11">
        <f t="shared" si="27"/>
        <v>164.16466419433638</v>
      </c>
      <c r="X20" s="11">
        <f t="shared" si="27"/>
        <v>172.65197733318359</v>
      </c>
      <c r="Y20" s="11">
        <f t="shared" si="27"/>
        <v>181.50902377037588</v>
      </c>
    </row>
    <row r="21" spans="1:25" ht="15.6" x14ac:dyDescent="0.3">
      <c r="A21" s="6" t="s">
        <v>37</v>
      </c>
      <c r="B21" s="10">
        <v>2.2700000000000001E-2</v>
      </c>
      <c r="C21" s="14">
        <v>2.3E-2</v>
      </c>
      <c r="D21" s="14">
        <v>2.3285714279999998E-2</v>
      </c>
      <c r="E21" s="14">
        <v>2.357142856E-2</v>
      </c>
      <c r="F21" s="14">
        <v>2.3857142839999994E-2</v>
      </c>
      <c r="G21" s="14">
        <v>2.4142857119999993E-2</v>
      </c>
      <c r="H21" s="14">
        <v>2.4428571399999991E-2</v>
      </c>
      <c r="I21" s="14">
        <v>2.4714285679999989E-2</v>
      </c>
      <c r="J21" s="14">
        <v>2.4999999959999988E-2</v>
      </c>
      <c r="K21" s="14">
        <v>2.5000000000000001E-2</v>
      </c>
      <c r="L21" s="14">
        <v>2.5000000000000001E-2</v>
      </c>
      <c r="N21" s="6" t="s">
        <v>37</v>
      </c>
      <c r="O21" s="10">
        <v>2.2700000000000001E-2</v>
      </c>
      <c r="P21" s="27">
        <v>2.3E-2</v>
      </c>
      <c r="Q21" s="27">
        <v>2.3285714279999998E-2</v>
      </c>
      <c r="R21" s="27">
        <v>2.357142856E-2</v>
      </c>
      <c r="S21" s="27">
        <v>2.3857142839999994E-2</v>
      </c>
      <c r="T21" s="27">
        <v>2.4142857119999993E-2</v>
      </c>
      <c r="U21" s="27">
        <v>2.4428571399999991E-2</v>
      </c>
      <c r="V21" s="27">
        <v>2.4714285679999989E-2</v>
      </c>
      <c r="W21" s="27">
        <v>2.4999999959999988E-2</v>
      </c>
      <c r="X21" s="27">
        <v>2.5000000000000001E-2</v>
      </c>
      <c r="Y21" s="27">
        <v>2.5000000000000001E-2</v>
      </c>
    </row>
    <row r="22" spans="1:25" ht="15.6" x14ac:dyDescent="0.3">
      <c r="A22" s="6" t="s">
        <v>38</v>
      </c>
      <c r="B22" s="11">
        <v>53</v>
      </c>
      <c r="C22" s="11">
        <f t="shared" ref="C22:L22" si="28">C11*C21</f>
        <v>65.272849999999991</v>
      </c>
      <c r="D22" s="11">
        <f t="shared" si="28"/>
        <v>69.387877482972286</v>
      </c>
      <c r="E22" s="11">
        <f t="shared" si="28"/>
        <v>74.488737845134253</v>
      </c>
      <c r="F22" s="11">
        <f t="shared" si="28"/>
        <v>79.990521148370505</v>
      </c>
      <c r="G22" s="11">
        <f t="shared" si="28"/>
        <v>85.635409097606399</v>
      </c>
      <c r="H22" s="11">
        <f t="shared" si="28"/>
        <v>91.483851472028874</v>
      </c>
      <c r="I22" s="11">
        <f t="shared" si="28"/>
        <v>97.449936049999678</v>
      </c>
      <c r="J22" s="11">
        <f t="shared" si="28"/>
        <v>103.72221948410238</v>
      </c>
      <c r="K22" s="11">
        <f t="shared" si="28"/>
        <v>109.08465840596601</v>
      </c>
      <c r="L22" s="11">
        <f t="shared" si="28"/>
        <v>114.68070138219205</v>
      </c>
      <c r="N22" s="6" t="s">
        <v>38</v>
      </c>
      <c r="O22" s="11">
        <v>53</v>
      </c>
      <c r="P22" s="11">
        <f t="shared" ref="P22:Y22" si="29">P11*P21</f>
        <v>65.272849999999991</v>
      </c>
      <c r="Q22" s="11">
        <f t="shared" si="29"/>
        <v>69.387877482972286</v>
      </c>
      <c r="R22" s="11">
        <f t="shared" si="29"/>
        <v>74.488737845134253</v>
      </c>
      <c r="S22" s="11">
        <f t="shared" si="29"/>
        <v>79.990521148370505</v>
      </c>
      <c r="T22" s="11">
        <f t="shared" si="29"/>
        <v>85.635409097606399</v>
      </c>
      <c r="U22" s="11">
        <f t="shared" si="29"/>
        <v>91.483851472028874</v>
      </c>
      <c r="V22" s="11">
        <f t="shared" si="29"/>
        <v>97.449936049999678</v>
      </c>
      <c r="W22" s="11">
        <f t="shared" si="29"/>
        <v>103.72221948410238</v>
      </c>
      <c r="X22" s="11">
        <f t="shared" si="29"/>
        <v>109.08465840596601</v>
      </c>
      <c r="Y22" s="11">
        <f t="shared" si="29"/>
        <v>114.68070138219205</v>
      </c>
    </row>
    <row r="23" spans="1:25" ht="15.6" x14ac:dyDescent="0.3">
      <c r="A23" s="6" t="s">
        <v>76</v>
      </c>
      <c r="B23" s="10">
        <f>B21</f>
        <v>2.2700000000000001E-2</v>
      </c>
      <c r="C23" s="10">
        <f>C21</f>
        <v>2.3E-2</v>
      </c>
      <c r="D23" s="10">
        <f>D21</f>
        <v>2.3285714279999998E-2</v>
      </c>
      <c r="E23" s="10">
        <f>E21*1.5</f>
        <v>3.5357142840000001E-2</v>
      </c>
      <c r="F23" s="10">
        <f>F21*2</f>
        <v>4.7714285679999989E-2</v>
      </c>
      <c r="G23" s="10">
        <f>G21*2</f>
        <v>4.8285714239999986E-2</v>
      </c>
      <c r="H23" s="10">
        <f>H21*1.5</f>
        <v>3.6642857099999988E-2</v>
      </c>
      <c r="I23" s="10">
        <f>I21</f>
        <v>2.4714285679999989E-2</v>
      </c>
      <c r="J23" s="10">
        <f>J21</f>
        <v>2.4999999959999988E-2</v>
      </c>
      <c r="K23" s="10">
        <f>K21</f>
        <v>2.5000000000000001E-2</v>
      </c>
      <c r="L23" s="10">
        <f>L21</f>
        <v>2.5000000000000001E-2</v>
      </c>
      <c r="N23" s="6" t="s">
        <v>76</v>
      </c>
      <c r="O23" s="10">
        <f>O21</f>
        <v>2.2700000000000001E-2</v>
      </c>
      <c r="P23" s="10">
        <f>P21</f>
        <v>2.3E-2</v>
      </c>
      <c r="Q23" s="10">
        <f>Q21</f>
        <v>2.3285714279999998E-2</v>
      </c>
      <c r="R23" s="10">
        <f>R21*2</f>
        <v>4.7142857119999999E-2</v>
      </c>
      <c r="S23" s="10">
        <f>S21*4</f>
        <v>9.5428571359999978E-2</v>
      </c>
      <c r="T23" s="10">
        <f>T21*4</f>
        <v>9.6571428479999971E-2</v>
      </c>
      <c r="U23" s="10">
        <f>U21*4</f>
        <v>9.7714285599999964E-2</v>
      </c>
      <c r="V23" s="10">
        <f>V21*4</f>
        <v>9.8857142719999958E-2</v>
      </c>
      <c r="W23" s="10">
        <f>W21*2</f>
        <v>4.9999999919999975E-2</v>
      </c>
      <c r="X23" s="10">
        <f>X21</f>
        <v>2.5000000000000001E-2</v>
      </c>
      <c r="Y23" s="10">
        <f>Y21</f>
        <v>2.5000000000000001E-2</v>
      </c>
    </row>
    <row r="24" spans="1:25" ht="15.6" x14ac:dyDescent="0.3">
      <c r="A24" s="6" t="s">
        <v>77</v>
      </c>
      <c r="B24" s="11">
        <v>53</v>
      </c>
      <c r="C24" s="11">
        <f t="shared" ref="C24:L24" si="30">C11*C23</f>
        <v>65.272849999999991</v>
      </c>
      <c r="D24" s="11">
        <f t="shared" si="30"/>
        <v>69.387877482972286</v>
      </c>
      <c r="E24" s="11">
        <f t="shared" si="30"/>
        <v>111.73310676770137</v>
      </c>
      <c r="F24" s="11">
        <f t="shared" si="30"/>
        <v>159.98104229674101</v>
      </c>
      <c r="G24" s="11">
        <f t="shared" si="30"/>
        <v>171.2708181952128</v>
      </c>
      <c r="H24" s="11">
        <f t="shared" si="30"/>
        <v>137.22577720804333</v>
      </c>
      <c r="I24" s="11">
        <f t="shared" si="30"/>
        <v>97.449936049999678</v>
      </c>
      <c r="J24" s="11">
        <f t="shared" si="30"/>
        <v>103.72221948410238</v>
      </c>
      <c r="K24" s="11">
        <f t="shared" si="30"/>
        <v>109.08465840596601</v>
      </c>
      <c r="L24" s="11">
        <f t="shared" si="30"/>
        <v>114.68070138219205</v>
      </c>
      <c r="N24" s="6" t="s">
        <v>77</v>
      </c>
      <c r="O24" s="11">
        <v>53</v>
      </c>
      <c r="P24" s="11">
        <f t="shared" ref="P24:Y24" si="31">P11*P23</f>
        <v>65.272849999999991</v>
      </c>
      <c r="Q24" s="11">
        <f t="shared" si="31"/>
        <v>69.387877482972286</v>
      </c>
      <c r="R24" s="11">
        <f t="shared" si="31"/>
        <v>148.97747569026851</v>
      </c>
      <c r="S24" s="11">
        <f t="shared" si="31"/>
        <v>319.96208459348202</v>
      </c>
      <c r="T24" s="11">
        <f t="shared" si="31"/>
        <v>342.54163639042559</v>
      </c>
      <c r="U24" s="11">
        <f t="shared" si="31"/>
        <v>365.9354058881155</v>
      </c>
      <c r="V24" s="11">
        <f t="shared" si="31"/>
        <v>389.79974419999871</v>
      </c>
      <c r="W24" s="11">
        <f t="shared" si="31"/>
        <v>207.44443896820476</v>
      </c>
      <c r="X24" s="11">
        <f t="shared" si="31"/>
        <v>109.08465840596601</v>
      </c>
      <c r="Y24" s="11">
        <f t="shared" si="31"/>
        <v>114.68070138219205</v>
      </c>
    </row>
    <row r="25" spans="1:25" ht="15.6" x14ac:dyDescent="0.3">
      <c r="A25" s="6" t="s">
        <v>39</v>
      </c>
      <c r="B25" s="15">
        <v>107.81100000000001</v>
      </c>
      <c r="C25" s="11">
        <f>B25*(1+C13)</f>
        <v>113.740605</v>
      </c>
      <c r="D25" s="11">
        <f t="shared" ref="D25:L25" si="32">C25*(1+D13)</f>
        <v>119.42763525000001</v>
      </c>
      <c r="E25" s="11">
        <f t="shared" si="32"/>
        <v>126.653007182625</v>
      </c>
      <c r="F25" s="11">
        <f t="shared" si="32"/>
        <v>134.37884062076512</v>
      </c>
      <c r="G25" s="11">
        <f t="shared" si="32"/>
        <v>142.15937549270743</v>
      </c>
      <c r="H25" s="11">
        <f t="shared" si="32"/>
        <v>150.09186864520052</v>
      </c>
      <c r="I25" s="11">
        <f t="shared" si="32"/>
        <v>158.03172849653163</v>
      </c>
      <c r="J25" s="11">
        <f t="shared" si="32"/>
        <v>166.28098472405057</v>
      </c>
      <c r="K25" s="11">
        <f t="shared" si="32"/>
        <v>174.877711634284</v>
      </c>
      <c r="L25" s="11">
        <f t="shared" si="32"/>
        <v>183.84893824112274</v>
      </c>
      <c r="N25" s="6" t="s">
        <v>39</v>
      </c>
      <c r="O25" s="15">
        <v>107.81100000000001</v>
      </c>
      <c r="P25" s="11">
        <f>O25*(1+P13)</f>
        <v>113.740605</v>
      </c>
      <c r="Q25" s="11">
        <f t="shared" ref="Q25:Y25" si="33">P25*(1+Q13)</f>
        <v>119.42763525000001</v>
      </c>
      <c r="R25" s="11">
        <f t="shared" si="33"/>
        <v>126.653007182625</v>
      </c>
      <c r="S25" s="11">
        <f t="shared" si="33"/>
        <v>134.37884062076512</v>
      </c>
      <c r="T25" s="11">
        <f t="shared" si="33"/>
        <v>142.15937549270743</v>
      </c>
      <c r="U25" s="11">
        <f t="shared" si="33"/>
        <v>150.09186864520052</v>
      </c>
      <c r="V25" s="11">
        <f t="shared" si="33"/>
        <v>158.03172849653163</v>
      </c>
      <c r="W25" s="11">
        <f t="shared" si="33"/>
        <v>166.28098472405057</v>
      </c>
      <c r="X25" s="11">
        <f t="shared" si="33"/>
        <v>174.877711634284</v>
      </c>
      <c r="Y25" s="11">
        <f t="shared" si="33"/>
        <v>183.84893824112274</v>
      </c>
    </row>
    <row r="26" spans="1:25" ht="15.6" x14ac:dyDescent="0.3">
      <c r="A26" s="7" t="s">
        <v>40</v>
      </c>
      <c r="B26" s="16">
        <f t="shared" ref="B26:L26" si="34">SUM(B16:B20,B24:B25)</f>
        <v>1078.875</v>
      </c>
      <c r="C26" s="16">
        <f t="shared" si="34"/>
        <v>1096.1817707600001</v>
      </c>
      <c r="D26" s="16">
        <f t="shared" si="34"/>
        <v>1213.0187338031978</v>
      </c>
      <c r="E26" s="16">
        <f t="shared" si="34"/>
        <v>1320.8711984157933</v>
      </c>
      <c r="F26" s="16">
        <f t="shared" si="34"/>
        <v>1438.5794517159757</v>
      </c>
      <c r="G26" s="16">
        <f t="shared" si="34"/>
        <v>1520.3294251465593</v>
      </c>
      <c r="H26" s="16">
        <f t="shared" si="34"/>
        <v>1558.2979343028276</v>
      </c>
      <c r="I26" s="16">
        <f t="shared" si="34"/>
        <v>1591.3082001375033</v>
      </c>
      <c r="J26" s="16">
        <f t="shared" si="34"/>
        <v>1673.0447151326889</v>
      </c>
      <c r="K26" s="16">
        <f t="shared" si="34"/>
        <v>1756.9026671427416</v>
      </c>
      <c r="L26" s="16">
        <f t="shared" si="34"/>
        <v>1844.2663641936056</v>
      </c>
      <c r="N26" s="7" t="s">
        <v>40</v>
      </c>
      <c r="O26" s="16">
        <f t="shared" ref="O26:Y26" si="35">SUM(O16:O20,O24:O25)</f>
        <v>1078.875</v>
      </c>
      <c r="P26" s="16">
        <f t="shared" si="35"/>
        <v>1096.1817707600001</v>
      </c>
      <c r="Q26" s="16">
        <f t="shared" si="35"/>
        <v>1213.0187338031978</v>
      </c>
      <c r="R26" s="16">
        <f t="shared" si="35"/>
        <v>1358.1155673383603</v>
      </c>
      <c r="S26" s="16">
        <f t="shared" si="35"/>
        <v>1598.5604940127168</v>
      </c>
      <c r="T26" s="16">
        <f t="shared" si="35"/>
        <v>1691.6002433417721</v>
      </c>
      <c r="U26" s="16">
        <f t="shared" si="35"/>
        <v>1787.0075629828998</v>
      </c>
      <c r="V26" s="16">
        <f t="shared" si="35"/>
        <v>1883.6580082875025</v>
      </c>
      <c r="W26" s="16">
        <f t="shared" si="35"/>
        <v>1776.7669346167913</v>
      </c>
      <c r="X26" s="16">
        <f t="shared" si="35"/>
        <v>1756.9026671427416</v>
      </c>
      <c r="Y26" s="16">
        <f t="shared" si="35"/>
        <v>1844.2663641936056</v>
      </c>
    </row>
    <row r="27" spans="1:25" ht="15.6" x14ac:dyDescent="0.3">
      <c r="A27" s="7"/>
      <c r="B27" s="17"/>
      <c r="C27" s="11"/>
      <c r="D27" s="18"/>
      <c r="E27" s="16"/>
      <c r="F27" s="16"/>
      <c r="G27" s="16"/>
      <c r="H27" s="16"/>
      <c r="I27" s="16"/>
      <c r="J27" s="16"/>
      <c r="K27" s="16"/>
      <c r="L27" s="16"/>
      <c r="N27" s="7"/>
      <c r="O27" s="17"/>
      <c r="P27" s="11"/>
      <c r="Q27" s="18"/>
      <c r="R27" s="16"/>
      <c r="S27" s="16"/>
      <c r="T27" s="16"/>
      <c r="U27" s="16"/>
      <c r="V27" s="16"/>
      <c r="W27" s="16"/>
      <c r="X27" s="16"/>
      <c r="Y27" s="16"/>
    </row>
    <row r="28" spans="1:25" ht="15.6" x14ac:dyDescent="0.3">
      <c r="A28" s="19" t="s">
        <v>41</v>
      </c>
      <c r="B28">
        <v>1027</v>
      </c>
      <c r="C28" s="11">
        <f>B28*(1+C13)</f>
        <v>1083.4849999999999</v>
      </c>
      <c r="D28" s="11">
        <f t="shared" ref="D28:L28" si="36">C28*(1+D13)</f>
        <v>1137.6592499999999</v>
      </c>
      <c r="E28" s="11">
        <f t="shared" si="36"/>
        <v>1206.4876346249998</v>
      </c>
      <c r="F28" s="11">
        <f t="shared" si="36"/>
        <v>1280.0833803371247</v>
      </c>
      <c r="G28" s="11">
        <f t="shared" si="36"/>
        <v>1354.2002080586444</v>
      </c>
      <c r="H28" s="11">
        <f t="shared" si="36"/>
        <v>1429.7645796683169</v>
      </c>
      <c r="I28" s="11">
        <f t="shared" si="36"/>
        <v>1505.3991259327706</v>
      </c>
      <c r="J28" s="11">
        <f t="shared" si="36"/>
        <v>1583.9809603064614</v>
      </c>
      <c r="K28" s="11">
        <f t="shared" si="36"/>
        <v>1665.8727759543056</v>
      </c>
      <c r="L28" s="11">
        <f t="shared" si="36"/>
        <v>1751.3320493607612</v>
      </c>
      <c r="N28" s="19" t="s">
        <v>41</v>
      </c>
      <c r="O28">
        <v>1027</v>
      </c>
      <c r="P28" s="11">
        <f>O28*(1+P13)</f>
        <v>1083.4849999999999</v>
      </c>
      <c r="Q28" s="11">
        <f t="shared" ref="Q28:Y28" si="37">P28*(1+Q13)</f>
        <v>1137.6592499999999</v>
      </c>
      <c r="R28" s="11">
        <f t="shared" si="37"/>
        <v>1206.4876346249998</v>
      </c>
      <c r="S28" s="11">
        <f t="shared" si="37"/>
        <v>1280.0833803371247</v>
      </c>
      <c r="T28" s="11">
        <f t="shared" si="37"/>
        <v>1354.2002080586444</v>
      </c>
      <c r="U28" s="11">
        <f t="shared" si="37"/>
        <v>1429.7645796683169</v>
      </c>
      <c r="V28" s="11">
        <f t="shared" si="37"/>
        <v>1505.3991259327706</v>
      </c>
      <c r="W28" s="11">
        <f t="shared" si="37"/>
        <v>1583.9809603064614</v>
      </c>
      <c r="X28" s="11">
        <f t="shared" si="37"/>
        <v>1665.8727759543056</v>
      </c>
      <c r="Y28" s="11">
        <f t="shared" si="37"/>
        <v>1751.3320493607612</v>
      </c>
    </row>
    <row r="29" spans="1:25" ht="15.6" x14ac:dyDescent="0.3">
      <c r="A29" s="31" t="s">
        <v>42</v>
      </c>
      <c r="B29" s="20">
        <f t="shared" ref="B29:L29" si="38">B28</f>
        <v>1027</v>
      </c>
      <c r="C29" s="20">
        <f t="shared" si="38"/>
        <v>1083.4849999999999</v>
      </c>
      <c r="D29" s="21">
        <f t="shared" si="38"/>
        <v>1137.6592499999999</v>
      </c>
      <c r="E29" s="21">
        <f t="shared" si="38"/>
        <v>1206.4876346249998</v>
      </c>
      <c r="F29" s="21">
        <f t="shared" si="38"/>
        <v>1280.0833803371247</v>
      </c>
      <c r="G29" s="22">
        <f t="shared" si="38"/>
        <v>1354.2002080586444</v>
      </c>
      <c r="H29" s="21">
        <f t="shared" si="38"/>
        <v>1429.7645796683169</v>
      </c>
      <c r="I29" s="21">
        <f t="shared" si="38"/>
        <v>1505.3991259327706</v>
      </c>
      <c r="J29" s="21">
        <f t="shared" si="38"/>
        <v>1583.9809603064614</v>
      </c>
      <c r="K29" s="21">
        <f t="shared" si="38"/>
        <v>1665.8727759543056</v>
      </c>
      <c r="L29" s="21">
        <f t="shared" si="38"/>
        <v>1751.3320493607612</v>
      </c>
      <c r="N29" s="31" t="s">
        <v>42</v>
      </c>
      <c r="O29" s="20">
        <f t="shared" ref="O29:Y29" si="39">O28</f>
        <v>1027</v>
      </c>
      <c r="P29" s="20">
        <f t="shared" si="39"/>
        <v>1083.4849999999999</v>
      </c>
      <c r="Q29" s="21">
        <f t="shared" si="39"/>
        <v>1137.6592499999999</v>
      </c>
      <c r="R29" s="21">
        <f t="shared" si="39"/>
        <v>1206.4876346249998</v>
      </c>
      <c r="S29" s="21">
        <f t="shared" si="39"/>
        <v>1280.0833803371247</v>
      </c>
      <c r="T29" s="22">
        <f t="shared" si="39"/>
        <v>1354.2002080586444</v>
      </c>
      <c r="U29" s="21">
        <f t="shared" si="39"/>
        <v>1429.7645796683169</v>
      </c>
      <c r="V29" s="21">
        <f t="shared" si="39"/>
        <v>1505.3991259327706</v>
      </c>
      <c r="W29" s="21">
        <f t="shared" si="39"/>
        <v>1583.9809603064614</v>
      </c>
      <c r="X29" s="21">
        <f t="shared" si="39"/>
        <v>1665.8727759543056</v>
      </c>
      <c r="Y29" s="21">
        <f t="shared" si="39"/>
        <v>1751.3320493607612</v>
      </c>
    </row>
    <row r="30" spans="1:25" ht="15.6" x14ac:dyDescent="0.3">
      <c r="A30" s="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N30" s="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5.6" x14ac:dyDescent="0.3">
      <c r="A31" s="6" t="s">
        <v>43</v>
      </c>
      <c r="B31" s="23">
        <v>107</v>
      </c>
      <c r="C31" s="23">
        <f t="shared" ref="C31:L31" si="40">(B47*C41)</f>
        <v>113.22</v>
      </c>
      <c r="D31" s="23">
        <f t="shared" si="40"/>
        <v>140.4309375</v>
      </c>
      <c r="E31" s="23">
        <f t="shared" si="40"/>
        <v>169.44790213098</v>
      </c>
      <c r="F31" s="23">
        <f t="shared" si="40"/>
        <v>184.01151371585507</v>
      </c>
      <c r="G31" s="23">
        <f t="shared" si="40"/>
        <v>191.09395079732985</v>
      </c>
      <c r="H31" s="23">
        <f t="shared" si="40"/>
        <v>203.27500536384602</v>
      </c>
      <c r="I31" s="23">
        <f t="shared" si="40"/>
        <v>211.60763934004439</v>
      </c>
      <c r="J31" s="23">
        <f t="shared" si="40"/>
        <v>226.12793464428316</v>
      </c>
      <c r="K31" s="23">
        <f t="shared" si="40"/>
        <v>239.34357234906651</v>
      </c>
      <c r="L31" s="23">
        <f t="shared" si="40"/>
        <v>253.66111822510047</v>
      </c>
      <c r="N31" s="6" t="s">
        <v>43</v>
      </c>
      <c r="O31" s="23">
        <v>107</v>
      </c>
      <c r="P31" s="23">
        <f t="shared" ref="P31:Y31" si="41">(O47*P41)</f>
        <v>113.22</v>
      </c>
      <c r="Q31" s="23">
        <f t="shared" si="41"/>
        <v>140.4309375</v>
      </c>
      <c r="R31" s="23">
        <f t="shared" si="41"/>
        <v>169.44790213098</v>
      </c>
      <c r="S31" s="23">
        <f t="shared" si="41"/>
        <v>184.01151371585507</v>
      </c>
      <c r="T31" s="23">
        <f t="shared" si="41"/>
        <v>193.25039975794647</v>
      </c>
      <c r="U31" s="23">
        <f t="shared" si="41"/>
        <v>214.2801833098834</v>
      </c>
      <c r="V31" s="23">
        <f t="shared" si="41"/>
        <v>231.21516602608918</v>
      </c>
      <c r="W31" s="23">
        <f t="shared" si="41"/>
        <v>257.98911736134829</v>
      </c>
      <c r="X31" s="23">
        <f t="shared" si="41"/>
        <v>287.02776553465446</v>
      </c>
      <c r="Y31" s="23">
        <f t="shared" si="41"/>
        <v>307.93181001567342</v>
      </c>
    </row>
    <row r="32" spans="1:25" ht="15.6" x14ac:dyDescent="0.3">
      <c r="A32" s="7" t="s">
        <v>44</v>
      </c>
      <c r="B32" s="23">
        <f t="shared" ref="B32:L32" si="42">(B31)</f>
        <v>107</v>
      </c>
      <c r="C32" s="23">
        <f t="shared" si="42"/>
        <v>113.22</v>
      </c>
      <c r="D32" s="23">
        <f t="shared" si="42"/>
        <v>140.4309375</v>
      </c>
      <c r="E32" s="23">
        <f t="shared" si="42"/>
        <v>169.44790213098</v>
      </c>
      <c r="F32" s="23">
        <f t="shared" si="42"/>
        <v>184.01151371585507</v>
      </c>
      <c r="G32" s="23">
        <f t="shared" si="42"/>
        <v>191.09395079732985</v>
      </c>
      <c r="H32" s="23">
        <f t="shared" si="42"/>
        <v>203.27500536384602</v>
      </c>
      <c r="I32" s="23">
        <f t="shared" si="42"/>
        <v>211.60763934004439</v>
      </c>
      <c r="J32" s="23">
        <f t="shared" si="42"/>
        <v>226.12793464428316</v>
      </c>
      <c r="K32" s="23">
        <f t="shared" si="42"/>
        <v>239.34357234906651</v>
      </c>
      <c r="L32" s="23">
        <f t="shared" si="42"/>
        <v>253.66111822510047</v>
      </c>
      <c r="N32" s="7" t="s">
        <v>44</v>
      </c>
      <c r="O32" s="23">
        <f t="shared" ref="O32:Y32" si="43">(O31)</f>
        <v>107</v>
      </c>
      <c r="P32" s="23">
        <f t="shared" si="43"/>
        <v>113.22</v>
      </c>
      <c r="Q32" s="23">
        <f t="shared" si="43"/>
        <v>140.4309375</v>
      </c>
      <c r="R32" s="23">
        <f t="shared" si="43"/>
        <v>169.44790213098</v>
      </c>
      <c r="S32" s="23">
        <f t="shared" si="43"/>
        <v>184.01151371585507</v>
      </c>
      <c r="T32" s="23">
        <f t="shared" si="43"/>
        <v>193.25039975794647</v>
      </c>
      <c r="U32" s="23">
        <f t="shared" si="43"/>
        <v>214.2801833098834</v>
      </c>
      <c r="V32" s="23">
        <f t="shared" si="43"/>
        <v>231.21516602608918</v>
      </c>
      <c r="W32" s="23">
        <f t="shared" si="43"/>
        <v>257.98911736134829</v>
      </c>
      <c r="X32" s="23">
        <f t="shared" si="43"/>
        <v>287.02776553465446</v>
      </c>
      <c r="Y32" s="23">
        <f t="shared" si="43"/>
        <v>307.93181001567342</v>
      </c>
    </row>
    <row r="33" spans="1:25" ht="15.6" x14ac:dyDescent="0.3">
      <c r="A33" s="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N33" s="7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15.6" x14ac:dyDescent="0.3">
      <c r="A34" s="6" t="s">
        <v>45</v>
      </c>
      <c r="B34" s="17">
        <f t="shared" ref="B34:L34" si="44">B26-B29</f>
        <v>51.875</v>
      </c>
      <c r="C34" s="17">
        <f t="shared" si="44"/>
        <v>12.696770760000163</v>
      </c>
      <c r="D34" s="17">
        <f t="shared" si="44"/>
        <v>75.359483803197918</v>
      </c>
      <c r="E34" s="17">
        <f t="shared" si="44"/>
        <v>114.38356379079346</v>
      </c>
      <c r="F34" s="17">
        <f t="shared" si="44"/>
        <v>158.49607137885096</v>
      </c>
      <c r="G34" s="17">
        <f t="shared" si="44"/>
        <v>166.12921708791487</v>
      </c>
      <c r="H34" s="17">
        <f t="shared" si="44"/>
        <v>128.53335463451072</v>
      </c>
      <c r="I34" s="17">
        <f t="shared" si="44"/>
        <v>85.909074204732633</v>
      </c>
      <c r="J34" s="17">
        <f t="shared" si="44"/>
        <v>89.063754826227523</v>
      </c>
      <c r="K34" s="17">
        <f t="shared" si="44"/>
        <v>91.029891188436068</v>
      </c>
      <c r="L34" s="17">
        <f t="shared" si="44"/>
        <v>92.934314832844393</v>
      </c>
      <c r="N34" s="6" t="s">
        <v>45</v>
      </c>
      <c r="O34" s="17">
        <f t="shared" ref="O34:Y34" si="45">O26-O29</f>
        <v>51.875</v>
      </c>
      <c r="P34" s="17">
        <f t="shared" si="45"/>
        <v>12.696770760000163</v>
      </c>
      <c r="Q34" s="17">
        <f t="shared" si="45"/>
        <v>75.359483803197918</v>
      </c>
      <c r="R34" s="17">
        <f t="shared" si="45"/>
        <v>151.62793271336045</v>
      </c>
      <c r="S34" s="17">
        <f t="shared" si="45"/>
        <v>318.47711367559214</v>
      </c>
      <c r="T34" s="17">
        <f t="shared" si="45"/>
        <v>337.40003528312764</v>
      </c>
      <c r="U34" s="17">
        <f t="shared" si="45"/>
        <v>357.24298331458294</v>
      </c>
      <c r="V34" s="17">
        <f t="shared" si="45"/>
        <v>378.2588823547319</v>
      </c>
      <c r="W34" s="17">
        <f t="shared" si="45"/>
        <v>192.78597431032995</v>
      </c>
      <c r="X34" s="17">
        <f t="shared" si="45"/>
        <v>91.029891188436068</v>
      </c>
      <c r="Y34" s="17">
        <f t="shared" si="45"/>
        <v>92.934314832844393</v>
      </c>
    </row>
    <row r="35" spans="1:25" ht="15.6" x14ac:dyDescent="0.3">
      <c r="A35" s="7" t="s">
        <v>46</v>
      </c>
      <c r="B35" s="24">
        <f t="shared" ref="B35:L35" si="46">(B34/B11)</f>
        <v>1.9284386617100371E-2</v>
      </c>
      <c r="C35" s="24">
        <f t="shared" si="46"/>
        <v>4.473923346077332E-3</v>
      </c>
      <c r="D35" s="24">
        <f t="shared" si="46"/>
        <v>2.5289711571883436E-2</v>
      </c>
      <c r="E35" s="24">
        <f t="shared" si="46"/>
        <v>3.6195861016445063E-2</v>
      </c>
      <c r="F35" s="24">
        <f t="shared" si="46"/>
        <v>4.7271393662386592E-2</v>
      </c>
      <c r="G35" s="24">
        <f t="shared" si="46"/>
        <v>4.683616267938278E-2</v>
      </c>
      <c r="H35" s="24">
        <f t="shared" si="46"/>
        <v>3.4321753844509736E-2</v>
      </c>
      <c r="I35" s="24">
        <f t="shared" si="46"/>
        <v>2.178740683124427E-2</v>
      </c>
      <c r="J35" s="24">
        <f t="shared" si="46"/>
        <v>2.146689376845054E-2</v>
      </c>
      <c r="K35" s="24">
        <f t="shared" si="46"/>
        <v>2.0862212092570824E-2</v>
      </c>
      <c r="L35" s="24">
        <f t="shared" si="46"/>
        <v>2.0259362236355206E-2</v>
      </c>
      <c r="N35" s="7" t="s">
        <v>46</v>
      </c>
      <c r="O35" s="24">
        <f t="shared" ref="O35:Y35" si="47">(O34/O11)</f>
        <v>1.9284386617100371E-2</v>
      </c>
      <c r="P35" s="24">
        <f t="shared" si="47"/>
        <v>4.473923346077332E-3</v>
      </c>
      <c r="Q35" s="24">
        <f t="shared" si="47"/>
        <v>2.5289711571883436E-2</v>
      </c>
      <c r="R35" s="24">
        <f t="shared" si="47"/>
        <v>4.798157529644502E-2</v>
      </c>
      <c r="S35" s="24">
        <f t="shared" si="47"/>
        <v>9.4985679342386622E-2</v>
      </c>
      <c r="T35" s="24">
        <f t="shared" si="47"/>
        <v>9.5121876919382758E-2</v>
      </c>
      <c r="U35" s="24">
        <f t="shared" si="47"/>
        <v>9.5393182344509719E-2</v>
      </c>
      <c r="V35" s="24">
        <f t="shared" si="47"/>
        <v>9.5930263871244301E-2</v>
      </c>
      <c r="W35" s="24">
        <f t="shared" si="47"/>
        <v>4.6466893728450538E-2</v>
      </c>
      <c r="X35" s="24">
        <f t="shared" si="47"/>
        <v>2.0862212092570824E-2</v>
      </c>
      <c r="Y35" s="24">
        <f t="shared" si="47"/>
        <v>2.0259362236355206E-2</v>
      </c>
    </row>
    <row r="36" spans="1:25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5.6" x14ac:dyDescent="0.3">
      <c r="A37" s="26" t="s">
        <v>47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N37" s="26" t="s">
        <v>47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6" x14ac:dyDescent="0.3">
      <c r="A38" s="23" t="s">
        <v>48</v>
      </c>
      <c r="B38" s="24">
        <v>7.9000000000000001E-2</v>
      </c>
      <c r="C38" s="10">
        <v>5.1999999999999998E-2</v>
      </c>
      <c r="D38" s="10">
        <v>4.2000000000000003E-2</v>
      </c>
      <c r="E38" s="10">
        <v>4.1500000000000002E-2</v>
      </c>
      <c r="F38" s="10">
        <v>4.1000000000000002E-2</v>
      </c>
      <c r="G38" s="10">
        <v>3.9899999999999998E-2</v>
      </c>
      <c r="H38" s="10">
        <v>3.8800000000000001E-2</v>
      </c>
      <c r="I38" s="10">
        <v>3.7900000000000003E-2</v>
      </c>
      <c r="J38" s="10">
        <v>3.7199999999999997E-2</v>
      </c>
      <c r="K38" s="10">
        <v>3.6700000000000003E-2</v>
      </c>
      <c r="L38" s="10">
        <v>3.6299999999999999E-2</v>
      </c>
      <c r="N38" s="23" t="s">
        <v>48</v>
      </c>
      <c r="O38" s="24">
        <v>7.9000000000000001E-2</v>
      </c>
      <c r="P38" s="10">
        <v>5.1999999999999998E-2</v>
      </c>
      <c r="Q38" s="10">
        <v>4.2000000000000003E-2</v>
      </c>
      <c r="R38" s="10">
        <v>4.1500000000000002E-2</v>
      </c>
      <c r="S38" s="10">
        <v>4.1000000000000002E-2</v>
      </c>
      <c r="T38" s="10">
        <v>3.9899999999999998E-2</v>
      </c>
      <c r="U38" s="10">
        <v>3.8800000000000001E-2</v>
      </c>
      <c r="V38" s="10">
        <v>3.7900000000000003E-2</v>
      </c>
      <c r="W38" s="10">
        <v>3.7199999999999997E-2</v>
      </c>
      <c r="X38" s="10">
        <v>3.6700000000000003E-2</v>
      </c>
      <c r="Y38" s="10">
        <v>3.6299999999999999E-2</v>
      </c>
    </row>
    <row r="39" spans="1:25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5.6" x14ac:dyDescent="0.3">
      <c r="A40" s="26" t="s">
        <v>49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N40" s="26" t="s">
        <v>49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x14ac:dyDescent="0.3">
      <c r="A41" s="23" t="s">
        <v>25</v>
      </c>
      <c r="B41" s="24">
        <v>4.4499999999999998E-2</v>
      </c>
      <c r="C41" s="24">
        <v>4.4999999999999998E-2</v>
      </c>
      <c r="D41" s="24">
        <v>5.2499999999999998E-2</v>
      </c>
      <c r="E41" s="24">
        <v>6.0499999999999998E-2</v>
      </c>
      <c r="F41" s="24">
        <v>6.0999999999999999E-2</v>
      </c>
      <c r="G41" s="24">
        <v>5.79E-2</v>
      </c>
      <c r="H41" s="24">
        <v>5.5800000000000002E-2</v>
      </c>
      <c r="I41" s="24">
        <v>5.2900000000000003E-2</v>
      </c>
      <c r="J41" s="24">
        <v>5.2200000000000003E-2</v>
      </c>
      <c r="K41" s="24">
        <v>5.1700000000000003E-2</v>
      </c>
      <c r="L41" s="24">
        <v>5.1299999999999998E-2</v>
      </c>
      <c r="N41" s="23" t="s">
        <v>25</v>
      </c>
      <c r="O41" s="24">
        <v>4.4499999999999998E-2</v>
      </c>
      <c r="P41" s="24">
        <v>4.4999999999999998E-2</v>
      </c>
      <c r="Q41" s="24">
        <v>5.2499999999999998E-2</v>
      </c>
      <c r="R41" s="24">
        <v>6.0499999999999998E-2</v>
      </c>
      <c r="S41" s="24">
        <v>6.0999999999999999E-2</v>
      </c>
      <c r="T41" s="24">
        <v>5.79E-2</v>
      </c>
      <c r="U41" s="24">
        <v>5.5800000000000002E-2</v>
      </c>
      <c r="V41" s="24">
        <v>5.2900000000000003E-2</v>
      </c>
      <c r="W41" s="24">
        <v>5.2200000000000003E-2</v>
      </c>
      <c r="X41" s="24">
        <v>5.1700000000000003E-2</v>
      </c>
      <c r="Y41" s="24">
        <v>5.1299999999999998E-2</v>
      </c>
    </row>
    <row r="42" spans="1:25" x14ac:dyDescent="0.3">
      <c r="A42" s="28"/>
      <c r="B42" s="28"/>
      <c r="C42" s="23"/>
      <c r="D42" s="23"/>
      <c r="E42" s="23"/>
      <c r="F42" s="23"/>
      <c r="G42" s="23"/>
      <c r="H42" s="23"/>
      <c r="I42" s="23"/>
      <c r="J42" s="23"/>
      <c r="K42" s="23"/>
      <c r="L42" s="23"/>
      <c r="N42" s="28"/>
      <c r="O42" s="28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5.6" x14ac:dyDescent="0.3">
      <c r="A43" s="26" t="s">
        <v>50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N43" s="26" t="s">
        <v>50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6" x14ac:dyDescent="0.3">
      <c r="A44" s="23" t="s">
        <v>51</v>
      </c>
      <c r="B44" s="8">
        <v>4.0000000000000001E-3</v>
      </c>
      <c r="C44" s="10">
        <v>3.0000000000000001E-3</v>
      </c>
      <c r="D44" s="10">
        <v>8.0000000000000002E-3</v>
      </c>
      <c r="E44" s="10">
        <v>1.9E-2</v>
      </c>
      <c r="F44" s="10">
        <v>0.02</v>
      </c>
      <c r="G44" s="10">
        <v>1.7999999999999999E-2</v>
      </c>
      <c r="H44" s="10">
        <v>1.7000000000000001E-2</v>
      </c>
      <c r="I44" s="10">
        <v>1.4999999999999999E-2</v>
      </c>
      <c r="J44" s="10">
        <v>1.4999999999999999E-2</v>
      </c>
      <c r="K44" s="10">
        <v>1.4999999999999999E-2</v>
      </c>
      <c r="L44" s="10">
        <v>1.4999999999999999E-2</v>
      </c>
      <c r="N44" s="23" t="s">
        <v>51</v>
      </c>
      <c r="O44" s="8">
        <v>4.0000000000000001E-3</v>
      </c>
      <c r="P44" s="10">
        <v>3.0000000000000001E-3</v>
      </c>
      <c r="Q44" s="10">
        <v>8.0000000000000002E-3</v>
      </c>
      <c r="R44" s="10">
        <v>1.9E-2</v>
      </c>
      <c r="S44" s="10">
        <v>0.02</v>
      </c>
      <c r="T44" s="10">
        <v>1.7999999999999999E-2</v>
      </c>
      <c r="U44" s="10">
        <v>1.7000000000000001E-2</v>
      </c>
      <c r="V44" s="10">
        <v>1.4999999999999999E-2</v>
      </c>
      <c r="W44" s="10">
        <v>1.4999999999999999E-2</v>
      </c>
      <c r="X44" s="10">
        <v>1.4999999999999999E-2</v>
      </c>
      <c r="Y44" s="10">
        <v>1.4999999999999999E-2</v>
      </c>
    </row>
    <row r="45" spans="1:25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5.6" x14ac:dyDescent="0.3">
      <c r="A46" s="26" t="s">
        <v>52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N46" s="26" t="s">
        <v>52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x14ac:dyDescent="0.3">
      <c r="A47" s="23" t="s">
        <v>53</v>
      </c>
      <c r="B47" s="17">
        <v>2516</v>
      </c>
      <c r="C47" s="17">
        <f t="shared" ref="C47:L47" si="48">B47+B50</f>
        <v>2674.875</v>
      </c>
      <c r="D47" s="17">
        <f t="shared" si="48"/>
        <v>2800.79177076</v>
      </c>
      <c r="E47" s="17">
        <f t="shared" si="48"/>
        <v>3016.5821920631979</v>
      </c>
      <c r="F47" s="17">
        <f t="shared" si="48"/>
        <v>3300.4136579849715</v>
      </c>
      <c r="G47" s="17">
        <f t="shared" si="48"/>
        <v>3642.9212430796774</v>
      </c>
      <c r="H47" s="17">
        <f t="shared" si="48"/>
        <v>4000.1444109649219</v>
      </c>
      <c r="I47" s="17">
        <f t="shared" si="48"/>
        <v>4331.9527709632785</v>
      </c>
      <c r="J47" s="17">
        <f t="shared" si="48"/>
        <v>4629.4694845080558</v>
      </c>
      <c r="K47" s="17">
        <f t="shared" si="48"/>
        <v>4944.6611739785667</v>
      </c>
      <c r="L47" s="17">
        <f t="shared" si="48"/>
        <v>5275.0346375160689</v>
      </c>
      <c r="N47" s="23" t="s">
        <v>53</v>
      </c>
      <c r="O47" s="17">
        <v>2516</v>
      </c>
      <c r="P47" s="17">
        <f t="shared" ref="P47:Y47" si="49">O47+O50</f>
        <v>2674.875</v>
      </c>
      <c r="Q47" s="17">
        <f t="shared" si="49"/>
        <v>2800.79177076</v>
      </c>
      <c r="R47" s="17">
        <f t="shared" si="49"/>
        <v>3016.5821920631979</v>
      </c>
      <c r="S47" s="17">
        <f t="shared" si="49"/>
        <v>3337.6580269075384</v>
      </c>
      <c r="T47" s="17">
        <f t="shared" si="49"/>
        <v>3840.1466542989856</v>
      </c>
      <c r="U47" s="17">
        <f t="shared" si="49"/>
        <v>4370.7970893400598</v>
      </c>
      <c r="V47" s="17">
        <f t="shared" si="49"/>
        <v>4942.320255964526</v>
      </c>
      <c r="W47" s="17">
        <f t="shared" si="49"/>
        <v>5551.794304345347</v>
      </c>
      <c r="X47" s="17">
        <f t="shared" si="49"/>
        <v>6002.5693960170256</v>
      </c>
      <c r="Y47" s="17">
        <f t="shared" si="49"/>
        <v>6380.6270527401157</v>
      </c>
    </row>
    <row r="48" spans="1:25" x14ac:dyDescent="0.3">
      <c r="A48" s="23">
        <v>2382.8000000000002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5.6" x14ac:dyDescent="0.3">
      <c r="A49" s="26" t="s">
        <v>54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N49" s="26" t="s">
        <v>54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x14ac:dyDescent="0.3">
      <c r="A50" s="23" t="s">
        <v>55</v>
      </c>
      <c r="B50" s="17">
        <f t="shared" ref="B50:L50" si="50">B26-B29+B32</f>
        <v>158.875</v>
      </c>
      <c r="C50" s="17">
        <f t="shared" si="50"/>
        <v>125.91677076000016</v>
      </c>
      <c r="D50" s="17">
        <f t="shared" si="50"/>
        <v>215.79042130319792</v>
      </c>
      <c r="E50" s="17">
        <f t="shared" si="50"/>
        <v>283.83146592177343</v>
      </c>
      <c r="F50" s="17">
        <f t="shared" si="50"/>
        <v>342.50758509470603</v>
      </c>
      <c r="G50" s="17">
        <f t="shared" si="50"/>
        <v>357.22316788524472</v>
      </c>
      <c r="H50" s="17">
        <f t="shared" si="50"/>
        <v>331.80835999835676</v>
      </c>
      <c r="I50" s="17">
        <f t="shared" si="50"/>
        <v>297.51671354477702</v>
      </c>
      <c r="J50" s="17">
        <f t="shared" si="50"/>
        <v>315.19168947051071</v>
      </c>
      <c r="K50" s="17">
        <f t="shared" si="50"/>
        <v>330.37346353750257</v>
      </c>
      <c r="L50" s="17">
        <f t="shared" si="50"/>
        <v>346.59543305794489</v>
      </c>
      <c r="N50" s="23" t="s">
        <v>55</v>
      </c>
      <c r="O50" s="17">
        <f t="shared" ref="O50:Y50" si="51">O26-O29+O32</f>
        <v>158.875</v>
      </c>
      <c r="P50" s="17">
        <f t="shared" si="51"/>
        <v>125.91677076000016</v>
      </c>
      <c r="Q50" s="17">
        <f t="shared" si="51"/>
        <v>215.79042130319792</v>
      </c>
      <c r="R50" s="17">
        <f t="shared" si="51"/>
        <v>321.07583484434042</v>
      </c>
      <c r="S50" s="17">
        <f t="shared" si="51"/>
        <v>502.48862739144721</v>
      </c>
      <c r="T50" s="17">
        <f t="shared" si="51"/>
        <v>530.65043504107416</v>
      </c>
      <c r="U50" s="17">
        <f t="shared" si="51"/>
        <v>571.52316662446628</v>
      </c>
      <c r="V50" s="17">
        <f t="shared" si="51"/>
        <v>609.47404838082105</v>
      </c>
      <c r="W50" s="17">
        <f t="shared" si="51"/>
        <v>450.77509167167824</v>
      </c>
      <c r="X50" s="17">
        <f t="shared" si="51"/>
        <v>378.05765672309053</v>
      </c>
      <c r="Y50" s="17">
        <f t="shared" si="51"/>
        <v>400.86612484851781</v>
      </c>
    </row>
    <row r="51" spans="1:25" ht="15.6" x14ac:dyDescent="0.3">
      <c r="A51" s="26" t="s">
        <v>56</v>
      </c>
      <c r="B51" s="24">
        <f t="shared" ref="B51:L51" si="52">B50/B11</f>
        <v>5.9061338289962823E-2</v>
      </c>
      <c r="C51" s="24">
        <f t="shared" si="52"/>
        <v>4.4368917972480194E-2</v>
      </c>
      <c r="D51" s="24">
        <f t="shared" si="52"/>
        <v>7.241659893776374E-2</v>
      </c>
      <c r="E51" s="24">
        <f t="shared" si="52"/>
        <v>8.981643823747755E-2</v>
      </c>
      <c r="F51" s="24">
        <f t="shared" si="52"/>
        <v>0.10215275840285373</v>
      </c>
      <c r="G51" s="24">
        <f t="shared" si="52"/>
        <v>0.10071053543257136</v>
      </c>
      <c r="H51" s="24">
        <f t="shared" si="52"/>
        <v>8.8601475374208982E-2</v>
      </c>
      <c r="I51" s="24">
        <f t="shared" si="52"/>
        <v>7.5453236309438967E-2</v>
      </c>
      <c r="J51" s="24">
        <f t="shared" si="52"/>
        <v>7.5970146641172104E-2</v>
      </c>
      <c r="K51" s="24">
        <f t="shared" si="52"/>
        <v>7.5714923703568651E-2</v>
      </c>
      <c r="L51" s="24">
        <f t="shared" si="52"/>
        <v>7.5556616954856978E-2</v>
      </c>
      <c r="N51" s="26" t="s">
        <v>56</v>
      </c>
      <c r="O51" s="24">
        <f t="shared" ref="O51:Y51" si="53">O50/O11</f>
        <v>5.9061338289962823E-2</v>
      </c>
      <c r="P51" s="24">
        <f t="shared" si="53"/>
        <v>4.4368917972480194E-2</v>
      </c>
      <c r="Q51" s="24">
        <f t="shared" si="53"/>
        <v>7.241659893776374E-2</v>
      </c>
      <c r="R51" s="24">
        <f t="shared" si="53"/>
        <v>0.10160215251747751</v>
      </c>
      <c r="S51" s="24">
        <f t="shared" si="53"/>
        <v>0.14986704408285378</v>
      </c>
      <c r="T51" s="24">
        <f t="shared" si="53"/>
        <v>0.14960420892320561</v>
      </c>
      <c r="U51" s="24">
        <f t="shared" si="53"/>
        <v>0.15261157305897405</v>
      </c>
      <c r="V51" s="24">
        <f t="shared" si="53"/>
        <v>0.15456875968088227</v>
      </c>
      <c r="W51" s="24">
        <f t="shared" si="53"/>
        <v>0.10864959629492132</v>
      </c>
      <c r="X51" s="24">
        <f t="shared" si="53"/>
        <v>8.6643177475086181E-2</v>
      </c>
      <c r="Y51" s="24">
        <f t="shared" si="53"/>
        <v>8.738744183133447E-2</v>
      </c>
    </row>
  </sheetData>
  <mergeCells count="2">
    <mergeCell ref="A1:L1"/>
    <mergeCell ref="N1:Y1"/>
  </mergeCells>
  <pageMargins left="0.7" right="0.7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1FE3-056D-4317-BE26-8B9A86E5CB61}">
  <sheetPr>
    <pageSetUpPr fitToPage="1"/>
  </sheetPr>
  <dimension ref="A1:L49"/>
  <sheetViews>
    <sheetView zoomScale="150" workbookViewId="0">
      <selection activeCell="E5" sqref="E5"/>
    </sheetView>
  </sheetViews>
  <sheetFormatPr defaultColWidth="8.88671875" defaultRowHeight="14.4" x14ac:dyDescent="0.3"/>
  <cols>
    <col min="1" max="1" width="43.6640625" bestFit="1" customWidth="1"/>
    <col min="2" max="6" width="8.33203125" bestFit="1" customWidth="1"/>
    <col min="7" max="12" width="8.6640625" bestFit="1" customWidth="1"/>
    <col min="14" max="14" width="8.88671875" bestFit="1" customWidth="1"/>
  </cols>
  <sheetData>
    <row r="1" spans="1:12" ht="36.6" x14ac:dyDescent="0.7">
      <c r="A1" s="77" t="s">
        <v>78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</row>
    <row r="3" spans="1:12" ht="15.6" x14ac:dyDescent="0.3">
      <c r="A3" s="6" t="s">
        <v>22</v>
      </c>
      <c r="B3" s="3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6" x14ac:dyDescent="0.3">
      <c r="A4" s="7" t="s">
        <v>23</v>
      </c>
      <c r="B4" s="8">
        <f t="shared" ref="B4:L4" si="0">B33</f>
        <v>1.9284386617100371E-2</v>
      </c>
      <c r="C4" s="8">
        <f t="shared" si="0"/>
        <v>4.473923346077332E-3</v>
      </c>
      <c r="D4" s="8">
        <f t="shared" si="0"/>
        <v>2.5289711571883436E-2</v>
      </c>
      <c r="E4" s="8">
        <f t="shared" si="0"/>
        <v>2.5864751779094336E-2</v>
      </c>
      <c r="F4" s="8">
        <f t="shared" si="0"/>
        <v>3.2856032713104652E-2</v>
      </c>
      <c r="G4" s="8">
        <f t="shared" si="0"/>
        <v>3.6319011762838908E-2</v>
      </c>
      <c r="H4" s="8">
        <f t="shared" si="0"/>
        <v>3.8761471965876454E-2</v>
      </c>
      <c r="I4" s="8">
        <f t="shared" si="0"/>
        <v>4.1130939183299527E-2</v>
      </c>
      <c r="J4" s="8">
        <f t="shared" si="0"/>
        <v>4.3497538088503242E-2</v>
      </c>
      <c r="K4" s="8">
        <f t="shared" si="0"/>
        <v>4.5154748194727534E-2</v>
      </c>
      <c r="L4" s="8">
        <f t="shared" si="0"/>
        <v>4.6614684959585775E-2</v>
      </c>
    </row>
    <row r="5" spans="1:12" ht="15.6" x14ac:dyDescent="0.3">
      <c r="A5" s="7" t="s">
        <v>24</v>
      </c>
      <c r="B5" s="33">
        <f t="shared" ref="B5:L5" si="1">B36</f>
        <v>7.9000000000000001E-2</v>
      </c>
      <c r="C5" s="33">
        <f t="shared" si="1"/>
        <v>5.1999999999999998E-2</v>
      </c>
      <c r="D5" s="33">
        <f t="shared" si="1"/>
        <v>4.2000000000000003E-2</v>
      </c>
      <c r="E5" s="33">
        <f t="shared" si="1"/>
        <v>4.1500000000000002E-2</v>
      </c>
      <c r="F5" s="33">
        <f t="shared" si="1"/>
        <v>3.5000000000000003E-2</v>
      </c>
      <c r="G5" s="33">
        <f t="shared" si="1"/>
        <v>2.5499999999999998E-2</v>
      </c>
      <c r="H5" s="33">
        <f t="shared" si="1"/>
        <v>2.5000000000000001E-2</v>
      </c>
      <c r="I5" s="33">
        <f t="shared" si="1"/>
        <v>2.5999999999999999E-2</v>
      </c>
      <c r="J5" s="33">
        <f t="shared" si="1"/>
        <v>2.5000000000000001E-2</v>
      </c>
      <c r="K5" s="33">
        <f t="shared" si="1"/>
        <v>2.5000000000000001E-2</v>
      </c>
      <c r="L5" s="33">
        <f t="shared" si="1"/>
        <v>2.5000000000000001E-2</v>
      </c>
    </row>
    <row r="6" spans="1:12" ht="15.6" x14ac:dyDescent="0.3">
      <c r="A6" s="7" t="s">
        <v>25</v>
      </c>
      <c r="B6" s="10">
        <f t="shared" ref="B6:L6" si="2">B39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3.7499999999999999E-2</v>
      </c>
      <c r="F6" s="10">
        <f t="shared" si="2"/>
        <v>2.5000000000000001E-2</v>
      </c>
      <c r="G6" s="10">
        <f t="shared" si="2"/>
        <v>2.5000000000000001E-2</v>
      </c>
      <c r="H6" s="10">
        <f t="shared" si="2"/>
        <v>2.5000000000000001E-2</v>
      </c>
      <c r="I6" s="10">
        <f t="shared" si="2"/>
        <v>2.75E-2</v>
      </c>
      <c r="J6" s="10">
        <f t="shared" si="2"/>
        <v>0.03</v>
      </c>
      <c r="K6" s="10">
        <f t="shared" si="2"/>
        <v>0.03</v>
      </c>
      <c r="L6" s="10">
        <f t="shared" si="2"/>
        <v>0.03</v>
      </c>
    </row>
    <row r="7" spans="1:12" ht="15.6" x14ac:dyDescent="0.3">
      <c r="A7" s="7" t="s">
        <v>26</v>
      </c>
      <c r="B7" s="10">
        <f t="shared" ref="B7:L7" si="3">B42</f>
        <v>4.0000000000000001E-3</v>
      </c>
      <c r="C7" s="10">
        <f t="shared" si="3"/>
        <v>3.0000000000000001E-3</v>
      </c>
      <c r="D7" s="10">
        <f t="shared" si="3"/>
        <v>8.0000000000000002E-3</v>
      </c>
      <c r="E7" s="10">
        <f t="shared" si="3"/>
        <v>3.2000000000000002E-3</v>
      </c>
      <c r="F7" s="10">
        <f t="shared" si="3"/>
        <v>1E-3</v>
      </c>
      <c r="G7" s="10">
        <f t="shared" si="3"/>
        <v>1E-3</v>
      </c>
      <c r="H7" s="10">
        <f t="shared" si="3"/>
        <v>1.5E-3</v>
      </c>
      <c r="I7" s="10">
        <f t="shared" si="3"/>
        <v>2E-3</v>
      </c>
      <c r="J7" s="10">
        <f t="shared" si="3"/>
        <v>2E-3</v>
      </c>
      <c r="K7" s="10">
        <f t="shared" si="3"/>
        <v>2.5000000000000001E-3</v>
      </c>
      <c r="L7" s="10">
        <f t="shared" si="3"/>
        <v>2.5000000000000001E-3</v>
      </c>
    </row>
    <row r="8" spans="1:12" ht="15.6" x14ac:dyDescent="0.3">
      <c r="A8" s="7" t="s">
        <v>27</v>
      </c>
      <c r="B8" s="10">
        <f t="shared" ref="B8:L8" si="4">B45/B11</f>
        <v>0.93531598513011149</v>
      </c>
      <c r="C8" s="10">
        <f t="shared" si="4"/>
        <v>0.94253774731760609</v>
      </c>
      <c r="D8" s="10">
        <f t="shared" si="4"/>
        <v>0.93991110980008208</v>
      </c>
      <c r="E8" s="10">
        <f t="shared" si="4"/>
        <v>0.96901283501277491</v>
      </c>
      <c r="F8" s="10">
        <f t="shared" si="4"/>
        <v>0.99287272208253308</v>
      </c>
      <c r="G8" s="10">
        <f t="shared" si="4"/>
        <v>1.0220285135451086</v>
      </c>
      <c r="H8" s="10">
        <f t="shared" si="4"/>
        <v>1.054582120120434</v>
      </c>
      <c r="I8" s="10">
        <f t="shared" si="4"/>
        <v>1.0877769365844283</v>
      </c>
      <c r="J8" s="10">
        <f t="shared" si="4"/>
        <v>1.1266981239912783</v>
      </c>
      <c r="K8" s="10">
        <f t="shared" si="4"/>
        <v>1.1698014940200649</v>
      </c>
      <c r="L8" s="10">
        <f t="shared" si="4"/>
        <v>1.2144550246284951</v>
      </c>
    </row>
    <row r="9" spans="1:12" ht="15.6" x14ac:dyDescent="0.3">
      <c r="A9" s="7" t="s">
        <v>28</v>
      </c>
      <c r="B9" s="10">
        <f t="shared" ref="B9:L9" si="5">B49</f>
        <v>5.9061338289962823E-2</v>
      </c>
      <c r="C9" s="10">
        <f t="shared" si="5"/>
        <v>4.4368917972480194E-2</v>
      </c>
      <c r="D9" s="10">
        <f t="shared" si="5"/>
        <v>7.241659893776374E-2</v>
      </c>
      <c r="E9" s="10">
        <f t="shared" si="5"/>
        <v>5.960330506472953E-2</v>
      </c>
      <c r="F9" s="10">
        <f t="shared" si="5"/>
        <v>5.6239547071521033E-2</v>
      </c>
      <c r="G9" s="10">
        <f t="shared" si="5"/>
        <v>6.0500032758516772E-2</v>
      </c>
      <c r="H9" s="10">
        <f t="shared" si="5"/>
        <v>6.3652570688358404E-2</v>
      </c>
      <c r="I9" s="10">
        <f t="shared" si="5"/>
        <v>6.934203675461463E-2</v>
      </c>
      <c r="J9" s="10">
        <f t="shared" si="5"/>
        <v>7.5272911114338537E-2</v>
      </c>
      <c r="K9" s="10">
        <f t="shared" si="5"/>
        <v>7.8051043785713758E-2</v>
      </c>
      <c r="L9" s="10">
        <f t="shared" si="5"/>
        <v>8.0769473106157008E-2</v>
      </c>
    </row>
    <row r="10" spans="1:12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5.6" x14ac:dyDescent="0.3">
      <c r="A11" s="7" t="s">
        <v>29</v>
      </c>
      <c r="B11" s="6">
        <v>2690</v>
      </c>
      <c r="C11" s="11">
        <f t="shared" ref="C11:L11" si="6">B11*(1+C13)</f>
        <v>2837.95</v>
      </c>
      <c r="D11" s="11">
        <f t="shared" si="6"/>
        <v>2979.8474999999999</v>
      </c>
      <c r="E11" s="11">
        <f t="shared" si="6"/>
        <v>3113.0466832499997</v>
      </c>
      <c r="F11" s="11">
        <f t="shared" si="6"/>
        <v>3225.1163638469998</v>
      </c>
      <c r="G11" s="11">
        <f t="shared" si="6"/>
        <v>3310.5819474889454</v>
      </c>
      <c r="H11" s="11">
        <f t="shared" si="6"/>
        <v>3398.3123690974026</v>
      </c>
      <c r="I11" s="11">
        <f t="shared" si="6"/>
        <v>3493.46511543213</v>
      </c>
      <c r="J11" s="11">
        <f t="shared" si="6"/>
        <v>3587.7886735487973</v>
      </c>
      <c r="K11" s="11">
        <f t="shared" si="6"/>
        <v>3686.4528620713895</v>
      </c>
      <c r="L11" s="11">
        <f t="shared" si="6"/>
        <v>3787.830315778353</v>
      </c>
    </row>
    <row r="12" spans="1:12" ht="15.6" x14ac:dyDescent="0.3">
      <c r="A12" s="7" t="s">
        <v>26</v>
      </c>
      <c r="B12" s="8">
        <v>4.0000000000000001E-3</v>
      </c>
      <c r="C12" s="10">
        <f t="shared" ref="C12:L12" si="7">C42</f>
        <v>3.0000000000000001E-3</v>
      </c>
      <c r="D12" s="10">
        <f t="shared" si="7"/>
        <v>8.0000000000000002E-3</v>
      </c>
      <c r="E12" s="10">
        <f t="shared" si="7"/>
        <v>3.2000000000000002E-3</v>
      </c>
      <c r="F12" s="10">
        <f t="shared" si="7"/>
        <v>1E-3</v>
      </c>
      <c r="G12" s="10">
        <f t="shared" si="7"/>
        <v>1E-3</v>
      </c>
      <c r="H12" s="10">
        <f t="shared" si="7"/>
        <v>1.5E-3</v>
      </c>
      <c r="I12" s="10">
        <f t="shared" si="7"/>
        <v>2E-3</v>
      </c>
      <c r="J12" s="10">
        <f t="shared" si="7"/>
        <v>2E-3</v>
      </c>
      <c r="K12" s="10">
        <f t="shared" si="7"/>
        <v>2.5000000000000001E-3</v>
      </c>
      <c r="L12" s="10">
        <f t="shared" si="7"/>
        <v>2.5000000000000001E-3</v>
      </c>
    </row>
    <row r="13" spans="1:12" ht="15.6" x14ac:dyDescent="0.3">
      <c r="A13" s="7" t="s">
        <v>30</v>
      </c>
      <c r="B13" s="8">
        <f t="shared" ref="B13:L13" si="8">(B36+B12)</f>
        <v>8.3000000000000004E-2</v>
      </c>
      <c r="C13" s="8">
        <f t="shared" si="8"/>
        <v>5.5E-2</v>
      </c>
      <c r="D13" s="8">
        <f t="shared" si="8"/>
        <v>0.05</v>
      </c>
      <c r="E13" s="8">
        <f t="shared" si="8"/>
        <v>4.4700000000000004E-2</v>
      </c>
      <c r="F13" s="8">
        <f t="shared" si="8"/>
        <v>3.6000000000000004E-2</v>
      </c>
      <c r="G13" s="8">
        <f t="shared" si="8"/>
        <v>2.6499999999999999E-2</v>
      </c>
      <c r="H13" s="8">
        <f t="shared" si="8"/>
        <v>2.6500000000000003E-2</v>
      </c>
      <c r="I13" s="8">
        <f t="shared" si="8"/>
        <v>2.7999999999999997E-2</v>
      </c>
      <c r="J13" s="8">
        <f t="shared" si="8"/>
        <v>2.7000000000000003E-2</v>
      </c>
      <c r="K13" s="8">
        <f t="shared" si="8"/>
        <v>2.75E-2</v>
      </c>
      <c r="L13" s="8">
        <f t="shared" si="8"/>
        <v>2.75E-2</v>
      </c>
    </row>
    <row r="14" spans="1:12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.6" x14ac:dyDescent="0.3">
      <c r="A16" s="6" t="s">
        <v>32</v>
      </c>
      <c r="B16" s="11">
        <v>380.78800000000001</v>
      </c>
      <c r="C16" s="11">
        <f>B16*1.01*(1+C5)</f>
        <v>404.59486576000006</v>
      </c>
      <c r="D16" s="11">
        <f>C16*1.01*(1+D5)</f>
        <v>425.80372862313925</v>
      </c>
      <c r="E16" s="11">
        <f>D16*1.01*(1+E5)+6</f>
        <v>453.9093291946096</v>
      </c>
      <c r="F16" s="11">
        <f>E16*1.01*(1+F5)+6</f>
        <v>480.49411727358506</v>
      </c>
      <c r="G16" s="11">
        <f>F16*1.01*(1+G5)+6</f>
        <v>503.67418443670215</v>
      </c>
      <c r="H16" s="11">
        <f>G16*1.01*(1+H5)+4</f>
        <v>525.42869943809592</v>
      </c>
      <c r="I16" s="11">
        <f>H16*1.01*(1+I5)+3</f>
        <v>547.48074407972138</v>
      </c>
      <c r="J16" s="11">
        <f>I16*1.01*(1+J5)+3</f>
        <v>569.77944030853155</v>
      </c>
      <c r="K16" s="11">
        <f>J16*1.01*(1+K5)+1.75</f>
        <v>591.61416557940731</v>
      </c>
      <c r="L16" s="11">
        <f>K16*1.01*(1+L5)+1</f>
        <v>613.46856491608128</v>
      </c>
    </row>
    <row r="17" spans="1:12" ht="15.6" x14ac:dyDescent="0.3">
      <c r="A17" s="6" t="s">
        <v>33</v>
      </c>
      <c r="B17" s="11">
        <v>224</v>
      </c>
      <c r="C17" s="11">
        <f>C11*(0.083)+(B17*0.0109)</f>
        <v>237.99144999999999</v>
      </c>
      <c r="D17" s="11">
        <f>D11*(0.083)+(C17*0.0109)</f>
        <v>249.92144930500001</v>
      </c>
      <c r="E17" s="11">
        <f>D11*(0.083)+(C17*0.0109)</f>
        <v>249.92144930500001</v>
      </c>
      <c r="F17" s="11">
        <f t="shared" ref="F17:L17" si="9">F11*(0.083)+(E17*0.0109)</f>
        <v>270.40880199672551</v>
      </c>
      <c r="G17" s="11">
        <f t="shared" si="9"/>
        <v>277.72575758334676</v>
      </c>
      <c r="H17" s="11">
        <f t="shared" si="9"/>
        <v>285.08713739274287</v>
      </c>
      <c r="I17" s="11">
        <f t="shared" si="9"/>
        <v>293.06505437844771</v>
      </c>
      <c r="J17" s="11">
        <f t="shared" si="9"/>
        <v>300.98086899727531</v>
      </c>
      <c r="K17" s="11">
        <f t="shared" si="9"/>
        <v>309.25627902399566</v>
      </c>
      <c r="L17" s="11">
        <f t="shared" si="9"/>
        <v>317.76080965096486</v>
      </c>
    </row>
    <row r="18" spans="1:12" ht="15.6" x14ac:dyDescent="0.3">
      <c r="A18" s="6" t="s">
        <v>34</v>
      </c>
      <c r="B18" s="11">
        <v>124.276</v>
      </c>
      <c r="C18" s="11">
        <v>130.46700000000001</v>
      </c>
      <c r="D18" s="11">
        <f t="shared" ref="D18:L18" si="10">D11*0.0547</f>
        <v>162.99765825</v>
      </c>
      <c r="E18" s="11">
        <f t="shared" si="10"/>
        <v>170.28365357377498</v>
      </c>
      <c r="F18" s="11">
        <f t="shared" si="10"/>
        <v>176.41386510243089</v>
      </c>
      <c r="G18" s="11">
        <f t="shared" si="10"/>
        <v>181.08883252764531</v>
      </c>
      <c r="H18" s="11">
        <f t="shared" si="10"/>
        <v>185.88768658962792</v>
      </c>
      <c r="I18" s="11">
        <f t="shared" si="10"/>
        <v>191.09254181413752</v>
      </c>
      <c r="J18" s="11">
        <f t="shared" si="10"/>
        <v>196.2520404431192</v>
      </c>
      <c r="K18" s="11">
        <f t="shared" si="10"/>
        <v>201.648971555305</v>
      </c>
      <c r="L18" s="11">
        <f t="shared" si="10"/>
        <v>207.19431827307591</v>
      </c>
    </row>
    <row r="19" spans="1:12" ht="15.6" x14ac:dyDescent="0.3">
      <c r="A19" s="6" t="s">
        <v>35</v>
      </c>
      <c r="B19" s="11">
        <f>168-B30</f>
        <v>61</v>
      </c>
      <c r="C19" s="34">
        <f>B19*(1+C13)</f>
        <v>64.35499999999999</v>
      </c>
      <c r="D19" s="34">
        <f t="shared" ref="D19:L19" si="11">C19*(1+D13)</f>
        <v>67.572749999999999</v>
      </c>
      <c r="E19" s="34">
        <f t="shared" si="11"/>
        <v>70.59325192499999</v>
      </c>
      <c r="F19" s="34">
        <f t="shared" si="11"/>
        <v>73.134608994299995</v>
      </c>
      <c r="G19" s="34">
        <f t="shared" si="11"/>
        <v>75.072676132648937</v>
      </c>
      <c r="H19" s="34">
        <f t="shared" si="11"/>
        <v>77.062102050164128</v>
      </c>
      <c r="I19" s="34">
        <f t="shared" si="11"/>
        <v>79.219840907568724</v>
      </c>
      <c r="J19" s="34">
        <f t="shared" si="11"/>
        <v>81.358776612073072</v>
      </c>
      <c r="K19" s="34">
        <f t="shared" si="11"/>
        <v>83.596142968905085</v>
      </c>
      <c r="L19" s="34">
        <f t="shared" si="11"/>
        <v>85.895036900549982</v>
      </c>
    </row>
    <row r="20" spans="1:12" ht="15.6" x14ac:dyDescent="0.3">
      <c r="A20" s="6" t="s">
        <v>36</v>
      </c>
      <c r="B20" s="11">
        <v>128</v>
      </c>
      <c r="C20" s="11">
        <v>79.760000000000005</v>
      </c>
      <c r="D20" s="11">
        <f>((D11*0.011)/27.8)*100</f>
        <v>117.90763489208631</v>
      </c>
      <c r="E20" s="11">
        <f>((E11*0.011)/27.8)*100+3</f>
        <v>126.17810617176256</v>
      </c>
      <c r="F20" s="11">
        <f>((F11*0.011)/27.8)*100+3</f>
        <v>130.61251799394603</v>
      </c>
      <c r="G20" s="11">
        <f>((G11*0.011)/27.8)*100+3</f>
        <v>133.9942497207856</v>
      </c>
      <c r="H20" s="11">
        <f>((H11*0.011)/27.8)*100+2</f>
        <v>136.4655973383864</v>
      </c>
      <c r="I20" s="11">
        <f>((I11*0.011)/27.8)*100+2</f>
        <v>140.23063406386126</v>
      </c>
      <c r="J20" s="11">
        <f>((J11*0.011)/27.8)*100+2</f>
        <v>143.96286118358549</v>
      </c>
      <c r="K20" s="11">
        <f>((K11*0.011)/27.8)*100+2</f>
        <v>147.86683986613411</v>
      </c>
      <c r="L20" s="11">
        <f>((L11*0.011)/27.8)*100+2</f>
        <v>151.87817796245281</v>
      </c>
    </row>
    <row r="21" spans="1:12" ht="15.6" x14ac:dyDescent="0.3">
      <c r="A21" s="6" t="s">
        <v>37</v>
      </c>
      <c r="B21" s="10">
        <v>2.2700000000000001E-2</v>
      </c>
      <c r="C21" s="8">
        <v>2.3E-2</v>
      </c>
      <c r="D21" s="8">
        <v>2.3285714279999998E-2</v>
      </c>
      <c r="E21" s="8">
        <v>2.3571428559999996E-2</v>
      </c>
      <c r="F21" s="8">
        <v>2.3857142839999994E-2</v>
      </c>
      <c r="G21" s="8">
        <v>2.4142857119999993E-2</v>
      </c>
      <c r="H21" s="8">
        <v>2.4428571399999991E-2</v>
      </c>
      <c r="I21" s="8">
        <v>2.4714285679999989E-2</v>
      </c>
      <c r="J21" s="8">
        <v>2.4999999959999988E-2</v>
      </c>
      <c r="K21" s="8">
        <v>2.5000000000000001E-2</v>
      </c>
      <c r="L21" s="8">
        <v>2.5000000000000001E-2</v>
      </c>
    </row>
    <row r="22" spans="1:12" ht="15.6" x14ac:dyDescent="0.3">
      <c r="A22" s="6" t="s">
        <v>38</v>
      </c>
      <c r="B22" s="11">
        <v>53</v>
      </c>
      <c r="C22" s="11">
        <f t="shared" ref="C22:L22" si="12">C11*C21</f>
        <v>65.272849999999991</v>
      </c>
      <c r="D22" s="11">
        <f t="shared" si="12"/>
        <v>69.387877482972286</v>
      </c>
      <c r="E22" s="11">
        <f t="shared" si="12"/>
        <v>73.378957498172298</v>
      </c>
      <c r="F22" s="11">
        <f t="shared" si="12"/>
        <v>76.94206176791927</v>
      </c>
      <c r="G22" s="11">
        <f t="shared" si="12"/>
        <v>79.926906942276929</v>
      </c>
      <c r="H22" s="11">
        <f t="shared" si="12"/>
        <v>83.015916347999024</v>
      </c>
      <c r="I22" s="11">
        <f t="shared" si="12"/>
        <v>86.338494875903805</v>
      </c>
      <c r="J22" s="11">
        <f t="shared" si="12"/>
        <v>89.694716695208342</v>
      </c>
      <c r="K22" s="11">
        <f t="shared" si="12"/>
        <v>92.161321551784738</v>
      </c>
      <c r="L22" s="11">
        <f t="shared" si="12"/>
        <v>94.695757894458836</v>
      </c>
    </row>
    <row r="23" spans="1:12" ht="15.6" x14ac:dyDescent="0.3">
      <c r="A23" s="6" t="s">
        <v>39</v>
      </c>
      <c r="B23" s="35">
        <v>107.81100000000001</v>
      </c>
      <c r="C23" s="11">
        <f>B23*(1+C13)</f>
        <v>113.740605</v>
      </c>
      <c r="D23" s="11">
        <f t="shared" ref="D23:L23" si="13">C23*(1+D13)</f>
        <v>119.42763525000001</v>
      </c>
      <c r="E23" s="11">
        <f t="shared" si="13"/>
        <v>124.766050545675</v>
      </c>
      <c r="F23" s="11">
        <f t="shared" si="13"/>
        <v>129.25762836531931</v>
      </c>
      <c r="G23" s="11">
        <f t="shared" si="13"/>
        <v>132.68295551700027</v>
      </c>
      <c r="H23" s="11">
        <f t="shared" si="13"/>
        <v>136.19905383820077</v>
      </c>
      <c r="I23" s="11">
        <f t="shared" si="13"/>
        <v>140.01262734567038</v>
      </c>
      <c r="J23" s="11">
        <f t="shared" si="13"/>
        <v>143.79296828400348</v>
      </c>
      <c r="K23" s="11">
        <f t="shared" si="13"/>
        <v>147.74727491181358</v>
      </c>
      <c r="L23" s="11">
        <f t="shared" si="13"/>
        <v>151.81032497188846</v>
      </c>
    </row>
    <row r="24" spans="1:12" ht="15.6" x14ac:dyDescent="0.3">
      <c r="A24" s="7" t="s">
        <v>40</v>
      </c>
      <c r="B24" s="16">
        <f t="shared" ref="B24:L24" si="14">SUM(B16:B23) -B21</f>
        <v>1078.875</v>
      </c>
      <c r="C24" s="16">
        <f t="shared" si="14"/>
        <v>1096.1817707600001</v>
      </c>
      <c r="D24" s="16">
        <f t="shared" si="14"/>
        <v>1213.0187338031978</v>
      </c>
      <c r="E24" s="16">
        <f t="shared" si="14"/>
        <v>1269.0307982139941</v>
      </c>
      <c r="F24" s="16">
        <f t="shared" si="14"/>
        <v>1337.2636014942261</v>
      </c>
      <c r="G24" s="16">
        <f t="shared" si="14"/>
        <v>1384.1655628604058</v>
      </c>
      <c r="H24" s="16">
        <f t="shared" si="14"/>
        <v>1429.1461929952172</v>
      </c>
      <c r="I24" s="16">
        <f t="shared" si="14"/>
        <v>1477.4399374653108</v>
      </c>
      <c r="J24" s="16">
        <f t="shared" si="14"/>
        <v>1525.8216725237969</v>
      </c>
      <c r="K24" s="16">
        <f t="shared" si="14"/>
        <v>1573.8909954573455</v>
      </c>
      <c r="L24" s="16">
        <f t="shared" si="14"/>
        <v>1622.7029905694721</v>
      </c>
    </row>
    <row r="25" spans="1:12" ht="15.6" x14ac:dyDescent="0.3">
      <c r="A25" s="7"/>
      <c r="B25" s="11"/>
      <c r="C25" s="11"/>
      <c r="D25" s="18"/>
      <c r="E25" s="16"/>
      <c r="F25" s="16"/>
      <c r="G25" s="16"/>
      <c r="H25" s="16"/>
      <c r="I25" s="16"/>
      <c r="J25" s="16"/>
      <c r="K25" s="16"/>
      <c r="L25" s="16"/>
    </row>
    <row r="26" spans="1:12" ht="15.6" x14ac:dyDescent="0.3">
      <c r="A26" s="19" t="s">
        <v>41</v>
      </c>
      <c r="B26" s="11">
        <v>1027</v>
      </c>
      <c r="C26" s="11">
        <f>B26*(1+C13)</f>
        <v>1083.4849999999999</v>
      </c>
      <c r="D26" s="11">
        <f t="shared" ref="D26:L26" si="15">C26*(1+D13)</f>
        <v>1137.6592499999999</v>
      </c>
      <c r="E26" s="11">
        <f t="shared" si="15"/>
        <v>1188.512618475</v>
      </c>
      <c r="F26" s="11">
        <f t="shared" si="15"/>
        <v>1231.2990727401</v>
      </c>
      <c r="G26" s="11">
        <f t="shared" si="15"/>
        <v>1263.9284981677126</v>
      </c>
      <c r="H26" s="11">
        <f t="shared" si="15"/>
        <v>1297.4226033691571</v>
      </c>
      <c r="I26" s="11">
        <f t="shared" si="15"/>
        <v>1333.7504362634934</v>
      </c>
      <c r="J26" s="11">
        <f t="shared" si="15"/>
        <v>1369.7616980426076</v>
      </c>
      <c r="K26" s="11">
        <f t="shared" si="15"/>
        <v>1407.4301447387793</v>
      </c>
      <c r="L26" s="11">
        <f t="shared" si="15"/>
        <v>1446.1344737190959</v>
      </c>
    </row>
    <row r="27" spans="1:12" ht="15.6" x14ac:dyDescent="0.3">
      <c r="A27" s="31" t="s">
        <v>42</v>
      </c>
      <c r="B27" s="11">
        <f t="shared" ref="B27:L27" si="16">B26</f>
        <v>1027</v>
      </c>
      <c r="C27" s="11">
        <f t="shared" si="16"/>
        <v>1083.4849999999999</v>
      </c>
      <c r="D27" s="11">
        <f t="shared" si="16"/>
        <v>1137.6592499999999</v>
      </c>
      <c r="E27" s="11">
        <f t="shared" si="16"/>
        <v>1188.512618475</v>
      </c>
      <c r="F27" s="11">
        <f t="shared" si="16"/>
        <v>1231.2990727401</v>
      </c>
      <c r="G27" s="36">
        <f t="shared" si="16"/>
        <v>1263.9284981677126</v>
      </c>
      <c r="H27" s="11">
        <f t="shared" si="16"/>
        <v>1297.4226033691571</v>
      </c>
      <c r="I27" s="11">
        <f t="shared" si="16"/>
        <v>1333.7504362634934</v>
      </c>
      <c r="J27" s="11">
        <f t="shared" si="16"/>
        <v>1369.7616980426076</v>
      </c>
      <c r="K27" s="11">
        <f t="shared" si="16"/>
        <v>1407.4301447387793</v>
      </c>
      <c r="L27" s="11">
        <f t="shared" si="16"/>
        <v>1446.1344737190959</v>
      </c>
    </row>
    <row r="28" spans="1:12" ht="15.6" x14ac:dyDescent="0.3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5.6" x14ac:dyDescent="0.3">
      <c r="A29" s="6" t="s">
        <v>43</v>
      </c>
      <c r="B29" s="11">
        <v>107</v>
      </c>
      <c r="C29" s="11">
        <f t="shared" ref="C29:L29" si="17">(B45*C39)</f>
        <v>113.22</v>
      </c>
      <c r="D29" s="11">
        <f t="shared" si="17"/>
        <v>140.4309375</v>
      </c>
      <c r="E29" s="11">
        <f t="shared" si="17"/>
        <v>105.0296914035</v>
      </c>
      <c r="F29" s="11">
        <f t="shared" si="17"/>
        <v>75.414554801579953</v>
      </c>
      <c r="G29" s="11">
        <f t="shared" si="17"/>
        <v>80.053251580142302</v>
      </c>
      <c r="H29" s="11">
        <f t="shared" si="17"/>
        <v>84.587728669034959</v>
      </c>
      <c r="I29" s="11">
        <f t="shared" si="17"/>
        <v>98.554485233441412</v>
      </c>
      <c r="J29" s="11">
        <f t="shared" si="17"/>
        <v>114.00332343987985</v>
      </c>
      <c r="K29" s="11">
        <f t="shared" si="17"/>
        <v>121.2706430329376</v>
      </c>
      <c r="L29" s="11">
        <f t="shared" si="17"/>
        <v>129.37254197056967</v>
      </c>
    </row>
    <row r="30" spans="1:12" ht="15.6" x14ac:dyDescent="0.3">
      <c r="A30" s="7" t="s">
        <v>44</v>
      </c>
      <c r="B30" s="11">
        <f t="shared" ref="B30:L30" si="18">(B29)</f>
        <v>107</v>
      </c>
      <c r="C30" s="11">
        <f t="shared" si="18"/>
        <v>113.22</v>
      </c>
      <c r="D30" s="11">
        <f t="shared" si="18"/>
        <v>140.4309375</v>
      </c>
      <c r="E30" s="11">
        <f t="shared" si="18"/>
        <v>105.0296914035</v>
      </c>
      <c r="F30" s="11">
        <f t="shared" si="18"/>
        <v>75.414554801579953</v>
      </c>
      <c r="G30" s="11">
        <f t="shared" si="18"/>
        <v>80.053251580142302</v>
      </c>
      <c r="H30" s="11">
        <f t="shared" si="18"/>
        <v>84.587728669034959</v>
      </c>
      <c r="I30" s="11">
        <f t="shared" si="18"/>
        <v>98.554485233441412</v>
      </c>
      <c r="J30" s="11">
        <f t="shared" si="18"/>
        <v>114.00332343987985</v>
      </c>
      <c r="K30" s="11">
        <f t="shared" si="18"/>
        <v>121.2706430329376</v>
      </c>
      <c r="L30" s="11">
        <f t="shared" si="18"/>
        <v>129.37254197056967</v>
      </c>
    </row>
    <row r="31" spans="1:12" ht="15.6" x14ac:dyDescent="0.3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5.6" x14ac:dyDescent="0.3">
      <c r="A32" s="6" t="s">
        <v>45</v>
      </c>
      <c r="B32" s="11">
        <f t="shared" ref="B32:L32" si="19">B24-B27</f>
        <v>51.875</v>
      </c>
      <c r="C32" s="11">
        <f t="shared" si="19"/>
        <v>12.696770760000163</v>
      </c>
      <c r="D32" s="11">
        <f t="shared" si="19"/>
        <v>75.359483803197918</v>
      </c>
      <c r="E32" s="11">
        <f t="shared" si="19"/>
        <v>80.518179738994149</v>
      </c>
      <c r="F32" s="11">
        <f t="shared" si="19"/>
        <v>105.96452875412615</v>
      </c>
      <c r="G32" s="11">
        <f t="shared" si="19"/>
        <v>120.23706469269314</v>
      </c>
      <c r="H32" s="11">
        <f t="shared" si="19"/>
        <v>131.72358962606017</v>
      </c>
      <c r="I32" s="11">
        <f t="shared" si="19"/>
        <v>143.68950120181739</v>
      </c>
      <c r="J32" s="11">
        <f t="shared" si="19"/>
        <v>156.05997448118933</v>
      </c>
      <c r="K32" s="11">
        <f t="shared" si="19"/>
        <v>166.46085071856623</v>
      </c>
      <c r="L32" s="11">
        <f t="shared" si="19"/>
        <v>176.56851685037623</v>
      </c>
    </row>
    <row r="33" spans="1:12" ht="15.6" x14ac:dyDescent="0.3">
      <c r="A33" s="7" t="s">
        <v>46</v>
      </c>
      <c r="B33" s="10">
        <f t="shared" ref="B33:L33" si="20">(B32/B11)</f>
        <v>1.9284386617100371E-2</v>
      </c>
      <c r="C33" s="10">
        <f t="shared" si="20"/>
        <v>4.473923346077332E-3</v>
      </c>
      <c r="D33" s="10">
        <f t="shared" si="20"/>
        <v>2.5289711571883436E-2</v>
      </c>
      <c r="E33" s="10">
        <f t="shared" si="20"/>
        <v>2.5864751779094336E-2</v>
      </c>
      <c r="F33" s="10">
        <f t="shared" si="20"/>
        <v>3.2856032713104652E-2</v>
      </c>
      <c r="G33" s="10">
        <f t="shared" si="20"/>
        <v>3.6319011762838908E-2</v>
      </c>
      <c r="H33" s="10">
        <f t="shared" si="20"/>
        <v>3.8761471965876454E-2</v>
      </c>
      <c r="I33" s="10">
        <f t="shared" si="20"/>
        <v>4.1130939183299527E-2</v>
      </c>
      <c r="J33" s="10">
        <f t="shared" si="20"/>
        <v>4.3497538088503242E-2</v>
      </c>
      <c r="K33" s="10">
        <f t="shared" si="20"/>
        <v>4.5154748194727534E-2</v>
      </c>
      <c r="L33" s="10">
        <f t="shared" si="20"/>
        <v>4.6614684959585775E-2</v>
      </c>
    </row>
    <row r="34" spans="1:12" ht="15.6" x14ac:dyDescent="0.3">
      <c r="A34" s="3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5.6" x14ac:dyDescent="0.3">
      <c r="A35" s="7" t="s">
        <v>47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6" x14ac:dyDescent="0.3">
      <c r="A36" s="37" t="s">
        <v>48</v>
      </c>
      <c r="B36" s="10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3.5000000000000003E-2</v>
      </c>
      <c r="G36" s="10">
        <v>2.5499999999999998E-2</v>
      </c>
      <c r="H36" s="10">
        <v>2.5000000000000001E-2</v>
      </c>
      <c r="I36" s="10">
        <v>2.5999999999999999E-2</v>
      </c>
      <c r="J36" s="10">
        <v>2.5000000000000001E-2</v>
      </c>
      <c r="K36" s="10">
        <v>2.5000000000000001E-2</v>
      </c>
      <c r="L36" s="10">
        <v>2.5000000000000001E-2</v>
      </c>
    </row>
    <row r="37" spans="1:12" ht="15.6" x14ac:dyDescent="0.3">
      <c r="A37" s="3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5.6" x14ac:dyDescent="0.3">
      <c r="A38" s="7" t="s">
        <v>49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5.6" x14ac:dyDescent="0.3">
      <c r="A39" s="37" t="s">
        <v>25</v>
      </c>
      <c r="B39" s="10">
        <v>4.4499999999999998E-2</v>
      </c>
      <c r="C39" s="10">
        <v>4.4999999999999998E-2</v>
      </c>
      <c r="D39" s="10">
        <v>5.2499999999999998E-2</v>
      </c>
      <c r="E39" s="10">
        <v>3.7499999999999999E-2</v>
      </c>
      <c r="F39" s="10">
        <v>2.5000000000000001E-2</v>
      </c>
      <c r="G39" s="10">
        <v>2.5000000000000001E-2</v>
      </c>
      <c r="H39" s="10">
        <v>2.5000000000000001E-2</v>
      </c>
      <c r="I39" s="10">
        <v>2.75E-2</v>
      </c>
      <c r="J39" s="10">
        <v>0.03</v>
      </c>
      <c r="K39" s="10">
        <v>0.03</v>
      </c>
      <c r="L39" s="10">
        <v>0.03</v>
      </c>
    </row>
    <row r="40" spans="1:12" ht="15.6" x14ac:dyDescent="0.3">
      <c r="A40" s="38"/>
      <c r="B40" s="39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5.6" x14ac:dyDescent="0.3">
      <c r="A41" s="7" t="s">
        <v>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5.6" x14ac:dyDescent="0.3">
      <c r="A42" s="37" t="s">
        <v>51</v>
      </c>
      <c r="B42" s="8">
        <v>4.0000000000000001E-3</v>
      </c>
      <c r="C42" s="10">
        <v>3.0000000000000001E-3</v>
      </c>
      <c r="D42" s="10">
        <v>8.0000000000000002E-3</v>
      </c>
      <c r="E42" s="10">
        <v>3.2000000000000002E-3</v>
      </c>
      <c r="F42" s="10">
        <v>1E-3</v>
      </c>
      <c r="G42" s="10">
        <v>1E-3</v>
      </c>
      <c r="H42" s="10">
        <v>1.5E-3</v>
      </c>
      <c r="I42" s="10">
        <v>2E-3</v>
      </c>
      <c r="J42" s="10">
        <v>2E-3</v>
      </c>
      <c r="K42" s="10">
        <v>2.5000000000000001E-3</v>
      </c>
      <c r="L42" s="10">
        <v>2.5000000000000001E-3</v>
      </c>
    </row>
    <row r="43" spans="1:12" ht="15.6" x14ac:dyDescent="0.3">
      <c r="A43" s="3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6" x14ac:dyDescent="0.3">
      <c r="A44" s="7" t="s">
        <v>52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15.6" x14ac:dyDescent="0.3">
      <c r="A45" s="37" t="s">
        <v>53</v>
      </c>
      <c r="B45" s="11">
        <v>2516</v>
      </c>
      <c r="C45" s="11">
        <f t="shared" ref="C45:L45" si="21">B45+B48</f>
        <v>2674.875</v>
      </c>
      <c r="D45" s="11">
        <f t="shared" si="21"/>
        <v>2800.79177076</v>
      </c>
      <c r="E45" s="11">
        <f t="shared" si="21"/>
        <v>3016.5821920631979</v>
      </c>
      <c r="F45" s="11">
        <f t="shared" si="21"/>
        <v>3202.1300632056918</v>
      </c>
      <c r="G45" s="11">
        <f t="shared" si="21"/>
        <v>3383.5091467613979</v>
      </c>
      <c r="H45" s="11">
        <f t="shared" si="21"/>
        <v>3583.7994630342332</v>
      </c>
      <c r="I45" s="11">
        <f t="shared" si="21"/>
        <v>3800.1107813293283</v>
      </c>
      <c r="J45" s="11">
        <f t="shared" si="21"/>
        <v>4042.354767764587</v>
      </c>
      <c r="K45" s="11">
        <f t="shared" si="21"/>
        <v>4312.4180656856561</v>
      </c>
      <c r="L45" s="11">
        <f t="shared" si="21"/>
        <v>4600.14955943716</v>
      </c>
    </row>
    <row r="46" spans="1:12" ht="15.6" x14ac:dyDescent="0.3">
      <c r="A46" s="3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15.6" x14ac:dyDescent="0.3">
      <c r="A47" s="7" t="s">
        <v>54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15.6" x14ac:dyDescent="0.3">
      <c r="A48" s="37" t="s">
        <v>55</v>
      </c>
      <c r="B48" s="11">
        <f t="shared" ref="B48:L48" si="22">B24-B27+B30</f>
        <v>158.875</v>
      </c>
      <c r="C48" s="11">
        <f t="shared" si="22"/>
        <v>125.91677076000016</v>
      </c>
      <c r="D48" s="11">
        <f t="shared" si="22"/>
        <v>215.79042130319792</v>
      </c>
      <c r="E48" s="11">
        <f t="shared" si="22"/>
        <v>185.54787114249416</v>
      </c>
      <c r="F48" s="11">
        <f t="shared" si="22"/>
        <v>181.3790835557061</v>
      </c>
      <c r="G48" s="11">
        <f t="shared" si="22"/>
        <v>200.29031627283544</v>
      </c>
      <c r="H48" s="11">
        <f t="shared" si="22"/>
        <v>216.31131829509513</v>
      </c>
      <c r="I48" s="11">
        <f t="shared" si="22"/>
        <v>242.24398643525882</v>
      </c>
      <c r="J48" s="11">
        <f t="shared" si="22"/>
        <v>270.06329792106919</v>
      </c>
      <c r="K48" s="11">
        <f t="shared" si="22"/>
        <v>287.73149375150382</v>
      </c>
      <c r="L48" s="11">
        <f t="shared" si="22"/>
        <v>305.9410588209459</v>
      </c>
    </row>
    <row r="49" spans="1:12" ht="15.6" x14ac:dyDescent="0.3">
      <c r="A49" s="7" t="s">
        <v>56</v>
      </c>
      <c r="B49" s="10">
        <f t="shared" ref="B49:L49" si="23">B48/B11</f>
        <v>5.9061338289962823E-2</v>
      </c>
      <c r="C49" s="10">
        <f t="shared" si="23"/>
        <v>4.4368917972480194E-2</v>
      </c>
      <c r="D49" s="10">
        <f t="shared" si="23"/>
        <v>7.241659893776374E-2</v>
      </c>
      <c r="E49" s="10">
        <f t="shared" si="23"/>
        <v>5.960330506472953E-2</v>
      </c>
      <c r="F49" s="10">
        <f t="shared" si="23"/>
        <v>5.6239547071521033E-2</v>
      </c>
      <c r="G49" s="10">
        <f t="shared" si="23"/>
        <v>6.0500032758516772E-2</v>
      </c>
      <c r="H49" s="10">
        <f t="shared" si="23"/>
        <v>6.3652570688358404E-2</v>
      </c>
      <c r="I49" s="10">
        <f t="shared" si="23"/>
        <v>6.934203675461463E-2</v>
      </c>
      <c r="J49" s="10">
        <f t="shared" si="23"/>
        <v>7.5272911114338537E-2</v>
      </c>
      <c r="K49" s="10">
        <f t="shared" si="23"/>
        <v>7.8051043785713758E-2</v>
      </c>
      <c r="L49" s="10">
        <f t="shared" si="23"/>
        <v>8.0769473106157008E-2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1ACF-1EBB-4676-9C71-517F56C2BB24}">
  <sheetPr>
    <pageSetUpPr fitToPage="1"/>
  </sheetPr>
  <dimension ref="A1:L49"/>
  <sheetViews>
    <sheetView zoomScale="114" zoomScaleNormal="115" workbookViewId="0">
      <selection activeCell="A12" sqref="A12:L12"/>
    </sheetView>
  </sheetViews>
  <sheetFormatPr defaultColWidth="8.88671875" defaultRowHeight="14.4" x14ac:dyDescent="0.3"/>
  <cols>
    <col min="1" max="1" width="43.6640625" bestFit="1" customWidth="1"/>
    <col min="2" max="3" width="8.33203125" bestFit="1" customWidth="1"/>
    <col min="4" max="5" width="12" bestFit="1" customWidth="1"/>
    <col min="6" max="7" width="13.33203125" bestFit="1" customWidth="1"/>
    <col min="8" max="12" width="12" bestFit="1" customWidth="1"/>
  </cols>
  <sheetData>
    <row r="1" spans="1:12" ht="36.6" x14ac:dyDescent="0.7">
      <c r="A1" s="77" t="s">
        <v>79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</row>
    <row r="3" spans="1:12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6" x14ac:dyDescent="0.3">
      <c r="A4" s="7" t="s">
        <v>23</v>
      </c>
      <c r="B4" s="12">
        <f t="shared" ref="B4:L4" si="0">B33</f>
        <v>1.9284386617100371E-2</v>
      </c>
      <c r="C4" s="12">
        <f t="shared" si="0"/>
        <v>4.473923346077332E-3</v>
      </c>
      <c r="D4" s="12">
        <f t="shared" si="0"/>
        <v>2.5289711571883436E-2</v>
      </c>
      <c r="E4" s="12">
        <f t="shared" si="0"/>
        <v>2.6317835577681654E-2</v>
      </c>
      <c r="F4" s="12">
        <f t="shared" si="0"/>
        <v>2.7346885297977495E-2</v>
      </c>
      <c r="G4" s="12">
        <f t="shared" si="0"/>
        <v>2.8379519260192082E-2</v>
      </c>
      <c r="H4" s="12">
        <f t="shared" si="0"/>
        <v>2.9415275555248768E-2</v>
      </c>
      <c r="I4" s="12">
        <f t="shared" si="0"/>
        <v>3.0454123539852454E-2</v>
      </c>
      <c r="J4" s="12">
        <f t="shared" si="0"/>
        <v>3.1496206376396101E-2</v>
      </c>
      <c r="K4" s="12">
        <f t="shared" si="0"/>
        <v>3.2255958308734151E-2</v>
      </c>
      <c r="L4" s="12">
        <f t="shared" si="0"/>
        <v>3.3019260799642569E-2</v>
      </c>
    </row>
    <row r="5" spans="1:12" ht="15.6" x14ac:dyDescent="0.3">
      <c r="A5" s="7" t="s">
        <v>24</v>
      </c>
      <c r="B5" s="9">
        <f t="shared" ref="B5:L5" si="1">B36</f>
        <v>7.9000000000000001E-2</v>
      </c>
      <c r="C5" s="9">
        <f t="shared" si="1"/>
        <v>5.1999999999999998E-2</v>
      </c>
      <c r="D5" s="9">
        <f t="shared" si="1"/>
        <v>4.2000000000000003E-2</v>
      </c>
      <c r="E5" s="9">
        <f t="shared" si="1"/>
        <v>4.1500000000000002E-2</v>
      </c>
      <c r="F5" s="9">
        <f t="shared" si="1"/>
        <v>4.1000000000000002E-2</v>
      </c>
      <c r="G5" s="9">
        <f t="shared" si="1"/>
        <v>3.9899999999999998E-2</v>
      </c>
      <c r="H5" s="9">
        <f t="shared" si="1"/>
        <v>3.8800000000000001E-2</v>
      </c>
      <c r="I5" s="9">
        <f t="shared" si="1"/>
        <v>3.7900000000000003E-2</v>
      </c>
      <c r="J5" s="9">
        <f t="shared" si="1"/>
        <v>3.7199999999999997E-2</v>
      </c>
      <c r="K5" s="9">
        <f t="shared" si="1"/>
        <v>3.6700000000000003E-2</v>
      </c>
      <c r="L5" s="9">
        <f t="shared" si="1"/>
        <v>3.6299999999999999E-2</v>
      </c>
    </row>
    <row r="6" spans="1:12" ht="15.6" x14ac:dyDescent="0.3">
      <c r="A6" s="7" t="s">
        <v>25</v>
      </c>
      <c r="B6" s="10">
        <f t="shared" ref="B6:L6" si="2">B39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</row>
    <row r="7" spans="1:12" ht="15.6" x14ac:dyDescent="0.3">
      <c r="A7" s="7" t="s">
        <v>26</v>
      </c>
      <c r="B7" s="10">
        <f t="shared" ref="B7:L7" si="3">B42</f>
        <v>4.0000000000000001E-3</v>
      </c>
      <c r="C7" s="10">
        <f t="shared" si="3"/>
        <v>3.0000000000000001E-3</v>
      </c>
      <c r="D7" s="10">
        <f t="shared" si="3"/>
        <v>8.0000000000000002E-3</v>
      </c>
      <c r="E7" s="10">
        <f t="shared" si="3"/>
        <v>5.0000000000000001E-3</v>
      </c>
      <c r="F7" s="10">
        <f t="shared" si="3"/>
        <v>5.0000000000000001E-3</v>
      </c>
      <c r="G7" s="10">
        <f t="shared" si="3"/>
        <v>5.0000000000000001E-3</v>
      </c>
      <c r="H7" s="10">
        <f t="shared" si="3"/>
        <v>5.0000000000000001E-3</v>
      </c>
      <c r="I7" s="10">
        <f t="shared" si="3"/>
        <v>5.0000000000000001E-3</v>
      </c>
      <c r="J7" s="10">
        <f t="shared" si="3"/>
        <v>5.0000000000000001E-3</v>
      </c>
      <c r="K7" s="10">
        <f t="shared" si="3"/>
        <v>5.0000000000000001E-3</v>
      </c>
      <c r="L7" s="10">
        <f t="shared" si="3"/>
        <v>5.0000000000000001E-3</v>
      </c>
    </row>
    <row r="8" spans="1:12" ht="15.6" x14ac:dyDescent="0.3">
      <c r="A8" s="7" t="s">
        <v>27</v>
      </c>
      <c r="B8" s="10">
        <f t="shared" ref="B8:L8" si="4">B45/B11</f>
        <v>0.93531598513011149</v>
      </c>
      <c r="C8" s="10">
        <f t="shared" si="4"/>
        <v>0.94253774731760609</v>
      </c>
      <c r="D8" s="10">
        <f t="shared" si="4"/>
        <v>0.93991110980008208</v>
      </c>
      <c r="E8" s="10">
        <f t="shared" si="4"/>
        <v>0.96734611441743501</v>
      </c>
      <c r="F8" s="10">
        <f t="shared" si="4"/>
        <v>1.0019138234731217</v>
      </c>
      <c r="G8" s="10">
        <f t="shared" si="4"/>
        <v>1.0390217424577517</v>
      </c>
      <c r="H8" s="10">
        <f t="shared" si="4"/>
        <v>1.0757993022177328</v>
      </c>
      <c r="I8" s="10">
        <f t="shared" si="4"/>
        <v>1.1130109686557992</v>
      </c>
      <c r="J8" s="10">
        <f t="shared" si="4"/>
        <v>1.1495239632711607</v>
      </c>
      <c r="K8" s="10">
        <f t="shared" si="4"/>
        <v>1.1872581674351452</v>
      </c>
      <c r="L8" s="10">
        <f t="shared" si="4"/>
        <v>1.2259343834109548</v>
      </c>
    </row>
    <row r="9" spans="1:12" ht="15.6" x14ac:dyDescent="0.3">
      <c r="A9" s="7" t="s">
        <v>28</v>
      </c>
      <c r="B9" s="10">
        <f t="shared" ref="B9:L9" si="5">B49</f>
        <v>5.9061338289962823E-2</v>
      </c>
      <c r="C9" s="10">
        <f t="shared" si="5"/>
        <v>4.4368917972480194E-2</v>
      </c>
      <c r="D9" s="10">
        <f t="shared" si="5"/>
        <v>7.241659893776374E-2</v>
      </c>
      <c r="E9" s="10">
        <f t="shared" si="5"/>
        <v>8.0655744935450371E-2</v>
      </c>
      <c r="F9" s="10">
        <f t="shared" si="5"/>
        <v>8.3759995220982791E-2</v>
      </c>
      <c r="G9" s="10">
        <f t="shared" si="5"/>
        <v>8.3897569197117869E-2</v>
      </c>
      <c r="H9" s="10">
        <f t="shared" si="5"/>
        <v>8.4959836993400276E-2</v>
      </c>
      <c r="I9" s="10">
        <f t="shared" si="5"/>
        <v>8.5022905865404341E-2</v>
      </c>
      <c r="J9" s="10">
        <f t="shared" si="5"/>
        <v>8.7242869746030266E-2</v>
      </c>
      <c r="K9" s="10">
        <f t="shared" si="5"/>
        <v>8.9307306010681944E-2</v>
      </c>
      <c r="L9" s="10">
        <f t="shared" si="5"/>
        <v>9.1509939748478583E-2</v>
      </c>
    </row>
    <row r="10" spans="1:12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5.6" x14ac:dyDescent="0.3">
      <c r="A11" s="7" t="s">
        <v>29</v>
      </c>
      <c r="B11" s="6">
        <v>2690</v>
      </c>
      <c r="C11" s="11">
        <f t="shared" ref="C11:L11" si="6">B11*(1+C13)</f>
        <v>2837.95</v>
      </c>
      <c r="D11" s="11">
        <f t="shared" si="6"/>
        <v>2979.8474999999999</v>
      </c>
      <c r="E11" s="11">
        <f t="shared" si="6"/>
        <v>3118.41040875</v>
      </c>
      <c r="F11" s="11">
        <f t="shared" si="6"/>
        <v>3261.8572875525001</v>
      </c>
      <c r="G11" s="11">
        <f t="shared" si="6"/>
        <v>3408.3146797636073</v>
      </c>
      <c r="H11" s="11">
        <f t="shared" si="6"/>
        <v>3557.5988627372535</v>
      </c>
      <c r="I11" s="11">
        <f t="shared" si="6"/>
        <v>3710.2198539486812</v>
      </c>
      <c r="J11" s="11">
        <f t="shared" si="6"/>
        <v>3866.7911317853154</v>
      </c>
      <c r="K11" s="11">
        <f t="shared" si="6"/>
        <v>4028.0363219807632</v>
      </c>
      <c r="L11" s="11">
        <f t="shared" si="6"/>
        <v>4194.3942220785684</v>
      </c>
    </row>
    <row r="12" spans="1:12" ht="15.6" x14ac:dyDescent="0.3">
      <c r="A12" s="7" t="s">
        <v>26</v>
      </c>
      <c r="B12" s="12">
        <v>4.0000000000000001E-3</v>
      </c>
      <c r="C12" s="10">
        <f t="shared" ref="C12:L12" si="7">C42</f>
        <v>3.0000000000000001E-3</v>
      </c>
      <c r="D12" s="10">
        <f t="shared" si="7"/>
        <v>8.0000000000000002E-3</v>
      </c>
      <c r="E12" s="10">
        <f t="shared" si="7"/>
        <v>5.0000000000000001E-3</v>
      </c>
      <c r="F12" s="10">
        <f t="shared" si="7"/>
        <v>5.0000000000000001E-3</v>
      </c>
      <c r="G12" s="10">
        <f t="shared" si="7"/>
        <v>5.0000000000000001E-3</v>
      </c>
      <c r="H12" s="10">
        <f t="shared" si="7"/>
        <v>5.0000000000000001E-3</v>
      </c>
      <c r="I12" s="10">
        <f t="shared" si="7"/>
        <v>5.0000000000000001E-3</v>
      </c>
      <c r="J12" s="10">
        <f t="shared" si="7"/>
        <v>5.0000000000000001E-3</v>
      </c>
      <c r="K12" s="10">
        <f t="shared" si="7"/>
        <v>5.0000000000000001E-3</v>
      </c>
      <c r="L12" s="10">
        <f t="shared" si="7"/>
        <v>5.0000000000000001E-3</v>
      </c>
    </row>
    <row r="13" spans="1:12" ht="15.6" x14ac:dyDescent="0.3">
      <c r="A13" s="7" t="s">
        <v>30</v>
      </c>
      <c r="B13" s="12">
        <f t="shared" ref="B13:L13" si="8">(B36+B12)</f>
        <v>8.3000000000000004E-2</v>
      </c>
      <c r="C13" s="12">
        <f t="shared" si="8"/>
        <v>5.5E-2</v>
      </c>
      <c r="D13" s="12">
        <f t="shared" si="8"/>
        <v>0.05</v>
      </c>
      <c r="E13" s="12">
        <f t="shared" si="8"/>
        <v>4.65E-2</v>
      </c>
      <c r="F13" s="12">
        <f t="shared" si="8"/>
        <v>4.5999999999999999E-2</v>
      </c>
      <c r="G13" s="12">
        <f t="shared" si="8"/>
        <v>4.4899999999999995E-2</v>
      </c>
      <c r="H13" s="12">
        <f t="shared" si="8"/>
        <v>4.3799999999999999E-2</v>
      </c>
      <c r="I13" s="12">
        <f t="shared" si="8"/>
        <v>4.2900000000000001E-2</v>
      </c>
      <c r="J13" s="12">
        <f t="shared" si="8"/>
        <v>4.2199999999999994E-2</v>
      </c>
      <c r="K13" s="12">
        <f t="shared" si="8"/>
        <v>4.1700000000000001E-2</v>
      </c>
      <c r="L13" s="12">
        <f t="shared" si="8"/>
        <v>4.1299999999999996E-2</v>
      </c>
    </row>
    <row r="14" spans="1:12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.6" x14ac:dyDescent="0.3">
      <c r="A16" s="6" t="s">
        <v>32</v>
      </c>
      <c r="B16" s="11">
        <v>380.78800000000001</v>
      </c>
      <c r="C16" s="11">
        <f t="shared" ref="C16:L16" si="9">B16*1.01*(1+C5)</f>
        <v>404.59486576000006</v>
      </c>
      <c r="D16" s="11">
        <f t="shared" si="9"/>
        <v>425.80372862313925</v>
      </c>
      <c r="E16" s="11">
        <f t="shared" si="9"/>
        <v>447.9093291946096</v>
      </c>
      <c r="F16" s="11">
        <f t="shared" si="9"/>
        <v>470.93634780850442</v>
      </c>
      <c r="G16" s="11">
        <f t="shared" si="9"/>
        <v>494.62397516692442</v>
      </c>
      <c r="H16" s="11">
        <f t="shared" si="9"/>
        <v>518.95353925743507</v>
      </c>
      <c r="I16" s="11">
        <f t="shared" si="9"/>
        <v>544.00809717924483</v>
      </c>
      <c r="J16" s="11">
        <f t="shared" si="9"/>
        <v>569.88765037825578</v>
      </c>
      <c r="K16" s="11">
        <f t="shared" si="9"/>
        <v>596.71055241860915</v>
      </c>
      <c r="L16" s="11">
        <f t="shared" si="9"/>
        <v>624.55485692611865</v>
      </c>
    </row>
    <row r="17" spans="1:12" ht="15.6" x14ac:dyDescent="0.3">
      <c r="A17" s="6" t="s">
        <v>33</v>
      </c>
      <c r="B17" s="11">
        <v>224</v>
      </c>
      <c r="C17" s="11">
        <f t="shared" ref="C17:L17" si="10">C11*(0.083)+(B17*0.0109)</f>
        <v>237.99144999999999</v>
      </c>
      <c r="D17" s="11">
        <f t="shared" si="10"/>
        <v>249.92144930500001</v>
      </c>
      <c r="E17" s="11">
        <f t="shared" si="10"/>
        <v>261.55220772367454</v>
      </c>
      <c r="F17" s="11">
        <f t="shared" si="10"/>
        <v>273.5850739310456</v>
      </c>
      <c r="G17" s="11">
        <f t="shared" si="10"/>
        <v>285.8721957262278</v>
      </c>
      <c r="H17" s="11">
        <f t="shared" si="10"/>
        <v>298.39671254060789</v>
      </c>
      <c r="I17" s="11">
        <f t="shared" si="10"/>
        <v>311.20077204443322</v>
      </c>
      <c r="J17" s="11">
        <f t="shared" si="10"/>
        <v>324.33575235346552</v>
      </c>
      <c r="K17" s="11">
        <f t="shared" si="10"/>
        <v>337.86227442505611</v>
      </c>
      <c r="L17" s="11">
        <f t="shared" si="10"/>
        <v>351.81741922375431</v>
      </c>
    </row>
    <row r="18" spans="1:12" ht="15.6" x14ac:dyDescent="0.3">
      <c r="A18" s="6" t="s">
        <v>34</v>
      </c>
      <c r="B18" s="11">
        <v>124.276</v>
      </c>
      <c r="C18" s="11">
        <v>130.46700000000001</v>
      </c>
      <c r="D18" s="11">
        <f t="shared" ref="D18:L18" si="11">D11*0.0547</f>
        <v>162.99765825</v>
      </c>
      <c r="E18" s="11">
        <f t="shared" si="11"/>
        <v>170.577049358625</v>
      </c>
      <c r="F18" s="11">
        <f t="shared" si="11"/>
        <v>178.42359362912174</v>
      </c>
      <c r="G18" s="11">
        <f t="shared" si="11"/>
        <v>186.43481298306932</v>
      </c>
      <c r="H18" s="11">
        <f t="shared" si="11"/>
        <v>194.60065779172777</v>
      </c>
      <c r="I18" s="11">
        <f t="shared" si="11"/>
        <v>202.94902601099287</v>
      </c>
      <c r="J18" s="11">
        <f t="shared" si="11"/>
        <v>211.51347490865675</v>
      </c>
      <c r="K18" s="11">
        <f t="shared" si="11"/>
        <v>220.33358681234773</v>
      </c>
      <c r="L18" s="11">
        <f t="shared" si="11"/>
        <v>229.4333639476977</v>
      </c>
    </row>
    <row r="19" spans="1:12" ht="15.6" x14ac:dyDescent="0.3">
      <c r="A19" s="6" t="s">
        <v>35</v>
      </c>
      <c r="B19" s="11">
        <f>168-B30</f>
        <v>61</v>
      </c>
      <c r="C19" s="13">
        <f>B19*(1+C13)</f>
        <v>64.35499999999999</v>
      </c>
      <c r="D19" s="13">
        <f t="shared" ref="D19:L19" si="12">C19*(1+D13)</f>
        <v>67.572749999999999</v>
      </c>
      <c r="E19" s="13">
        <f t="shared" si="12"/>
        <v>70.714882875000001</v>
      </c>
      <c r="F19" s="13">
        <f t="shared" si="12"/>
        <v>73.967767487250001</v>
      </c>
      <c r="G19" s="13">
        <f t="shared" si="12"/>
        <v>77.288920247427527</v>
      </c>
      <c r="H19" s="13">
        <f t="shared" si="12"/>
        <v>80.674174954264856</v>
      </c>
      <c r="I19" s="13">
        <f t="shared" si="12"/>
        <v>84.135097059802817</v>
      </c>
      <c r="J19" s="13">
        <f t="shared" si="12"/>
        <v>87.685598155726495</v>
      </c>
      <c r="K19" s="13">
        <f t="shared" si="12"/>
        <v>91.342087598820299</v>
      </c>
      <c r="L19" s="13">
        <f t="shared" si="12"/>
        <v>95.114515816651561</v>
      </c>
    </row>
    <row r="20" spans="1:12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13">((D11*0.011)/27.8)*100</f>
        <v>117.90763489208631</v>
      </c>
      <c r="E20" s="11">
        <f t="shared" si="13"/>
        <v>123.39033991456833</v>
      </c>
      <c r="F20" s="11">
        <f t="shared" si="13"/>
        <v>129.0662955506385</v>
      </c>
      <c r="G20" s="11">
        <f t="shared" si="13"/>
        <v>134.86137222086214</v>
      </c>
      <c r="H20" s="11">
        <f t="shared" si="13"/>
        <v>140.76830032413591</v>
      </c>
      <c r="I20" s="11">
        <f t="shared" si="13"/>
        <v>146.80726040804132</v>
      </c>
      <c r="J20" s="11">
        <f t="shared" si="13"/>
        <v>153.00252679726069</v>
      </c>
      <c r="K20" s="11">
        <f t="shared" si="13"/>
        <v>159.38273216470645</v>
      </c>
      <c r="L20" s="11">
        <f t="shared" si="13"/>
        <v>165.96523900310882</v>
      </c>
    </row>
    <row r="21" spans="1:12" ht="15.6" x14ac:dyDescent="0.3">
      <c r="A21" s="6" t="s">
        <v>37</v>
      </c>
      <c r="B21" s="10">
        <v>2.2700000000000001E-2</v>
      </c>
      <c r="C21" s="14">
        <v>2.3E-2</v>
      </c>
      <c r="D21" s="14">
        <v>2.3285714279999998E-2</v>
      </c>
      <c r="E21" s="14">
        <v>2.3571428559999996E-2</v>
      </c>
      <c r="F21" s="14">
        <v>2.3857142839999994E-2</v>
      </c>
      <c r="G21" s="14">
        <v>2.4142857119999993E-2</v>
      </c>
      <c r="H21" s="14">
        <v>2.4428571399999991E-2</v>
      </c>
      <c r="I21" s="14">
        <v>2.4714285679999989E-2</v>
      </c>
      <c r="J21" s="14">
        <v>2.4999999959999988E-2</v>
      </c>
      <c r="K21" s="14">
        <v>2.5000000000000001E-2</v>
      </c>
      <c r="L21" s="14">
        <v>2.5000000000000001E-2</v>
      </c>
    </row>
    <row r="22" spans="1:12" ht="15.6" x14ac:dyDescent="0.3">
      <c r="A22" s="6" t="s">
        <v>38</v>
      </c>
      <c r="B22" s="11">
        <v>53</v>
      </c>
      <c r="C22" s="11">
        <f t="shared" ref="C22:L22" si="14">C11*C21</f>
        <v>65.272849999999991</v>
      </c>
      <c r="D22" s="11">
        <f t="shared" si="14"/>
        <v>69.387877482972286</v>
      </c>
      <c r="E22" s="11">
        <f t="shared" si="14"/>
        <v>73.505388170611013</v>
      </c>
      <c r="F22" s="11">
        <f t="shared" si="14"/>
        <v>77.818595232834937</v>
      </c>
      <c r="G22" s="11">
        <f t="shared" si="14"/>
        <v>82.286454333531296</v>
      </c>
      <c r="H22" s="11">
        <f t="shared" si="14"/>
        <v>86.90705783093577</v>
      </c>
      <c r="I22" s="11">
        <f t="shared" si="14"/>
        <v>91.695433406095546</v>
      </c>
      <c r="J22" s="11">
        <f t="shared" si="14"/>
        <v>96.669778139961196</v>
      </c>
      <c r="K22" s="11">
        <f t="shared" si="14"/>
        <v>100.70090804951909</v>
      </c>
      <c r="L22" s="11">
        <f t="shared" si="14"/>
        <v>104.85985555196422</v>
      </c>
    </row>
    <row r="23" spans="1:12" ht="15.6" x14ac:dyDescent="0.3">
      <c r="A23" s="6" t="s">
        <v>39</v>
      </c>
      <c r="B23" s="15">
        <v>107.81100000000001</v>
      </c>
      <c r="C23" s="11">
        <f>B23*(1+C13)</f>
        <v>113.740605</v>
      </c>
      <c r="D23" s="11">
        <f t="shared" ref="D23:L23" si="15">C23*(1+D13)</f>
        <v>119.42763525000001</v>
      </c>
      <c r="E23" s="11">
        <f t="shared" si="15"/>
        <v>124.98102028912501</v>
      </c>
      <c r="F23" s="11">
        <f t="shared" si="15"/>
        <v>130.73014722242476</v>
      </c>
      <c r="G23" s="11">
        <f t="shared" si="15"/>
        <v>136.59993083271164</v>
      </c>
      <c r="H23" s="11">
        <f t="shared" si="15"/>
        <v>142.58300780318442</v>
      </c>
      <c r="I23" s="11">
        <f t="shared" si="15"/>
        <v>148.69981883794102</v>
      </c>
      <c r="J23" s="11">
        <f t="shared" si="15"/>
        <v>154.97495119290213</v>
      </c>
      <c r="K23" s="11">
        <f t="shared" si="15"/>
        <v>161.43740665764616</v>
      </c>
      <c r="L23" s="11">
        <f t="shared" si="15"/>
        <v>168.10477155260693</v>
      </c>
    </row>
    <row r="24" spans="1:12" ht="15.6" x14ac:dyDescent="0.3">
      <c r="A24" s="7" t="s">
        <v>40</v>
      </c>
      <c r="B24" s="16">
        <f t="shared" ref="B24:L24" si="16">SUM(B16:B23) -B21</f>
        <v>1078.875</v>
      </c>
      <c r="C24" s="16">
        <f t="shared" si="16"/>
        <v>1096.1817707600001</v>
      </c>
      <c r="D24" s="16">
        <f t="shared" si="16"/>
        <v>1213.0187338031978</v>
      </c>
      <c r="E24" s="16">
        <f t="shared" si="16"/>
        <v>1272.6302175262135</v>
      </c>
      <c r="F24" s="16">
        <f t="shared" si="16"/>
        <v>1334.5278208618201</v>
      </c>
      <c r="G24" s="16">
        <f t="shared" si="16"/>
        <v>1397.9676615107542</v>
      </c>
      <c r="H24" s="16">
        <f t="shared" si="16"/>
        <v>1462.8834505022919</v>
      </c>
      <c r="I24" s="16">
        <f t="shared" si="16"/>
        <v>1529.4955049465514</v>
      </c>
      <c r="J24" s="16">
        <f t="shared" si="16"/>
        <v>1598.0697319262285</v>
      </c>
      <c r="K24" s="16">
        <f t="shared" si="16"/>
        <v>1667.7695481267051</v>
      </c>
      <c r="L24" s="16">
        <f t="shared" si="16"/>
        <v>1739.8500220219023</v>
      </c>
    </row>
    <row r="25" spans="1:12" ht="15.6" x14ac:dyDescent="0.3">
      <c r="A25" s="7"/>
      <c r="B25" s="17"/>
      <c r="C25" s="11"/>
      <c r="D25" s="18"/>
      <c r="E25" s="16"/>
      <c r="F25" s="16"/>
      <c r="G25" s="16"/>
      <c r="H25" s="16"/>
      <c r="I25" s="16"/>
      <c r="J25" s="16"/>
      <c r="K25" s="16"/>
      <c r="L25" s="16"/>
    </row>
    <row r="26" spans="1:12" ht="15.6" x14ac:dyDescent="0.3">
      <c r="A26" s="19" t="s">
        <v>41</v>
      </c>
      <c r="B26">
        <v>1027</v>
      </c>
      <c r="C26" s="11">
        <f>B26*(1+C13)</f>
        <v>1083.4849999999999</v>
      </c>
      <c r="D26" s="11">
        <f t="shared" ref="D26:L26" si="17">C26*(1+D13)</f>
        <v>1137.6592499999999</v>
      </c>
      <c r="E26" s="11">
        <f t="shared" si="17"/>
        <v>1190.560405125</v>
      </c>
      <c r="F26" s="11">
        <f t="shared" si="17"/>
        <v>1245.3261837607499</v>
      </c>
      <c r="G26" s="11">
        <f t="shared" si="17"/>
        <v>1301.2413294116075</v>
      </c>
      <c r="H26" s="11">
        <f t="shared" si="17"/>
        <v>1358.235699639836</v>
      </c>
      <c r="I26" s="11">
        <f t="shared" si="17"/>
        <v>1416.5040111543849</v>
      </c>
      <c r="J26" s="11">
        <f t="shared" si="17"/>
        <v>1476.2804804251</v>
      </c>
      <c r="K26" s="11">
        <f t="shared" si="17"/>
        <v>1537.8413764588267</v>
      </c>
      <c r="L26" s="11">
        <f t="shared" si="17"/>
        <v>1601.3542253065762</v>
      </c>
    </row>
    <row r="27" spans="1:12" ht="15.6" x14ac:dyDescent="0.3">
      <c r="A27" s="31" t="s">
        <v>42</v>
      </c>
      <c r="B27" s="20">
        <f t="shared" ref="B27:L27" si="18">B26</f>
        <v>1027</v>
      </c>
      <c r="C27" s="20">
        <f t="shared" si="18"/>
        <v>1083.4849999999999</v>
      </c>
      <c r="D27" s="21">
        <f t="shared" si="18"/>
        <v>1137.6592499999999</v>
      </c>
      <c r="E27" s="21">
        <f t="shared" si="18"/>
        <v>1190.560405125</v>
      </c>
      <c r="F27" s="21">
        <f t="shared" si="18"/>
        <v>1245.3261837607499</v>
      </c>
      <c r="G27" s="22">
        <f t="shared" si="18"/>
        <v>1301.2413294116075</v>
      </c>
      <c r="H27" s="21">
        <f t="shared" si="18"/>
        <v>1358.235699639836</v>
      </c>
      <c r="I27" s="21">
        <f t="shared" si="18"/>
        <v>1416.5040111543849</v>
      </c>
      <c r="J27" s="21">
        <f t="shared" si="18"/>
        <v>1476.2804804251</v>
      </c>
      <c r="K27" s="21">
        <f t="shared" si="18"/>
        <v>1537.8413764588267</v>
      </c>
      <c r="L27" s="21">
        <f t="shared" si="18"/>
        <v>1601.3542253065762</v>
      </c>
    </row>
    <row r="28" spans="1:12" ht="15.6" x14ac:dyDescent="0.3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ht="15.6" x14ac:dyDescent="0.3">
      <c r="A29" s="6" t="s">
        <v>43</v>
      </c>
      <c r="B29" s="23">
        <v>107</v>
      </c>
      <c r="C29" s="23">
        <f t="shared" ref="C29:L29" si="19">(B45*C39)</f>
        <v>113.22</v>
      </c>
      <c r="D29" s="23">
        <f t="shared" si="19"/>
        <v>140.4309375</v>
      </c>
      <c r="E29" s="23">
        <f t="shared" si="19"/>
        <v>169.44790213098</v>
      </c>
      <c r="F29" s="23">
        <f t="shared" si="19"/>
        <v>184.01151371585507</v>
      </c>
      <c r="G29" s="23">
        <f t="shared" si="19"/>
        <v>189.22298459187317</v>
      </c>
      <c r="H29" s="23">
        <f t="shared" si="19"/>
        <v>197.6052686036073</v>
      </c>
      <c r="I29" s="23">
        <f t="shared" si="19"/>
        <v>202.46217959006651</v>
      </c>
      <c r="J29" s="23">
        <f t="shared" si="19"/>
        <v>215.56070354432268</v>
      </c>
      <c r="K29" s="23">
        <f t="shared" si="19"/>
        <v>229.80490076139944</v>
      </c>
      <c r="L29" s="23">
        <f t="shared" si="19"/>
        <v>245.3329658284504</v>
      </c>
    </row>
    <row r="30" spans="1:12" ht="15.6" x14ac:dyDescent="0.3">
      <c r="A30" s="7" t="s">
        <v>44</v>
      </c>
      <c r="B30" s="23">
        <f t="shared" ref="B30:L30" si="20">(B29)</f>
        <v>107</v>
      </c>
      <c r="C30" s="23">
        <f t="shared" si="20"/>
        <v>113.22</v>
      </c>
      <c r="D30" s="23">
        <f t="shared" si="20"/>
        <v>140.4309375</v>
      </c>
      <c r="E30" s="23">
        <f t="shared" si="20"/>
        <v>169.44790213098</v>
      </c>
      <c r="F30" s="23">
        <f t="shared" si="20"/>
        <v>184.01151371585507</v>
      </c>
      <c r="G30" s="23">
        <f t="shared" si="20"/>
        <v>189.22298459187317</v>
      </c>
      <c r="H30" s="23">
        <f t="shared" si="20"/>
        <v>197.6052686036073</v>
      </c>
      <c r="I30" s="23">
        <f t="shared" si="20"/>
        <v>202.46217959006651</v>
      </c>
      <c r="J30" s="23">
        <f t="shared" si="20"/>
        <v>215.56070354432268</v>
      </c>
      <c r="K30" s="23">
        <f t="shared" si="20"/>
        <v>229.80490076139944</v>
      </c>
      <c r="L30" s="23">
        <f t="shared" si="20"/>
        <v>245.3329658284504</v>
      </c>
    </row>
    <row r="31" spans="1:12" ht="15.6" x14ac:dyDescent="0.3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6" x14ac:dyDescent="0.3">
      <c r="A32" s="6" t="s">
        <v>45</v>
      </c>
      <c r="B32" s="17">
        <f t="shared" ref="B32:L32" si="21">B24-B27</f>
        <v>51.875</v>
      </c>
      <c r="C32" s="17">
        <f t="shared" si="21"/>
        <v>12.696770760000163</v>
      </c>
      <c r="D32" s="17">
        <f t="shared" si="21"/>
        <v>75.359483803197918</v>
      </c>
      <c r="E32" s="17">
        <f t="shared" si="21"/>
        <v>82.069812401213539</v>
      </c>
      <c r="F32" s="17">
        <f t="shared" si="21"/>
        <v>89.201637101070219</v>
      </c>
      <c r="G32" s="17">
        <f t="shared" si="21"/>
        <v>96.726332099146703</v>
      </c>
      <c r="H32" s="17">
        <f t="shared" si="21"/>
        <v>104.64775086245595</v>
      </c>
      <c r="I32" s="17">
        <f t="shared" si="21"/>
        <v>112.99149379216647</v>
      </c>
      <c r="J32" s="17">
        <f t="shared" si="21"/>
        <v>121.78925150112855</v>
      </c>
      <c r="K32" s="17">
        <f t="shared" si="21"/>
        <v>129.92817166787836</v>
      </c>
      <c r="L32" s="17">
        <f t="shared" si="21"/>
        <v>138.49579671532615</v>
      </c>
    </row>
    <row r="33" spans="1:12" ht="15.6" x14ac:dyDescent="0.3">
      <c r="A33" s="7" t="s">
        <v>46</v>
      </c>
      <c r="B33" s="24">
        <f t="shared" ref="B33:L33" si="22">(B32/B11)</f>
        <v>1.9284386617100371E-2</v>
      </c>
      <c r="C33" s="24">
        <f t="shared" si="22"/>
        <v>4.473923346077332E-3</v>
      </c>
      <c r="D33" s="24">
        <f t="shared" si="22"/>
        <v>2.5289711571883436E-2</v>
      </c>
      <c r="E33" s="24">
        <f t="shared" si="22"/>
        <v>2.6317835577681654E-2</v>
      </c>
      <c r="F33" s="24">
        <f t="shared" si="22"/>
        <v>2.7346885297977495E-2</v>
      </c>
      <c r="G33" s="24">
        <f t="shared" si="22"/>
        <v>2.8379519260192082E-2</v>
      </c>
      <c r="H33" s="24">
        <f t="shared" si="22"/>
        <v>2.9415275555248768E-2</v>
      </c>
      <c r="I33" s="24">
        <f t="shared" si="22"/>
        <v>3.0454123539852454E-2</v>
      </c>
      <c r="J33" s="24">
        <f t="shared" si="22"/>
        <v>3.1496206376396101E-2</v>
      </c>
      <c r="K33" s="24">
        <f t="shared" si="22"/>
        <v>3.2255958308734151E-2</v>
      </c>
      <c r="L33" s="24">
        <f t="shared" si="22"/>
        <v>3.3019260799642569E-2</v>
      </c>
    </row>
    <row r="34" spans="1:12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6" x14ac:dyDescent="0.3">
      <c r="A35" s="26" t="s">
        <v>47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6" x14ac:dyDescent="0.3">
      <c r="A36" s="23" t="s">
        <v>48</v>
      </c>
      <c r="B36" s="24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4.1000000000000002E-2</v>
      </c>
      <c r="G36" s="10">
        <v>3.9899999999999998E-2</v>
      </c>
      <c r="H36" s="10">
        <v>3.8800000000000001E-2</v>
      </c>
      <c r="I36" s="10">
        <v>3.7900000000000003E-2</v>
      </c>
      <c r="J36" s="10">
        <v>3.7199999999999997E-2</v>
      </c>
      <c r="K36" s="10">
        <v>3.6700000000000003E-2</v>
      </c>
      <c r="L36" s="10">
        <v>3.6299999999999999E-2</v>
      </c>
    </row>
    <row r="37" spans="1:12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6" x14ac:dyDescent="0.3">
      <c r="A38" s="26" t="s">
        <v>49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3">
      <c r="A39" s="23" t="s">
        <v>25</v>
      </c>
      <c r="B39" s="24">
        <v>4.4499999999999998E-2</v>
      </c>
      <c r="C39" s="24">
        <v>4.4999999999999998E-2</v>
      </c>
      <c r="D39" s="24">
        <v>5.2499999999999998E-2</v>
      </c>
      <c r="E39" s="24">
        <v>6.0499999999999998E-2</v>
      </c>
      <c r="F39" s="24">
        <v>6.0999999999999999E-2</v>
      </c>
      <c r="G39" s="24">
        <v>5.79E-2</v>
      </c>
      <c r="H39" s="24">
        <v>5.5800000000000002E-2</v>
      </c>
      <c r="I39" s="24">
        <v>5.2900000000000003E-2</v>
      </c>
      <c r="J39" s="24">
        <v>5.2200000000000003E-2</v>
      </c>
      <c r="K39" s="24">
        <v>5.1700000000000003E-2</v>
      </c>
      <c r="L39" s="24">
        <v>5.1299999999999998E-2</v>
      </c>
    </row>
    <row r="40" spans="1:12" x14ac:dyDescent="0.3">
      <c r="A40" s="25"/>
      <c r="B40" s="25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6" x14ac:dyDescent="0.3">
      <c r="A41" s="26" t="s">
        <v>50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6" x14ac:dyDescent="0.3">
      <c r="A42" s="23" t="s">
        <v>51</v>
      </c>
      <c r="B42" s="12">
        <v>4.0000000000000001E-3</v>
      </c>
      <c r="C42" s="10">
        <v>3.0000000000000001E-3</v>
      </c>
      <c r="D42" s="10">
        <v>8.0000000000000002E-3</v>
      </c>
      <c r="E42" s="10">
        <v>5.0000000000000001E-3</v>
      </c>
      <c r="F42" s="10">
        <v>5.0000000000000001E-3</v>
      </c>
      <c r="G42" s="10">
        <v>5.0000000000000001E-3</v>
      </c>
      <c r="H42" s="10">
        <v>5.0000000000000001E-3</v>
      </c>
      <c r="I42" s="10">
        <v>5.0000000000000001E-3</v>
      </c>
      <c r="J42" s="10">
        <v>5.0000000000000001E-3</v>
      </c>
      <c r="K42" s="10">
        <v>5.0000000000000001E-3</v>
      </c>
      <c r="L42" s="10">
        <v>5.0000000000000001E-3</v>
      </c>
    </row>
    <row r="43" spans="1:12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6" x14ac:dyDescent="0.3">
      <c r="A44" s="26" t="s">
        <v>52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 x14ac:dyDescent="0.3">
      <c r="A45" s="23" t="s">
        <v>53</v>
      </c>
      <c r="B45" s="17">
        <v>2516</v>
      </c>
      <c r="C45" s="17">
        <f t="shared" ref="C45:L45" si="23">B45+B48</f>
        <v>2674.875</v>
      </c>
      <c r="D45" s="17">
        <f t="shared" si="23"/>
        <v>2800.79177076</v>
      </c>
      <c r="E45" s="17">
        <f t="shared" si="23"/>
        <v>3016.5821920631979</v>
      </c>
      <c r="F45" s="17">
        <f t="shared" si="23"/>
        <v>3268.0999065953915</v>
      </c>
      <c r="G45" s="17">
        <f t="shared" si="23"/>
        <v>3541.313057412317</v>
      </c>
      <c r="H45" s="17">
        <f t="shared" si="23"/>
        <v>3827.2623741033367</v>
      </c>
      <c r="I45" s="17">
        <f t="shared" si="23"/>
        <v>4129.5153935693997</v>
      </c>
      <c r="J45" s="17">
        <f t="shared" si="23"/>
        <v>4444.9690669516331</v>
      </c>
      <c r="K45" s="17">
        <f t="shared" si="23"/>
        <v>4782.3190219970838</v>
      </c>
      <c r="L45" s="17">
        <f t="shared" si="23"/>
        <v>5142.0520944263617</v>
      </c>
    </row>
    <row r="46" spans="1:12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6" x14ac:dyDescent="0.3">
      <c r="A47" s="26" t="s">
        <v>54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 x14ac:dyDescent="0.3">
      <c r="A48" s="23" t="s">
        <v>55</v>
      </c>
      <c r="B48" s="17">
        <f t="shared" ref="B48:L48" si="24">B24-B27+B30</f>
        <v>158.875</v>
      </c>
      <c r="C48" s="17">
        <f t="shared" si="24"/>
        <v>125.91677076000016</v>
      </c>
      <c r="D48" s="17">
        <f t="shared" si="24"/>
        <v>215.79042130319792</v>
      </c>
      <c r="E48" s="17">
        <f t="shared" si="24"/>
        <v>251.51771453219354</v>
      </c>
      <c r="F48" s="17">
        <f t="shared" si="24"/>
        <v>273.21315081692529</v>
      </c>
      <c r="G48" s="17">
        <f t="shared" si="24"/>
        <v>285.94931669101987</v>
      </c>
      <c r="H48" s="17">
        <f t="shared" si="24"/>
        <v>302.25301946606328</v>
      </c>
      <c r="I48" s="17">
        <f t="shared" si="24"/>
        <v>315.45367338223298</v>
      </c>
      <c r="J48" s="17">
        <f t="shared" si="24"/>
        <v>337.34995504545122</v>
      </c>
      <c r="K48" s="17">
        <f t="shared" si="24"/>
        <v>359.7330724292778</v>
      </c>
      <c r="L48" s="17">
        <f t="shared" si="24"/>
        <v>383.82876254377652</v>
      </c>
    </row>
    <row r="49" spans="1:12" ht="15.6" x14ac:dyDescent="0.3">
      <c r="A49" s="26" t="s">
        <v>56</v>
      </c>
      <c r="B49" s="24">
        <f t="shared" ref="B49:L49" si="25">B48/B11</f>
        <v>5.9061338289962823E-2</v>
      </c>
      <c r="C49" s="24">
        <f t="shared" si="25"/>
        <v>4.4368917972480194E-2</v>
      </c>
      <c r="D49" s="24">
        <f t="shared" si="25"/>
        <v>7.241659893776374E-2</v>
      </c>
      <c r="E49" s="24">
        <f t="shared" si="25"/>
        <v>8.0655744935450371E-2</v>
      </c>
      <c r="F49" s="24">
        <f t="shared" si="25"/>
        <v>8.3759995220982791E-2</v>
      </c>
      <c r="G49" s="24">
        <f t="shared" si="25"/>
        <v>8.3897569197117869E-2</v>
      </c>
      <c r="H49" s="24">
        <f t="shared" si="25"/>
        <v>8.4959836993400276E-2</v>
      </c>
      <c r="I49" s="24">
        <f t="shared" si="25"/>
        <v>8.5022905865404341E-2</v>
      </c>
      <c r="J49" s="24">
        <f t="shared" si="25"/>
        <v>8.7242869746030266E-2</v>
      </c>
      <c r="K49" s="24">
        <f t="shared" si="25"/>
        <v>8.9307306010681944E-2</v>
      </c>
      <c r="L49" s="24">
        <f t="shared" si="25"/>
        <v>9.1509939748478583E-2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24EA-3E9B-4C94-A0A9-63C5FA90A77D}">
  <sheetPr>
    <pageSetUpPr fitToPage="1"/>
  </sheetPr>
  <dimension ref="A1:AD50"/>
  <sheetViews>
    <sheetView topLeftCell="T1" zoomScale="25" zoomScaleNormal="25" workbookViewId="0">
      <selection activeCell="AA4" sqref="AA4"/>
    </sheetView>
  </sheetViews>
  <sheetFormatPr defaultColWidth="8.88671875" defaultRowHeight="14.4" x14ac:dyDescent="0.3"/>
  <cols>
    <col min="1" max="1" width="56.44140625" customWidth="1"/>
    <col min="2" max="30" width="12.88671875" customWidth="1"/>
  </cols>
  <sheetData>
    <row r="1" spans="1:30" ht="36.6" x14ac:dyDescent="0.7">
      <c r="A1" s="77" t="s">
        <v>80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M2" s="23">
        <v>2033</v>
      </c>
      <c r="N2" s="23">
        <v>2034</v>
      </c>
      <c r="O2" s="23">
        <v>2035</v>
      </c>
      <c r="P2" s="23">
        <v>2036</v>
      </c>
      <c r="Q2" s="23">
        <v>2037</v>
      </c>
      <c r="R2" s="23">
        <v>2038</v>
      </c>
      <c r="S2" s="23">
        <v>2039</v>
      </c>
      <c r="T2" s="23">
        <v>2040</v>
      </c>
      <c r="U2" s="23">
        <v>2041</v>
      </c>
      <c r="V2" s="23">
        <v>2042</v>
      </c>
      <c r="W2" s="23">
        <v>2043</v>
      </c>
      <c r="X2" s="23">
        <v>2044</v>
      </c>
      <c r="Y2" s="23">
        <v>2045</v>
      </c>
      <c r="Z2" s="23">
        <v>2046</v>
      </c>
      <c r="AA2" s="23">
        <v>2047</v>
      </c>
      <c r="AB2" s="23">
        <v>2048</v>
      </c>
      <c r="AC2" s="23">
        <v>2049</v>
      </c>
      <c r="AD2" s="23">
        <v>2050</v>
      </c>
    </row>
    <row r="3" spans="1:30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0" ht="15.6" x14ac:dyDescent="0.3">
      <c r="A4" s="7" t="s">
        <v>23</v>
      </c>
      <c r="B4" s="12">
        <f t="shared" ref="B4:AD4" si="0">B34</f>
        <v>1.9284386617100371E-2</v>
      </c>
      <c r="C4" s="12">
        <f t="shared" si="0"/>
        <v>4.473923346077332E-3</v>
      </c>
      <c r="D4" s="12">
        <f t="shared" si="0"/>
        <v>2.5289711571883436E-2</v>
      </c>
      <c r="E4" s="12">
        <f t="shared" si="0"/>
        <v>2.4410146736445034E-2</v>
      </c>
      <c r="F4" s="12">
        <f t="shared" si="0"/>
        <v>2.3414250822386708E-2</v>
      </c>
      <c r="G4" s="12">
        <f t="shared" si="0"/>
        <v>2.2693305559382829E-2</v>
      </c>
      <c r="H4" s="12">
        <f t="shared" si="0"/>
        <v>2.2107468144509715E-2</v>
      </c>
      <c r="I4" s="12">
        <f t="shared" si="0"/>
        <v>2.1787406831244326E-2</v>
      </c>
      <c r="J4" s="12">
        <f t="shared" si="0"/>
        <v>2.146689376845054E-2</v>
      </c>
      <c r="K4" s="12">
        <f t="shared" si="0"/>
        <v>2.0862212092570824E-2</v>
      </c>
      <c r="L4" s="12">
        <f t="shared" si="0"/>
        <v>2.0259362236355206E-2</v>
      </c>
      <c r="M4" s="12">
        <f t="shared" si="0"/>
        <v>2.2648069990910066E-2</v>
      </c>
      <c r="N4" s="12">
        <f t="shared" si="0"/>
        <v>2.4971281441106382E-2</v>
      </c>
      <c r="O4" s="12">
        <f t="shared" si="0"/>
        <v>2.7283563889689867E-2</v>
      </c>
      <c r="P4" s="12">
        <f t="shared" si="0"/>
        <v>2.9585462769573613E-2</v>
      </c>
      <c r="Q4" s="12">
        <f t="shared" si="0"/>
        <v>3.1876847982480909E-2</v>
      </c>
      <c r="R4" s="12">
        <f t="shared" si="0"/>
        <v>3.4157686612638329E-2</v>
      </c>
      <c r="S4" s="12">
        <f t="shared" si="0"/>
        <v>3.6427843476815061E-2</v>
      </c>
      <c r="T4" s="12">
        <f t="shared" si="0"/>
        <v>3.8687113368196281E-2</v>
      </c>
      <c r="U4" s="12">
        <f t="shared" si="0"/>
        <v>4.0935382269454187E-2</v>
      </c>
      <c r="V4" s="12">
        <f t="shared" si="0"/>
        <v>4.3172446958495349E-2</v>
      </c>
      <c r="W4" s="12">
        <f t="shared" si="0"/>
        <v>4.53982137217614E-2</v>
      </c>
      <c r="X4" s="12">
        <f t="shared" si="0"/>
        <v>4.761257770935886E-2</v>
      </c>
      <c r="Y4" s="12">
        <f t="shared" si="0"/>
        <v>4.9815361486773957E-2</v>
      </c>
      <c r="Z4" s="12">
        <f t="shared" si="0"/>
        <v>5.2006478119462664E-2</v>
      </c>
      <c r="AA4" s="12">
        <f t="shared" si="0"/>
        <v>5.4185846535942661E-2</v>
      </c>
      <c r="AB4" s="12">
        <f t="shared" si="0"/>
        <v>5.6353482948891642E-2</v>
      </c>
      <c r="AC4" s="12">
        <f t="shared" si="0"/>
        <v>5.8509310589850559E-2</v>
      </c>
      <c r="AD4" s="12">
        <f t="shared" si="0"/>
        <v>6.0653175539172779E-2</v>
      </c>
    </row>
    <row r="5" spans="1:30" ht="15.6" x14ac:dyDescent="0.3">
      <c r="A5" s="7" t="s">
        <v>24</v>
      </c>
      <c r="B5" s="9">
        <f t="shared" ref="B5:L5" si="1">B37</f>
        <v>7.9000000000000001E-2</v>
      </c>
      <c r="C5" s="9">
        <f t="shared" si="1"/>
        <v>5.1999999999999998E-2</v>
      </c>
      <c r="D5" s="9">
        <f t="shared" si="1"/>
        <v>4.2000000000000003E-2</v>
      </c>
      <c r="E5" s="9">
        <f t="shared" si="1"/>
        <v>4.1500000000000002E-2</v>
      </c>
      <c r="F5" s="9">
        <f t="shared" si="1"/>
        <v>4.1000000000000002E-2</v>
      </c>
      <c r="G5" s="9">
        <f t="shared" si="1"/>
        <v>3.9899999999999998E-2</v>
      </c>
      <c r="H5" s="9">
        <f t="shared" si="1"/>
        <v>3.8800000000000001E-2</v>
      </c>
      <c r="I5" s="9">
        <f t="shared" si="1"/>
        <v>3.7900000000000003E-2</v>
      </c>
      <c r="J5" s="9">
        <f t="shared" si="1"/>
        <v>3.7199999999999997E-2</v>
      </c>
      <c r="K5" s="9">
        <f t="shared" si="1"/>
        <v>3.6700000000000003E-2</v>
      </c>
      <c r="L5" s="9">
        <f t="shared" si="1"/>
        <v>3.6299999999999999E-2</v>
      </c>
      <c r="M5" s="52">
        <f>3.61/100</f>
        <v>3.61E-2</v>
      </c>
      <c r="N5" s="52">
        <f>3.59/100</f>
        <v>3.5900000000000001E-2</v>
      </c>
      <c r="O5" s="52">
        <f>3.58/100</f>
        <v>3.5799999999999998E-2</v>
      </c>
      <c r="P5" s="52">
        <f>3.57/100</f>
        <v>3.5699999999999996E-2</v>
      </c>
      <c r="Q5" s="52">
        <f>3.56/100</f>
        <v>3.56E-2</v>
      </c>
      <c r="R5" s="52">
        <f>3.56/100</f>
        <v>3.56E-2</v>
      </c>
      <c r="S5" s="52">
        <f>3.55/100</f>
        <v>3.5499999999999997E-2</v>
      </c>
      <c r="T5" s="52">
        <f>3.54/100</f>
        <v>3.5400000000000001E-2</v>
      </c>
      <c r="U5" s="52">
        <f>3.53/100</f>
        <v>3.5299999999999998E-2</v>
      </c>
      <c r="V5" s="52">
        <f>3.51/100</f>
        <v>3.5099999999999999E-2</v>
      </c>
      <c r="W5" s="52">
        <f>3.5/100</f>
        <v>3.5000000000000003E-2</v>
      </c>
      <c r="X5" s="52">
        <f>3.48/100</f>
        <v>3.4799999999999998E-2</v>
      </c>
      <c r="Y5" s="52">
        <f>3.46/100</f>
        <v>3.4599999999999999E-2</v>
      </c>
      <c r="Z5" s="52">
        <f>3.44/100</f>
        <v>3.44E-2</v>
      </c>
      <c r="AA5" s="52">
        <f>3.42/100</f>
        <v>3.4200000000000001E-2</v>
      </c>
      <c r="AB5" s="52">
        <f>3.41/100</f>
        <v>3.4099999999999998E-2</v>
      </c>
      <c r="AC5" s="52">
        <f>3.39/100</f>
        <v>3.39E-2</v>
      </c>
      <c r="AD5" s="52">
        <f>3.37/100</f>
        <v>3.3700000000000001E-2</v>
      </c>
    </row>
    <row r="6" spans="1:30" ht="15.6" x14ac:dyDescent="0.3">
      <c r="A6" s="7" t="s">
        <v>25</v>
      </c>
      <c r="B6" s="10">
        <f t="shared" ref="B6:L6" si="2">B40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  <c r="M6" s="24">
        <f t="shared" ref="M6:AD6" si="3">M13</f>
        <v>5.11E-2</v>
      </c>
      <c r="N6" s="24">
        <f t="shared" si="3"/>
        <v>5.0900000000000001E-2</v>
      </c>
      <c r="O6" s="24">
        <f t="shared" si="3"/>
        <v>5.0799999999999998E-2</v>
      </c>
      <c r="P6" s="24">
        <f t="shared" si="3"/>
        <v>5.0699999999999995E-2</v>
      </c>
      <c r="Q6" s="24">
        <f t="shared" si="3"/>
        <v>5.0599999999999999E-2</v>
      </c>
      <c r="R6" s="24">
        <f t="shared" si="3"/>
        <v>5.0599999999999999E-2</v>
      </c>
      <c r="S6" s="24">
        <f t="shared" si="3"/>
        <v>5.0499999999999996E-2</v>
      </c>
      <c r="T6" s="24">
        <f t="shared" si="3"/>
        <v>5.04E-2</v>
      </c>
      <c r="U6" s="24">
        <f t="shared" si="3"/>
        <v>5.0299999999999997E-2</v>
      </c>
      <c r="V6" s="24">
        <f t="shared" si="3"/>
        <v>5.0099999999999999E-2</v>
      </c>
      <c r="W6" s="24">
        <f t="shared" si="3"/>
        <v>0.05</v>
      </c>
      <c r="X6" s="24">
        <f t="shared" si="3"/>
        <v>4.9799999999999997E-2</v>
      </c>
      <c r="Y6" s="24">
        <f t="shared" si="3"/>
        <v>4.9599999999999998E-2</v>
      </c>
      <c r="Z6" s="24">
        <f t="shared" si="3"/>
        <v>4.9399999999999999E-2</v>
      </c>
      <c r="AA6" s="24">
        <f t="shared" si="3"/>
        <v>4.9200000000000001E-2</v>
      </c>
      <c r="AB6" s="24">
        <f t="shared" si="3"/>
        <v>4.9099999999999998E-2</v>
      </c>
      <c r="AC6" s="24">
        <f t="shared" si="3"/>
        <v>4.8899999999999999E-2</v>
      </c>
      <c r="AD6" s="24">
        <f t="shared" si="3"/>
        <v>4.87E-2</v>
      </c>
    </row>
    <row r="7" spans="1:30" ht="15.6" x14ac:dyDescent="0.3">
      <c r="A7" s="7" t="s">
        <v>26</v>
      </c>
      <c r="B7" s="10">
        <f t="shared" ref="B7:AD7" si="4">B43</f>
        <v>4.0000000000000001E-3</v>
      </c>
      <c r="C7" s="10">
        <f t="shared" si="4"/>
        <v>3.0000000000000001E-3</v>
      </c>
      <c r="D7" s="10">
        <f t="shared" si="4"/>
        <v>8.0000000000000002E-3</v>
      </c>
      <c r="E7" s="10">
        <f t="shared" si="4"/>
        <v>1.9E-2</v>
      </c>
      <c r="F7" s="10">
        <f t="shared" si="4"/>
        <v>0.02</v>
      </c>
      <c r="G7" s="10">
        <f t="shared" si="4"/>
        <v>1.7999999999999999E-2</v>
      </c>
      <c r="H7" s="10">
        <f t="shared" si="4"/>
        <v>1.7000000000000001E-2</v>
      </c>
      <c r="I7" s="10">
        <f t="shared" si="4"/>
        <v>1.4999999999999999E-2</v>
      </c>
      <c r="J7" s="10">
        <f t="shared" si="4"/>
        <v>1.4999999999999999E-2</v>
      </c>
      <c r="K7" s="10">
        <f t="shared" si="4"/>
        <v>1.4999999999999999E-2</v>
      </c>
      <c r="L7" s="10">
        <f t="shared" si="4"/>
        <v>1.4999999999999999E-2</v>
      </c>
      <c r="M7" s="10">
        <f t="shared" si="4"/>
        <v>1.4999999999999999E-2</v>
      </c>
      <c r="N7" s="10">
        <f t="shared" si="4"/>
        <v>1.4999999999999999E-2</v>
      </c>
      <c r="O7" s="10">
        <f t="shared" si="4"/>
        <v>1.4999999999999999E-2</v>
      </c>
      <c r="P7" s="10">
        <f t="shared" si="4"/>
        <v>1.4999999999999999E-2</v>
      </c>
      <c r="Q7" s="10">
        <f t="shared" si="4"/>
        <v>1.4999999999999999E-2</v>
      </c>
      <c r="R7" s="10">
        <f t="shared" si="4"/>
        <v>1.4999999999999999E-2</v>
      </c>
      <c r="S7" s="10">
        <f t="shared" si="4"/>
        <v>1.4999999999999999E-2</v>
      </c>
      <c r="T7" s="10">
        <f t="shared" si="4"/>
        <v>1.4999999999999999E-2</v>
      </c>
      <c r="U7" s="10">
        <f t="shared" si="4"/>
        <v>1.4999999999999999E-2</v>
      </c>
      <c r="V7" s="10">
        <f t="shared" si="4"/>
        <v>1.4999999999999999E-2</v>
      </c>
      <c r="W7" s="10">
        <f t="shared" si="4"/>
        <v>1.4999999999999999E-2</v>
      </c>
      <c r="X7" s="10">
        <f t="shared" si="4"/>
        <v>1.4999999999999999E-2</v>
      </c>
      <c r="Y7" s="10">
        <f t="shared" si="4"/>
        <v>1.4999999999999999E-2</v>
      </c>
      <c r="Z7" s="10">
        <f t="shared" si="4"/>
        <v>1.4999999999999999E-2</v>
      </c>
      <c r="AA7" s="10">
        <f t="shared" si="4"/>
        <v>1.4999999999999999E-2</v>
      </c>
      <c r="AB7" s="10">
        <f t="shared" si="4"/>
        <v>1.4999999999999999E-2</v>
      </c>
      <c r="AC7" s="10">
        <f t="shared" si="4"/>
        <v>1.4999999999999999E-2</v>
      </c>
      <c r="AD7" s="10">
        <f t="shared" si="4"/>
        <v>1.4999999999999999E-2</v>
      </c>
    </row>
    <row r="8" spans="1:30" ht="15.6" x14ac:dyDescent="0.3">
      <c r="A8" s="7" t="s">
        <v>27</v>
      </c>
      <c r="B8" s="10">
        <f t="shared" ref="B8:AD8" si="5">B46/B11</f>
        <v>0.93531598513011149</v>
      </c>
      <c r="C8" s="10">
        <f t="shared" si="5"/>
        <v>0.94253774731760609</v>
      </c>
      <c r="D8" s="10">
        <f t="shared" si="5"/>
        <v>0.93991110980008208</v>
      </c>
      <c r="E8" s="10">
        <f t="shared" si="5"/>
        <v>0.9545758686825514</v>
      </c>
      <c r="F8" s="10">
        <f t="shared" si="5"/>
        <v>0.9732390128558237</v>
      </c>
      <c r="G8" s="10">
        <f t="shared" si="5"/>
        <v>0.99398301202257067</v>
      </c>
      <c r="H8" s="10">
        <f t="shared" si="5"/>
        <v>1.0133952747532748</v>
      </c>
      <c r="I8" s="10">
        <f t="shared" si="5"/>
        <v>1.03337036593197</v>
      </c>
      <c r="J8" s="10">
        <f t="shared" si="5"/>
        <v>1.0512003126030411</v>
      </c>
      <c r="K8" s="10">
        <f t="shared" si="5"/>
        <v>1.068682192468186</v>
      </c>
      <c r="L8" s="10">
        <f t="shared" si="5"/>
        <v>1.0855320466805067</v>
      </c>
      <c r="M8" s="10">
        <f t="shared" si="5"/>
        <v>1.1016455171081299</v>
      </c>
      <c r="N8" s="10">
        <f t="shared" si="5"/>
        <v>1.1200566432456074</v>
      </c>
      <c r="O8" s="10">
        <f t="shared" si="5"/>
        <v>1.1404508634541353</v>
      </c>
      <c r="P8" s="10">
        <f t="shared" si="5"/>
        <v>1.1629224124205488</v>
      </c>
      <c r="Q8" s="10">
        <f t="shared" si="5"/>
        <v>1.1874535242161914</v>
      </c>
      <c r="R8" s="10">
        <f t="shared" si="5"/>
        <v>1.2139160017491522</v>
      </c>
      <c r="S8" s="10">
        <f t="shared" si="5"/>
        <v>1.2425178090643305</v>
      </c>
      <c r="T8" s="10">
        <f t="shared" si="5"/>
        <v>1.2731354181275203</v>
      </c>
      <c r="U8" s="10">
        <f t="shared" si="5"/>
        <v>1.3057609013207836</v>
      </c>
      <c r="V8" s="10">
        <f t="shared" si="5"/>
        <v>1.3405086297930786</v>
      </c>
      <c r="W8" s="10">
        <f t="shared" si="5"/>
        <v>1.3771224689285819</v>
      </c>
      <c r="X8" s="10">
        <f t="shared" si="5"/>
        <v>1.4158453295162925</v>
      </c>
      <c r="Y8" s="10">
        <f t="shared" si="5"/>
        <v>1.4565408745449662</v>
      </c>
      <c r="Z8" s="10">
        <f t="shared" si="5"/>
        <v>1.4992029360154506</v>
      </c>
      <c r="AA8" s="10">
        <f t="shared" si="5"/>
        <v>1.5438194575646076</v>
      </c>
      <c r="AB8" s="10">
        <f t="shared" si="5"/>
        <v>1.5902270838053056</v>
      </c>
      <c r="AC8" s="10">
        <f t="shared" si="5"/>
        <v>1.6387019135163181</v>
      </c>
      <c r="AD8" s="10">
        <f t="shared" si="5"/>
        <v>1.6890893852299307</v>
      </c>
    </row>
    <row r="9" spans="1:30" ht="15.6" x14ac:dyDescent="0.3">
      <c r="A9" s="7" t="s">
        <v>28</v>
      </c>
      <c r="B9" s="10">
        <f t="shared" ref="B9:AD9" si="6">B50</f>
        <v>5.9061338289962823E-2</v>
      </c>
      <c r="C9" s="10">
        <f t="shared" si="6"/>
        <v>4.4368917972480194E-2</v>
      </c>
      <c r="D9" s="10">
        <f t="shared" si="6"/>
        <v>7.241659893776374E-2</v>
      </c>
      <c r="E9" s="10">
        <f t="shared" si="6"/>
        <v>7.8030723957477524E-2</v>
      </c>
      <c r="F9" s="10">
        <f t="shared" si="6"/>
        <v>7.8295615562853846E-2</v>
      </c>
      <c r="G9" s="10">
        <f t="shared" si="6"/>
        <v>7.5959719061937117E-2</v>
      </c>
      <c r="H9" s="10">
        <f t="shared" si="6"/>
        <v>7.4640383536496296E-2</v>
      </c>
      <c r="I9" s="10">
        <f t="shared" si="6"/>
        <v>7.2702602988949941E-2</v>
      </c>
      <c r="J9" s="10">
        <f t="shared" si="6"/>
        <v>7.2732749215750334E-2</v>
      </c>
      <c r="K9" s="10">
        <f t="shared" si="6"/>
        <v>7.2537648207030486E-2</v>
      </c>
      <c r="L9" s="10">
        <f t="shared" si="6"/>
        <v>7.2407556351848354E-2</v>
      </c>
      <c r="M9" s="10">
        <f t="shared" si="6"/>
        <v>7.5422009278678981E-2</v>
      </c>
      <c r="N9" s="10">
        <f t="shared" si="6"/>
        <v>7.8329124071997824E-2</v>
      </c>
      <c r="O9" s="10">
        <f t="shared" si="6"/>
        <v>8.1431715276135297E-2</v>
      </c>
      <c r="P9" s="10">
        <f t="shared" si="6"/>
        <v>8.4616260120981876E-2</v>
      </c>
      <c r="Q9" s="10">
        <f t="shared" si="6"/>
        <v>8.7886627221467922E-2</v>
      </c>
      <c r="R9" s="10">
        <f t="shared" si="6"/>
        <v>9.1348956672927001E-2</v>
      </c>
      <c r="S9" s="10">
        <f t="shared" si="6"/>
        <v>9.4783634136817133E-2</v>
      </c>
      <c r="T9" s="10">
        <f t="shared" si="6"/>
        <v>9.8305256529698806E-2</v>
      </c>
      <c r="U9" s="10">
        <f t="shared" si="6"/>
        <v>0.10190721082492812</v>
      </c>
      <c r="V9" s="10">
        <f t="shared" si="6"/>
        <v>0.10546996258193241</v>
      </c>
      <c r="W9" s="10">
        <f t="shared" si="6"/>
        <v>0.10923195799762229</v>
      </c>
      <c r="X9" s="10">
        <f t="shared" si="6"/>
        <v>0.1129399724061043</v>
      </c>
      <c r="Y9" s="10">
        <f t="shared" si="6"/>
        <v>0.11672268650964752</v>
      </c>
      <c r="Z9" s="10">
        <f t="shared" si="6"/>
        <v>0.12057243886133548</v>
      </c>
      <c r="AA9" s="10">
        <f t="shared" si="6"/>
        <v>0.12448777605553871</v>
      </c>
      <c r="AB9" s="10">
        <f t="shared" si="6"/>
        <v>0.12860735328196019</v>
      </c>
      <c r="AC9" s="10">
        <f t="shared" si="6"/>
        <v>0.13264612477430995</v>
      </c>
      <c r="AD9" s="10">
        <f t="shared" si="6"/>
        <v>0.13675194848495775</v>
      </c>
    </row>
    <row r="10" spans="1:30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5.6" x14ac:dyDescent="0.3">
      <c r="A11" s="7" t="s">
        <v>29</v>
      </c>
      <c r="B11" s="6">
        <v>2690</v>
      </c>
      <c r="C11" s="11">
        <f t="shared" ref="C11:AD11" si="7">B11*(1+C13)</f>
        <v>2837.95</v>
      </c>
      <c r="D11" s="11">
        <f t="shared" si="7"/>
        <v>2979.8474999999999</v>
      </c>
      <c r="E11" s="11">
        <f t="shared" si="7"/>
        <v>3160.1282737500001</v>
      </c>
      <c r="F11" s="11">
        <f t="shared" si="7"/>
        <v>3352.8960984487499</v>
      </c>
      <c r="G11" s="11">
        <f t="shared" si="7"/>
        <v>3547.0287825489327</v>
      </c>
      <c r="H11" s="11">
        <f t="shared" si="7"/>
        <v>3744.9529886151636</v>
      </c>
      <c r="I11" s="11">
        <f t="shared" si="7"/>
        <v>3943.0610017129056</v>
      </c>
      <c r="J11" s="11">
        <f t="shared" si="7"/>
        <v>4148.8887860023196</v>
      </c>
      <c r="K11" s="11">
        <f t="shared" si="7"/>
        <v>4363.3863362386401</v>
      </c>
      <c r="L11" s="11">
        <f t="shared" si="7"/>
        <v>4587.2280552876819</v>
      </c>
      <c r="M11" s="11">
        <f t="shared" si="7"/>
        <v>4821.6354089128818</v>
      </c>
      <c r="N11" s="11">
        <f t="shared" si="7"/>
        <v>5067.0566512265468</v>
      </c>
      <c r="O11" s="11">
        <f t="shared" si="7"/>
        <v>5324.4631291088554</v>
      </c>
      <c r="P11" s="11">
        <f t="shared" si="7"/>
        <v>5594.4134097546739</v>
      </c>
      <c r="Q11" s="11">
        <f t="shared" si="7"/>
        <v>5877.4907282882605</v>
      </c>
      <c r="R11" s="11">
        <f t="shared" si="7"/>
        <v>6174.8917591396466</v>
      </c>
      <c r="S11" s="11">
        <f t="shared" si="7"/>
        <v>6486.7237929761986</v>
      </c>
      <c r="T11" s="11">
        <f t="shared" si="7"/>
        <v>6813.6546721421992</v>
      </c>
      <c r="U11" s="11">
        <f t="shared" si="7"/>
        <v>7156.3815021509517</v>
      </c>
      <c r="V11" s="11">
        <f t="shared" si="7"/>
        <v>7514.9162154087144</v>
      </c>
      <c r="W11" s="11">
        <f t="shared" si="7"/>
        <v>7890.6620261791504</v>
      </c>
      <c r="X11" s="11">
        <f t="shared" si="7"/>
        <v>8283.6169950828735</v>
      </c>
      <c r="Y11" s="11">
        <f t="shared" si="7"/>
        <v>8694.4843980389851</v>
      </c>
      <c r="Z11" s="11">
        <f t="shared" si="7"/>
        <v>9123.9919273021096</v>
      </c>
      <c r="AA11" s="11">
        <f t="shared" si="7"/>
        <v>9572.8923301253726</v>
      </c>
      <c r="AB11" s="11">
        <f t="shared" si="7"/>
        <v>10042.921343534528</v>
      </c>
      <c r="AC11" s="11">
        <f t="shared" si="7"/>
        <v>10534.020197233365</v>
      </c>
      <c r="AD11" s="11">
        <f t="shared" si="7"/>
        <v>11047.026980838629</v>
      </c>
    </row>
    <row r="12" spans="1:30" ht="15.6" x14ac:dyDescent="0.3">
      <c r="A12" s="7" t="s">
        <v>26</v>
      </c>
      <c r="B12" s="12">
        <v>4.0000000000000001E-3</v>
      </c>
      <c r="C12" s="10">
        <f t="shared" ref="C12:L12" si="8">C43</f>
        <v>3.0000000000000001E-3</v>
      </c>
      <c r="D12" s="10">
        <f t="shared" si="8"/>
        <v>8.0000000000000002E-3</v>
      </c>
      <c r="E12" s="10">
        <f t="shared" si="8"/>
        <v>1.9E-2</v>
      </c>
      <c r="F12" s="10">
        <f t="shared" si="8"/>
        <v>0.02</v>
      </c>
      <c r="G12" s="10">
        <f t="shared" si="8"/>
        <v>1.7999999999999999E-2</v>
      </c>
      <c r="H12" s="10">
        <f t="shared" si="8"/>
        <v>1.7000000000000001E-2</v>
      </c>
      <c r="I12" s="10">
        <f t="shared" si="8"/>
        <v>1.4999999999999999E-2</v>
      </c>
      <c r="J12" s="10">
        <f t="shared" si="8"/>
        <v>1.4999999999999999E-2</v>
      </c>
      <c r="K12" s="10">
        <f t="shared" si="8"/>
        <v>1.4999999999999999E-2</v>
      </c>
      <c r="L12" s="10">
        <f t="shared" si="8"/>
        <v>1.4999999999999999E-2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5.6" x14ac:dyDescent="0.3">
      <c r="A13" s="7" t="s">
        <v>30</v>
      </c>
      <c r="B13" s="12">
        <f t="shared" ref="B13:L13" si="9">(B37+B12)</f>
        <v>8.3000000000000004E-2</v>
      </c>
      <c r="C13" s="12">
        <f t="shared" si="9"/>
        <v>5.5E-2</v>
      </c>
      <c r="D13" s="12">
        <f t="shared" si="9"/>
        <v>0.05</v>
      </c>
      <c r="E13" s="12">
        <f t="shared" si="9"/>
        <v>6.0499999999999998E-2</v>
      </c>
      <c r="F13" s="12">
        <f t="shared" si="9"/>
        <v>6.0999999999999999E-2</v>
      </c>
      <c r="G13" s="12">
        <f t="shared" si="9"/>
        <v>5.7899999999999993E-2</v>
      </c>
      <c r="H13" s="12">
        <f t="shared" si="9"/>
        <v>5.5800000000000002E-2</v>
      </c>
      <c r="I13" s="12">
        <f t="shared" si="9"/>
        <v>5.2900000000000003E-2</v>
      </c>
      <c r="J13" s="12">
        <f t="shared" si="9"/>
        <v>5.2199999999999996E-2</v>
      </c>
      <c r="K13" s="12">
        <f t="shared" si="9"/>
        <v>5.1700000000000003E-2</v>
      </c>
      <c r="L13" s="12">
        <f t="shared" si="9"/>
        <v>5.1299999999999998E-2</v>
      </c>
      <c r="M13" s="24">
        <f t="shared" ref="M13:AD13" si="10">M7+M5</f>
        <v>5.11E-2</v>
      </c>
      <c r="N13" s="24">
        <f t="shared" si="10"/>
        <v>5.0900000000000001E-2</v>
      </c>
      <c r="O13" s="24">
        <f t="shared" si="10"/>
        <v>5.0799999999999998E-2</v>
      </c>
      <c r="P13" s="24">
        <f t="shared" si="10"/>
        <v>5.0699999999999995E-2</v>
      </c>
      <c r="Q13" s="24">
        <f t="shared" si="10"/>
        <v>5.0599999999999999E-2</v>
      </c>
      <c r="R13" s="24">
        <f t="shared" si="10"/>
        <v>5.0599999999999999E-2</v>
      </c>
      <c r="S13" s="24">
        <f t="shared" si="10"/>
        <v>5.0499999999999996E-2</v>
      </c>
      <c r="T13" s="24">
        <f t="shared" si="10"/>
        <v>5.04E-2</v>
      </c>
      <c r="U13" s="24">
        <f t="shared" si="10"/>
        <v>5.0299999999999997E-2</v>
      </c>
      <c r="V13" s="24">
        <f t="shared" si="10"/>
        <v>5.0099999999999999E-2</v>
      </c>
      <c r="W13" s="24">
        <f t="shared" si="10"/>
        <v>0.05</v>
      </c>
      <c r="X13" s="24">
        <f t="shared" si="10"/>
        <v>4.9799999999999997E-2</v>
      </c>
      <c r="Y13" s="24">
        <f t="shared" si="10"/>
        <v>4.9599999999999998E-2</v>
      </c>
      <c r="Z13" s="24">
        <f t="shared" si="10"/>
        <v>4.9399999999999999E-2</v>
      </c>
      <c r="AA13" s="24">
        <f t="shared" si="10"/>
        <v>4.9200000000000001E-2</v>
      </c>
      <c r="AB13" s="24">
        <f t="shared" si="10"/>
        <v>4.9099999999999998E-2</v>
      </c>
      <c r="AC13" s="24">
        <f t="shared" si="10"/>
        <v>4.8899999999999999E-2</v>
      </c>
      <c r="AD13" s="24">
        <f t="shared" si="10"/>
        <v>4.87E-2</v>
      </c>
    </row>
    <row r="14" spans="1:30" ht="15.6" x14ac:dyDescent="0.3">
      <c r="A14" s="7"/>
      <c r="B14" s="7"/>
      <c r="C14" s="6">
        <f t="shared" ref="C14:AD14" si="11">(C11-B11)/B11</f>
        <v>5.4999999999999931E-2</v>
      </c>
      <c r="D14" s="6">
        <f t="shared" si="11"/>
        <v>5.0000000000000017E-2</v>
      </c>
      <c r="E14" s="6">
        <f t="shared" si="11"/>
        <v>6.0500000000000075E-2</v>
      </c>
      <c r="F14" s="6">
        <f t="shared" si="11"/>
        <v>6.0999999999999936E-2</v>
      </c>
      <c r="G14" s="6">
        <f t="shared" si="11"/>
        <v>5.7900000000000056E-2</v>
      </c>
      <c r="H14" s="6">
        <f t="shared" si="11"/>
        <v>5.5800000000000134E-2</v>
      </c>
      <c r="I14" s="6">
        <f t="shared" si="11"/>
        <v>5.2899999999999975E-2</v>
      </c>
      <c r="J14" s="6">
        <f t="shared" si="11"/>
        <v>5.2200000000000087E-2</v>
      </c>
      <c r="K14" s="6">
        <f t="shared" si="11"/>
        <v>5.1700000000000121E-2</v>
      </c>
      <c r="L14" s="6">
        <f t="shared" si="11"/>
        <v>5.1299999999999894E-2</v>
      </c>
      <c r="M14" s="6">
        <f t="shared" si="11"/>
        <v>5.1099999999999861E-2</v>
      </c>
      <c r="N14" s="6">
        <f t="shared" si="11"/>
        <v>5.0899999999999869E-2</v>
      </c>
      <c r="O14" s="6">
        <f t="shared" si="11"/>
        <v>5.0799999999999991E-2</v>
      </c>
      <c r="P14" s="6">
        <f t="shared" si="11"/>
        <v>5.0699999999999926E-2</v>
      </c>
      <c r="Q14" s="6">
        <f t="shared" si="11"/>
        <v>5.0600000000000006E-2</v>
      </c>
      <c r="R14" s="6">
        <f t="shared" si="11"/>
        <v>5.0600000000000034E-2</v>
      </c>
      <c r="S14" s="6">
        <f t="shared" si="11"/>
        <v>5.0499999999999975E-2</v>
      </c>
      <c r="T14" s="6">
        <f t="shared" si="11"/>
        <v>5.0400000000000014E-2</v>
      </c>
      <c r="U14" s="6">
        <f t="shared" si="11"/>
        <v>5.0299999999999997E-2</v>
      </c>
      <c r="V14" s="6">
        <f t="shared" si="11"/>
        <v>5.0099999999999992E-2</v>
      </c>
      <c r="W14" s="6">
        <f t="shared" si="11"/>
        <v>5.0000000000000044E-2</v>
      </c>
      <c r="X14" s="6">
        <f t="shared" si="11"/>
        <v>4.9800000000000171E-2</v>
      </c>
      <c r="Y14" s="6">
        <f t="shared" si="11"/>
        <v>4.960000000000013E-2</v>
      </c>
      <c r="Z14" s="6">
        <f t="shared" si="11"/>
        <v>4.9399999999999847E-2</v>
      </c>
      <c r="AA14" s="6">
        <f t="shared" si="11"/>
        <v>4.919999999999991E-2</v>
      </c>
      <c r="AB14" s="6">
        <f t="shared" si="11"/>
        <v>4.9099999999999977E-2</v>
      </c>
      <c r="AC14" s="6">
        <f t="shared" si="11"/>
        <v>4.889999999999986E-2</v>
      </c>
      <c r="AD14" s="6">
        <f t="shared" si="11"/>
        <v>4.8699999999999917E-2</v>
      </c>
    </row>
    <row r="15" spans="1:30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5.6" x14ac:dyDescent="0.3">
      <c r="A16" s="6" t="s">
        <v>32</v>
      </c>
      <c r="B16" s="11">
        <v>380.78800000000001</v>
      </c>
      <c r="C16" s="11">
        <f t="shared" ref="C16:L16" si="12">B16*1.01*(1+C5)</f>
        <v>404.59486576000006</v>
      </c>
      <c r="D16" s="11">
        <f t="shared" si="12"/>
        <v>425.80372862313925</v>
      </c>
      <c r="E16" s="11">
        <f t="shared" si="12"/>
        <v>447.9093291946096</v>
      </c>
      <c r="F16" s="11">
        <f t="shared" si="12"/>
        <v>470.93634780850442</v>
      </c>
      <c r="G16" s="11">
        <f t="shared" si="12"/>
        <v>494.62397516692442</v>
      </c>
      <c r="H16" s="11">
        <f t="shared" si="12"/>
        <v>518.95353925743507</v>
      </c>
      <c r="I16" s="11">
        <f t="shared" si="12"/>
        <v>544.00809717924483</v>
      </c>
      <c r="J16" s="11">
        <f t="shared" si="12"/>
        <v>569.88765037825578</v>
      </c>
      <c r="K16" s="11">
        <f t="shared" si="12"/>
        <v>596.71055241860915</v>
      </c>
      <c r="L16" s="11">
        <f t="shared" si="12"/>
        <v>624.55485692611865</v>
      </c>
      <c r="M16" s="11">
        <f t="shared" ref="M16:AD16" si="13">L16*1.0116*(1+M5)</f>
        <v>654.60766219338097</v>
      </c>
      <c r="N16" s="11">
        <f t="shared" si="13"/>
        <v>685.97413096241041</v>
      </c>
      <c r="O16" s="11">
        <f t="shared" si="13"/>
        <v>718.77417610713485</v>
      </c>
      <c r="P16" s="11">
        <f t="shared" si="13"/>
        <v>753.06985339881192</v>
      </c>
      <c r="Q16" s="11">
        <f t="shared" si="13"/>
        <v>788.92573820589553</v>
      </c>
      <c r="R16" s="11">
        <f t="shared" si="13"/>
        <v>826.4888278220634</v>
      </c>
      <c r="S16" s="11">
        <f t="shared" si="13"/>
        <v>865.75679971177976</v>
      </c>
      <c r="T16" s="11">
        <f t="shared" si="13"/>
        <v>906.80288367046717</v>
      </c>
      <c r="U16" s="11">
        <f t="shared" si="13"/>
        <v>949.70325655941735</v>
      </c>
      <c r="V16" s="11">
        <f t="shared" si="13"/>
        <v>994.44107981868285</v>
      </c>
      <c r="W16" s="11">
        <f t="shared" si="13"/>
        <v>1041.18577721664</v>
      </c>
      <c r="X16" s="11">
        <f t="shared" si="13"/>
        <v>1089.9171031540388</v>
      </c>
      <c r="Y16" s="11">
        <f t="shared" si="13"/>
        <v>1140.7087224482773</v>
      </c>
      <c r="Z16" s="11">
        <f t="shared" si="13"/>
        <v>1193.6365120895039</v>
      </c>
      <c r="AA16" s="11">
        <f t="shared" si="13"/>
        <v>1248.7786038202794</v>
      </c>
      <c r="AB16" s="11">
        <f t="shared" si="13"/>
        <v>1306.3417528793934</v>
      </c>
      <c r="AC16" s="11">
        <f t="shared" si="13"/>
        <v>1366.2940084663082</v>
      </c>
      <c r="AD16" s="11">
        <f t="shared" si="13"/>
        <v>1428.7212387036218</v>
      </c>
    </row>
    <row r="17" spans="1:30" ht="15.6" x14ac:dyDescent="0.3">
      <c r="A17" s="6" t="s">
        <v>33</v>
      </c>
      <c r="B17" s="11">
        <v>224</v>
      </c>
      <c r="C17" s="11">
        <f t="shared" ref="C17:L17" si="14">C11*(0.083)+(B17*0.0109)</f>
        <v>237.99144999999999</v>
      </c>
      <c r="D17" s="11">
        <f t="shared" si="14"/>
        <v>249.92144930500001</v>
      </c>
      <c r="E17" s="11">
        <f t="shared" si="14"/>
        <v>265.01479051867454</v>
      </c>
      <c r="F17" s="11">
        <f t="shared" si="14"/>
        <v>281.17903738789977</v>
      </c>
      <c r="G17" s="11">
        <f t="shared" si="14"/>
        <v>297.46824045908954</v>
      </c>
      <c r="H17" s="11">
        <f t="shared" si="14"/>
        <v>314.07350187606266</v>
      </c>
      <c r="I17" s="11">
        <f t="shared" si="14"/>
        <v>330.6974643126203</v>
      </c>
      <c r="J17" s="11">
        <f t="shared" si="14"/>
        <v>347.96237159920008</v>
      </c>
      <c r="K17" s="11">
        <f t="shared" si="14"/>
        <v>365.95385575823843</v>
      </c>
      <c r="L17" s="11">
        <f t="shared" si="14"/>
        <v>384.72882561664238</v>
      </c>
      <c r="M17" s="11">
        <f t="shared" ref="M17:AD17" si="15">M11*(0.083)+(L17*0.0116)</f>
        <v>404.65859331692229</v>
      </c>
      <c r="N17" s="11">
        <f t="shared" si="15"/>
        <v>425.25974173427966</v>
      </c>
      <c r="O17" s="11">
        <f t="shared" si="15"/>
        <v>446.86345272015268</v>
      </c>
      <c r="P17" s="11">
        <f t="shared" si="15"/>
        <v>469.5199290611917</v>
      </c>
      <c r="Q17" s="11">
        <f t="shared" si="15"/>
        <v>493.27816162503547</v>
      </c>
      <c r="R17" s="11">
        <f t="shared" si="15"/>
        <v>518.23804268344111</v>
      </c>
      <c r="S17" s="11">
        <f t="shared" si="15"/>
        <v>544.40963611215238</v>
      </c>
      <c r="T17" s="11">
        <f t="shared" si="15"/>
        <v>571.84848956670351</v>
      </c>
      <c r="U17" s="11">
        <f t="shared" si="15"/>
        <v>600.61310715750278</v>
      </c>
      <c r="V17" s="11">
        <f t="shared" si="15"/>
        <v>630.70515792195033</v>
      </c>
      <c r="W17" s="11">
        <f t="shared" si="15"/>
        <v>662.24112800476416</v>
      </c>
      <c r="X17" s="11">
        <f t="shared" si="15"/>
        <v>695.22220767673389</v>
      </c>
      <c r="Y17" s="11">
        <f t="shared" si="15"/>
        <v>729.706782646286</v>
      </c>
      <c r="Z17" s="11">
        <f t="shared" si="15"/>
        <v>765.7559286447721</v>
      </c>
      <c r="AA17" s="11">
        <f t="shared" si="15"/>
        <v>803.43283217268538</v>
      </c>
      <c r="AB17" s="11">
        <f t="shared" si="15"/>
        <v>842.882292366569</v>
      </c>
      <c r="AC17" s="11">
        <f t="shared" si="15"/>
        <v>884.10111096182163</v>
      </c>
      <c r="AD17" s="11">
        <f t="shared" si="15"/>
        <v>927.15881229676336</v>
      </c>
    </row>
    <row r="18" spans="1:30" ht="15.6" x14ac:dyDescent="0.3">
      <c r="A18" s="6" t="s">
        <v>34</v>
      </c>
      <c r="B18" s="11">
        <v>124.276</v>
      </c>
      <c r="C18" s="11">
        <v>130.46700000000001</v>
      </c>
      <c r="D18" s="11">
        <f t="shared" ref="D18:AD18" si="16">D11*0.0547</f>
        <v>162.99765825</v>
      </c>
      <c r="E18" s="11">
        <f t="shared" si="16"/>
        <v>172.85901657412501</v>
      </c>
      <c r="F18" s="11">
        <f t="shared" si="16"/>
        <v>183.4034165851466</v>
      </c>
      <c r="G18" s="11">
        <f t="shared" si="16"/>
        <v>194.02247440542661</v>
      </c>
      <c r="H18" s="11">
        <f t="shared" si="16"/>
        <v>204.84892847724944</v>
      </c>
      <c r="I18" s="11">
        <f t="shared" si="16"/>
        <v>215.68543679369594</v>
      </c>
      <c r="J18" s="11">
        <f t="shared" si="16"/>
        <v>226.94421659432689</v>
      </c>
      <c r="K18" s="11">
        <f t="shared" si="16"/>
        <v>238.6772325922536</v>
      </c>
      <c r="L18" s="11">
        <f t="shared" si="16"/>
        <v>250.92137462423619</v>
      </c>
      <c r="M18" s="11">
        <f t="shared" si="16"/>
        <v>263.74345686753463</v>
      </c>
      <c r="N18" s="11">
        <f t="shared" si="16"/>
        <v>277.1679988220921</v>
      </c>
      <c r="O18" s="11">
        <f t="shared" si="16"/>
        <v>291.24813316225436</v>
      </c>
      <c r="P18" s="11">
        <f t="shared" si="16"/>
        <v>306.01441351358068</v>
      </c>
      <c r="Q18" s="11">
        <f t="shared" si="16"/>
        <v>321.49874283736784</v>
      </c>
      <c r="R18" s="11">
        <f t="shared" si="16"/>
        <v>337.76657922493865</v>
      </c>
      <c r="S18" s="11">
        <f t="shared" si="16"/>
        <v>354.82379147579803</v>
      </c>
      <c r="T18" s="11">
        <f t="shared" si="16"/>
        <v>372.70691056617829</v>
      </c>
      <c r="U18" s="11">
        <f t="shared" si="16"/>
        <v>391.45406816765706</v>
      </c>
      <c r="V18" s="11">
        <f t="shared" si="16"/>
        <v>411.06591698285666</v>
      </c>
      <c r="W18" s="11">
        <f t="shared" si="16"/>
        <v>431.6192128319995</v>
      </c>
      <c r="X18" s="11">
        <f t="shared" si="16"/>
        <v>453.11384963103319</v>
      </c>
      <c r="Y18" s="11">
        <f t="shared" si="16"/>
        <v>475.58829657273247</v>
      </c>
      <c r="Z18" s="11">
        <f t="shared" si="16"/>
        <v>499.08235842342538</v>
      </c>
      <c r="AA18" s="11">
        <f t="shared" si="16"/>
        <v>523.63721045785792</v>
      </c>
      <c r="AB18" s="11">
        <f t="shared" si="16"/>
        <v>549.34779749133872</v>
      </c>
      <c r="AC18" s="11">
        <f t="shared" si="16"/>
        <v>576.21090478866506</v>
      </c>
      <c r="AD18" s="11">
        <f t="shared" si="16"/>
        <v>604.27237585187299</v>
      </c>
    </row>
    <row r="19" spans="1:30" ht="15.6" x14ac:dyDescent="0.3">
      <c r="A19" s="6" t="s">
        <v>35</v>
      </c>
      <c r="B19" s="11">
        <f>168-B31</f>
        <v>61</v>
      </c>
      <c r="C19" s="34">
        <f>B19*(1+C13)</f>
        <v>64.35499999999999</v>
      </c>
      <c r="D19" s="34">
        <f t="shared" ref="D19:AD19" si="17">C19*(1+D13)</f>
        <v>67.572749999999999</v>
      </c>
      <c r="E19" s="34">
        <f t="shared" si="17"/>
        <v>71.660901374999995</v>
      </c>
      <c r="F19" s="34">
        <f t="shared" si="17"/>
        <v>76.03221635887499</v>
      </c>
      <c r="G19" s="34">
        <f t="shared" si="17"/>
        <v>80.434481686053857</v>
      </c>
      <c r="H19" s="34">
        <f t="shared" si="17"/>
        <v>84.922725764135663</v>
      </c>
      <c r="I19" s="34">
        <f t="shared" si="17"/>
        <v>89.415137957058434</v>
      </c>
      <c r="J19" s="34">
        <f t="shared" si="17"/>
        <v>94.082608158416889</v>
      </c>
      <c r="K19" s="34">
        <f t="shared" si="17"/>
        <v>98.946679000207055</v>
      </c>
      <c r="L19" s="34">
        <f t="shared" si="17"/>
        <v>104.02264363291766</v>
      </c>
      <c r="M19" s="34">
        <f t="shared" si="17"/>
        <v>109.33820072255975</v>
      </c>
      <c r="N19" s="34">
        <f t="shared" si="17"/>
        <v>114.90351513933803</v>
      </c>
      <c r="O19" s="34">
        <f t="shared" si="17"/>
        <v>120.74061370841639</v>
      </c>
      <c r="P19" s="34">
        <f t="shared" si="17"/>
        <v>126.8621628234331</v>
      </c>
      <c r="Q19" s="34">
        <f t="shared" si="17"/>
        <v>133.2813882622988</v>
      </c>
      <c r="R19" s="34">
        <f t="shared" si="17"/>
        <v>140.02542650837111</v>
      </c>
      <c r="S19" s="34">
        <f t="shared" si="17"/>
        <v>147.09671054704384</v>
      </c>
      <c r="T19" s="34">
        <f t="shared" si="17"/>
        <v>154.51038475861486</v>
      </c>
      <c r="U19" s="34">
        <f t="shared" si="17"/>
        <v>162.28225711197319</v>
      </c>
      <c r="V19" s="34">
        <f t="shared" si="17"/>
        <v>170.41259819328306</v>
      </c>
      <c r="W19" s="34">
        <f t="shared" si="17"/>
        <v>178.93322810294723</v>
      </c>
      <c r="X19" s="34">
        <f t="shared" si="17"/>
        <v>187.84410286247402</v>
      </c>
      <c r="Y19" s="34">
        <f t="shared" si="17"/>
        <v>197.16117036445274</v>
      </c>
      <c r="Z19" s="34">
        <f t="shared" si="17"/>
        <v>206.90093218045669</v>
      </c>
      <c r="AA19" s="34">
        <f t="shared" si="17"/>
        <v>217.08045804373515</v>
      </c>
      <c r="AB19" s="34">
        <f t="shared" si="17"/>
        <v>227.73910853368253</v>
      </c>
      <c r="AC19" s="34">
        <f t="shared" si="17"/>
        <v>238.87555094097959</v>
      </c>
      <c r="AD19" s="34">
        <f t="shared" si="17"/>
        <v>250.50879027180528</v>
      </c>
    </row>
    <row r="20" spans="1:30" ht="15.6" x14ac:dyDescent="0.3">
      <c r="A20" s="6" t="s">
        <v>36</v>
      </c>
      <c r="B20" s="11">
        <v>128</v>
      </c>
      <c r="C20" s="11">
        <v>79.760000000000005</v>
      </c>
      <c r="D20" s="11">
        <f t="shared" ref="D20:AD20" si="18">((D11*0.011)/27.8)*100</f>
        <v>117.90763489208631</v>
      </c>
      <c r="E20" s="11">
        <f t="shared" si="18"/>
        <v>125.04104680305754</v>
      </c>
      <c r="F20" s="11">
        <f t="shared" si="18"/>
        <v>132.66855065804404</v>
      </c>
      <c r="G20" s="11">
        <f t="shared" si="18"/>
        <v>140.3500597411448</v>
      </c>
      <c r="H20" s="11">
        <f t="shared" si="18"/>
        <v>148.18159307470071</v>
      </c>
      <c r="I20" s="11">
        <f t="shared" si="18"/>
        <v>156.02039934835236</v>
      </c>
      <c r="J20" s="11">
        <f t="shared" si="18"/>
        <v>164.16466419433638</v>
      </c>
      <c r="K20" s="11">
        <f t="shared" si="18"/>
        <v>172.65197733318359</v>
      </c>
      <c r="L20" s="11">
        <f t="shared" si="18"/>
        <v>181.50902377037588</v>
      </c>
      <c r="M20" s="11">
        <f t="shared" si="18"/>
        <v>190.78413488504208</v>
      </c>
      <c r="N20" s="11">
        <f t="shared" si="18"/>
        <v>200.49504735069067</v>
      </c>
      <c r="O20" s="11">
        <f t="shared" si="18"/>
        <v>210.68019575610575</v>
      </c>
      <c r="P20" s="11">
        <f t="shared" si="18"/>
        <v>221.36168168094034</v>
      </c>
      <c r="Q20" s="11">
        <f t="shared" si="18"/>
        <v>232.56258277399587</v>
      </c>
      <c r="R20" s="11">
        <f t="shared" si="18"/>
        <v>244.33024946236009</v>
      </c>
      <c r="S20" s="11">
        <f t="shared" si="18"/>
        <v>256.66892706020923</v>
      </c>
      <c r="T20" s="11">
        <f t="shared" si="18"/>
        <v>269.6050409840438</v>
      </c>
      <c r="U20" s="11">
        <f t="shared" si="18"/>
        <v>283.1661745455412</v>
      </c>
      <c r="V20" s="11">
        <f t="shared" si="18"/>
        <v>297.35279989027282</v>
      </c>
      <c r="W20" s="11">
        <f t="shared" si="18"/>
        <v>312.22043988478651</v>
      </c>
      <c r="X20" s="11">
        <f t="shared" si="18"/>
        <v>327.7690177910489</v>
      </c>
      <c r="Y20" s="11">
        <f t="shared" si="18"/>
        <v>344.02636107348496</v>
      </c>
      <c r="Z20" s="11">
        <f t="shared" si="18"/>
        <v>361.02126331051511</v>
      </c>
      <c r="AA20" s="11">
        <f t="shared" si="18"/>
        <v>378.78350946539246</v>
      </c>
      <c r="AB20" s="11">
        <f t="shared" si="18"/>
        <v>397.38177978014318</v>
      </c>
      <c r="AC20" s="11">
        <f t="shared" si="18"/>
        <v>416.81374881139209</v>
      </c>
      <c r="AD20" s="11">
        <f t="shared" si="18"/>
        <v>437.1125783785069</v>
      </c>
    </row>
    <row r="21" spans="1:30" ht="15.6" x14ac:dyDescent="0.3">
      <c r="A21" s="6" t="s">
        <v>37</v>
      </c>
      <c r="B21" s="10">
        <v>2.2700000000000001E-2</v>
      </c>
      <c r="C21" s="49">
        <v>2.3E-2</v>
      </c>
      <c r="D21" s="49">
        <v>2.3285714279999998E-2</v>
      </c>
      <c r="E21" s="49">
        <v>2.3571428559999996E-2</v>
      </c>
      <c r="F21" s="49">
        <v>2.3857142839999994E-2</v>
      </c>
      <c r="G21" s="49">
        <v>2.4142857119999993E-2</v>
      </c>
      <c r="H21" s="49">
        <v>2.4428571399999991E-2</v>
      </c>
      <c r="I21" s="49">
        <v>2.4714285679999989E-2</v>
      </c>
      <c r="J21" s="49">
        <v>2.4999999959999988E-2</v>
      </c>
      <c r="K21" s="49">
        <v>2.5000000000000001E-2</v>
      </c>
      <c r="L21" s="49">
        <v>2.5000000000000001E-2</v>
      </c>
      <c r="M21" s="49">
        <v>2.5000000000000001E-2</v>
      </c>
      <c r="N21" s="49">
        <v>2.5000000000000001E-2</v>
      </c>
      <c r="O21" s="49">
        <v>2.5000000000000001E-2</v>
      </c>
      <c r="P21" s="49">
        <v>2.5000000000000001E-2</v>
      </c>
      <c r="Q21" s="49">
        <v>2.5000000000000001E-2</v>
      </c>
      <c r="R21" s="49">
        <v>2.5000000000000001E-2</v>
      </c>
      <c r="S21" s="49">
        <v>2.5000000000000001E-2</v>
      </c>
      <c r="T21" s="49">
        <v>2.5000000000000001E-2</v>
      </c>
      <c r="U21" s="49">
        <v>2.5000000000000001E-2</v>
      </c>
      <c r="V21" s="49">
        <v>2.5000000000000001E-2</v>
      </c>
      <c r="W21" s="49">
        <v>2.5000000000000001E-2</v>
      </c>
      <c r="X21" s="49">
        <v>2.5000000000000001E-2</v>
      </c>
      <c r="Y21" s="49">
        <v>2.5000000000000001E-2</v>
      </c>
      <c r="Z21" s="49">
        <v>2.5000000000000001E-2</v>
      </c>
      <c r="AA21" s="49">
        <v>2.5000000000000001E-2</v>
      </c>
      <c r="AB21" s="49">
        <v>2.5000000000000001E-2</v>
      </c>
      <c r="AC21" s="49">
        <v>2.5000000000000001E-2</v>
      </c>
      <c r="AD21" s="49">
        <v>2.5000000000000001E-2</v>
      </c>
    </row>
    <row r="22" spans="1:30" ht="15.6" x14ac:dyDescent="0.3">
      <c r="A22" s="6" t="s">
        <v>38</v>
      </c>
      <c r="B22" s="11">
        <v>53</v>
      </c>
      <c r="C22" s="11">
        <f t="shared" ref="C22:AD22" si="19">C11*C21</f>
        <v>65.272849999999991</v>
      </c>
      <c r="D22" s="11">
        <f t="shared" si="19"/>
        <v>69.387877482972286</v>
      </c>
      <c r="E22" s="11">
        <f t="shared" si="19"/>
        <v>74.488737845134239</v>
      </c>
      <c r="F22" s="11">
        <f t="shared" si="19"/>
        <v>79.990521148370505</v>
      </c>
      <c r="G22" s="11">
        <f t="shared" si="19"/>
        <v>85.635409097606399</v>
      </c>
      <c r="H22" s="11">
        <f t="shared" si="19"/>
        <v>91.483851472028874</v>
      </c>
      <c r="I22" s="11">
        <f t="shared" si="19"/>
        <v>97.449936049999678</v>
      </c>
      <c r="J22" s="11">
        <f t="shared" si="19"/>
        <v>103.72221948410238</v>
      </c>
      <c r="K22" s="11">
        <f t="shared" si="19"/>
        <v>109.08465840596601</v>
      </c>
      <c r="L22" s="11">
        <f t="shared" si="19"/>
        <v>114.68070138219205</v>
      </c>
      <c r="M22" s="11">
        <f t="shared" si="19"/>
        <v>120.54088522282206</v>
      </c>
      <c r="N22" s="11">
        <f t="shared" si="19"/>
        <v>126.67641628066367</v>
      </c>
      <c r="O22" s="11">
        <f t="shared" si="19"/>
        <v>133.1115782277214</v>
      </c>
      <c r="P22" s="11">
        <f t="shared" si="19"/>
        <v>139.86033524386684</v>
      </c>
      <c r="Q22" s="11">
        <f t="shared" si="19"/>
        <v>146.93726820720653</v>
      </c>
      <c r="R22" s="11">
        <f t="shared" si="19"/>
        <v>154.37229397849117</v>
      </c>
      <c r="S22" s="11">
        <f t="shared" si="19"/>
        <v>162.16809482440499</v>
      </c>
      <c r="T22" s="11">
        <f t="shared" si="19"/>
        <v>170.34136680355499</v>
      </c>
      <c r="U22" s="11">
        <f t="shared" si="19"/>
        <v>178.90953755377382</v>
      </c>
      <c r="V22" s="11">
        <f t="shared" si="19"/>
        <v>187.87290538521788</v>
      </c>
      <c r="W22" s="11">
        <f t="shared" si="19"/>
        <v>197.26655065447878</v>
      </c>
      <c r="X22" s="11">
        <f t="shared" si="19"/>
        <v>207.09042487707185</v>
      </c>
      <c r="Y22" s="11">
        <f t="shared" si="19"/>
        <v>217.36210995097463</v>
      </c>
      <c r="Z22" s="11">
        <f t="shared" si="19"/>
        <v>228.09979818255275</v>
      </c>
      <c r="AA22" s="11">
        <f t="shared" si="19"/>
        <v>239.32230825313434</v>
      </c>
      <c r="AB22" s="11">
        <f t="shared" si="19"/>
        <v>251.07303358836322</v>
      </c>
      <c r="AC22" s="11">
        <f t="shared" si="19"/>
        <v>263.35050493083412</v>
      </c>
      <c r="AD22" s="11">
        <f t="shared" si="19"/>
        <v>276.17567452096574</v>
      </c>
    </row>
    <row r="23" spans="1:30" ht="15.6" x14ac:dyDescent="0.3">
      <c r="A23" s="6" t="s">
        <v>39</v>
      </c>
      <c r="B23" s="50">
        <v>107.81100000000001</v>
      </c>
      <c r="C23" s="11">
        <f>B23*(1+C13)</f>
        <v>113.740605</v>
      </c>
      <c r="D23" s="11">
        <f t="shared" ref="D23:AD23" si="20">C23*(1+D13)</f>
        <v>119.42763525000001</v>
      </c>
      <c r="E23" s="11">
        <f t="shared" si="20"/>
        <v>126.653007182625</v>
      </c>
      <c r="F23" s="11">
        <f t="shared" si="20"/>
        <v>134.37884062076512</v>
      </c>
      <c r="G23" s="11">
        <f t="shared" si="20"/>
        <v>142.15937549270743</v>
      </c>
      <c r="H23" s="11">
        <f t="shared" si="20"/>
        <v>150.09186864520052</v>
      </c>
      <c r="I23" s="11">
        <f t="shared" si="20"/>
        <v>158.03172849653163</v>
      </c>
      <c r="J23" s="11">
        <f t="shared" si="20"/>
        <v>166.28098472405057</v>
      </c>
      <c r="K23" s="11">
        <f t="shared" si="20"/>
        <v>174.877711634284</v>
      </c>
      <c r="L23" s="11">
        <f t="shared" si="20"/>
        <v>183.84893824112274</v>
      </c>
      <c r="M23" s="11">
        <f t="shared" si="20"/>
        <v>193.2436189852441</v>
      </c>
      <c r="N23" s="11">
        <f t="shared" si="20"/>
        <v>203.079719191593</v>
      </c>
      <c r="O23" s="11">
        <f t="shared" si="20"/>
        <v>213.39616892652592</v>
      </c>
      <c r="P23" s="11">
        <f t="shared" si="20"/>
        <v>224.21535469110077</v>
      </c>
      <c r="Q23" s="11">
        <f t="shared" si="20"/>
        <v>235.56065163847046</v>
      </c>
      <c r="R23" s="11">
        <f t="shared" si="20"/>
        <v>247.48002061137706</v>
      </c>
      <c r="S23" s="11">
        <f t="shared" si="20"/>
        <v>259.97776165225162</v>
      </c>
      <c r="T23" s="11">
        <f t="shared" si="20"/>
        <v>273.08064083952507</v>
      </c>
      <c r="U23" s="11">
        <f t="shared" si="20"/>
        <v>286.8165970737532</v>
      </c>
      <c r="V23" s="11">
        <f t="shared" si="20"/>
        <v>301.18610858714823</v>
      </c>
      <c r="W23" s="11">
        <f t="shared" si="20"/>
        <v>316.24541401650566</v>
      </c>
      <c r="X23" s="11">
        <f t="shared" si="20"/>
        <v>331.99443563452769</v>
      </c>
      <c r="Y23" s="11">
        <f t="shared" si="20"/>
        <v>348.46135964200028</v>
      </c>
      <c r="Z23" s="11">
        <f t="shared" si="20"/>
        <v>365.67535080831505</v>
      </c>
      <c r="AA23" s="11">
        <f t="shared" si="20"/>
        <v>383.66657806808411</v>
      </c>
      <c r="AB23" s="11">
        <f t="shared" si="20"/>
        <v>402.50460705122703</v>
      </c>
      <c r="AC23" s="11">
        <f t="shared" si="20"/>
        <v>422.18708233603201</v>
      </c>
      <c r="AD23" s="11">
        <f t="shared" si="20"/>
        <v>442.74759324579674</v>
      </c>
    </row>
    <row r="24" spans="1:30" ht="15.6" x14ac:dyDescent="0.3">
      <c r="A24" s="7" t="s">
        <v>40</v>
      </c>
      <c r="B24" s="16">
        <f t="shared" ref="B24:AD24" si="21">SUM(B16:B23) -B21</f>
        <v>1078.875</v>
      </c>
      <c r="C24" s="16">
        <f t="shared" si="21"/>
        <v>1096.1817707600001</v>
      </c>
      <c r="D24" s="16">
        <f t="shared" si="21"/>
        <v>1213.0187338031978</v>
      </c>
      <c r="E24" s="16">
        <f t="shared" si="21"/>
        <v>1283.6268294932261</v>
      </c>
      <c r="F24" s="16">
        <f t="shared" si="21"/>
        <v>1358.5889305676055</v>
      </c>
      <c r="G24" s="16">
        <f t="shared" si="21"/>
        <v>1434.694016048953</v>
      </c>
      <c r="H24" s="16">
        <f t="shared" si="21"/>
        <v>1512.556008566813</v>
      </c>
      <c r="I24" s="16">
        <f t="shared" si="21"/>
        <v>1591.3082001375035</v>
      </c>
      <c r="J24" s="16">
        <f t="shared" si="21"/>
        <v>1673.0447151326889</v>
      </c>
      <c r="K24" s="16">
        <f t="shared" si="21"/>
        <v>1756.9026671427416</v>
      </c>
      <c r="L24" s="16">
        <f t="shared" si="21"/>
        <v>1844.2663641936056</v>
      </c>
      <c r="M24" s="16">
        <f t="shared" si="21"/>
        <v>1936.916552193506</v>
      </c>
      <c r="N24" s="16">
        <f t="shared" si="21"/>
        <v>2033.5565694810675</v>
      </c>
      <c r="O24" s="16">
        <f t="shared" si="21"/>
        <v>2134.8143186083116</v>
      </c>
      <c r="P24" s="16">
        <f t="shared" si="21"/>
        <v>2240.9037304129251</v>
      </c>
      <c r="Q24" s="16">
        <f t="shared" si="21"/>
        <v>2352.0445335502709</v>
      </c>
      <c r="R24" s="16">
        <f t="shared" si="21"/>
        <v>2468.7014402910422</v>
      </c>
      <c r="S24" s="16">
        <f t="shared" si="21"/>
        <v>2590.9017213836401</v>
      </c>
      <c r="T24" s="16">
        <f t="shared" si="21"/>
        <v>2718.8957171890879</v>
      </c>
      <c r="U24" s="16">
        <f t="shared" si="21"/>
        <v>2852.9449981696189</v>
      </c>
      <c r="V24" s="16">
        <f t="shared" si="21"/>
        <v>2993.0365667794122</v>
      </c>
      <c r="W24" s="16">
        <f t="shared" si="21"/>
        <v>3139.7117507121216</v>
      </c>
      <c r="X24" s="16">
        <f t="shared" si="21"/>
        <v>3292.9511416269283</v>
      </c>
      <c r="Y24" s="16">
        <f t="shared" si="21"/>
        <v>3453.0148026982083</v>
      </c>
      <c r="Z24" s="16">
        <f t="shared" si="21"/>
        <v>3620.172143639541</v>
      </c>
      <c r="AA24" s="16">
        <f t="shared" si="21"/>
        <v>3794.7015002811686</v>
      </c>
      <c r="AB24" s="16">
        <f t="shared" si="21"/>
        <v>3977.2703716907172</v>
      </c>
      <c r="AC24" s="16">
        <f t="shared" si="21"/>
        <v>4167.8329112360334</v>
      </c>
      <c r="AD24" s="16">
        <f t="shared" si="21"/>
        <v>4366.6970632693328</v>
      </c>
    </row>
    <row r="25" spans="1:30" ht="15.6" x14ac:dyDescent="0.3">
      <c r="A25" s="7"/>
      <c r="B25" s="17"/>
      <c r="C25" s="11"/>
      <c r="D25" s="18"/>
      <c r="E25" s="16"/>
      <c r="F25" s="16"/>
      <c r="G25" s="16"/>
      <c r="H25" s="16"/>
      <c r="I25" s="16"/>
      <c r="J25" s="16"/>
      <c r="K25" s="16"/>
      <c r="L25" s="16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</row>
    <row r="26" spans="1:30" ht="15.6" x14ac:dyDescent="0.3">
      <c r="A26" s="19" t="s">
        <v>41</v>
      </c>
      <c r="B26" s="23">
        <v>1027</v>
      </c>
      <c r="C26" s="11">
        <f>B26*(1+C13)</f>
        <v>1083.4849999999999</v>
      </c>
      <c r="D26" s="11">
        <f t="shared" ref="D26:L26" si="22">C26*(1+D13)</f>
        <v>1137.6592499999999</v>
      </c>
      <c r="E26" s="11">
        <f t="shared" si="22"/>
        <v>1206.4876346249998</v>
      </c>
      <c r="F26" s="11">
        <f t="shared" si="22"/>
        <v>1280.0833803371247</v>
      </c>
      <c r="G26" s="11">
        <f t="shared" si="22"/>
        <v>1354.2002080586444</v>
      </c>
      <c r="H26" s="11">
        <f t="shared" si="22"/>
        <v>1429.7645796683169</v>
      </c>
      <c r="I26" s="11">
        <f t="shared" si="22"/>
        <v>1505.3991259327706</v>
      </c>
      <c r="J26" s="11">
        <f t="shared" si="22"/>
        <v>1583.9809603064614</v>
      </c>
      <c r="K26" s="11">
        <f t="shared" si="22"/>
        <v>1665.8727759543056</v>
      </c>
      <c r="L26" s="11">
        <f t="shared" si="22"/>
        <v>1751.3320493607612</v>
      </c>
      <c r="M26" s="11">
        <f>(L26*(1+M13)*(1-(0.0116-(M28/M29))))+0.119</f>
        <v>1827.7158159817968</v>
      </c>
      <c r="N26" s="11">
        <f t="shared" ref="N26:AD26" si="23">(M26*(1+N13)*(1-(0.0116-(N28/N29))))+0.119</f>
        <v>1907.0256717652594</v>
      </c>
      <c r="O26" s="11">
        <f t="shared" si="23"/>
        <v>1989.5439886469721</v>
      </c>
      <c r="P26" s="11">
        <f t="shared" si="23"/>
        <v>2075.3904207610249</v>
      </c>
      <c r="Q26" s="11">
        <f t="shared" si="23"/>
        <v>2164.688655086185</v>
      </c>
      <c r="R26" s="11">
        <f t="shared" si="23"/>
        <v>2257.7814227153872</v>
      </c>
      <c r="S26" s="11">
        <f t="shared" si="23"/>
        <v>2354.604362375771</v>
      </c>
      <c r="T26" s="11">
        <f t="shared" si="23"/>
        <v>2455.2950864361824</v>
      </c>
      <c r="U26" s="11">
        <f t="shared" si="23"/>
        <v>2559.9957857130189</v>
      </c>
      <c r="V26" s="11">
        <f t="shared" si="23"/>
        <v>2668.5992450721428</v>
      </c>
      <c r="W26" s="11">
        <f t="shared" si="23"/>
        <v>2781.4897896414536</v>
      </c>
      <c r="X26" s="11">
        <f t="shared" si="23"/>
        <v>2898.5467837339793</v>
      </c>
      <c r="Y26" s="11">
        <f t="shared" si="23"/>
        <v>3019.89591946878</v>
      </c>
      <c r="Z26" s="11">
        <f t="shared" si="23"/>
        <v>3145.6654571101499</v>
      </c>
      <c r="AA26" s="11">
        <f t="shared" si="23"/>
        <v>3275.9862255758926</v>
      </c>
      <c r="AB26" s="11">
        <f t="shared" si="23"/>
        <v>3411.3167750007842</v>
      </c>
      <c r="AC26" s="11">
        <f t="shared" si="23"/>
        <v>3551.4946517563476</v>
      </c>
      <c r="AD26" s="11">
        <f t="shared" si="23"/>
        <v>3696.6597966145496</v>
      </c>
    </row>
    <row r="27" spans="1:30" ht="15.6" x14ac:dyDescent="0.3">
      <c r="A27" s="7" t="s">
        <v>42</v>
      </c>
      <c r="B27" s="17">
        <f t="shared" ref="B27:AD27" si="24">B26</f>
        <v>1027</v>
      </c>
      <c r="C27" s="17">
        <f t="shared" si="24"/>
        <v>1083.4849999999999</v>
      </c>
      <c r="D27" s="11">
        <f t="shared" si="24"/>
        <v>1137.6592499999999</v>
      </c>
      <c r="E27" s="11">
        <f t="shared" si="24"/>
        <v>1206.4876346249998</v>
      </c>
      <c r="F27" s="11">
        <f t="shared" si="24"/>
        <v>1280.0833803371247</v>
      </c>
      <c r="G27" s="51">
        <f t="shared" si="24"/>
        <v>1354.2002080586444</v>
      </c>
      <c r="H27" s="11">
        <f t="shared" si="24"/>
        <v>1429.7645796683169</v>
      </c>
      <c r="I27" s="11">
        <f t="shared" si="24"/>
        <v>1505.3991259327706</v>
      </c>
      <c r="J27" s="11">
        <f t="shared" si="24"/>
        <v>1583.9809603064614</v>
      </c>
      <c r="K27" s="11">
        <f t="shared" si="24"/>
        <v>1665.8727759543056</v>
      </c>
      <c r="L27" s="11">
        <f t="shared" si="24"/>
        <v>1751.3320493607612</v>
      </c>
      <c r="M27" s="11">
        <f t="shared" si="24"/>
        <v>1827.7158159817968</v>
      </c>
      <c r="N27" s="11">
        <f t="shared" si="24"/>
        <v>1907.0256717652594</v>
      </c>
      <c r="O27" s="11">
        <f t="shared" si="24"/>
        <v>1989.5439886469721</v>
      </c>
      <c r="P27" s="11">
        <f t="shared" si="24"/>
        <v>2075.3904207610249</v>
      </c>
      <c r="Q27" s="11">
        <f t="shared" si="24"/>
        <v>2164.688655086185</v>
      </c>
      <c r="R27" s="11">
        <f t="shared" si="24"/>
        <v>2257.7814227153872</v>
      </c>
      <c r="S27" s="11">
        <f t="shared" si="24"/>
        <v>2354.604362375771</v>
      </c>
      <c r="T27" s="11">
        <f t="shared" si="24"/>
        <v>2455.2950864361824</v>
      </c>
      <c r="U27" s="11">
        <f t="shared" si="24"/>
        <v>2559.9957857130189</v>
      </c>
      <c r="V27" s="11">
        <f t="shared" si="24"/>
        <v>2668.5992450721428</v>
      </c>
      <c r="W27" s="11">
        <f t="shared" si="24"/>
        <v>2781.4897896414536</v>
      </c>
      <c r="X27" s="11">
        <f t="shared" si="24"/>
        <v>2898.5467837339793</v>
      </c>
      <c r="Y27" s="11">
        <f t="shared" si="24"/>
        <v>3019.89591946878</v>
      </c>
      <c r="Z27" s="11">
        <f t="shared" si="24"/>
        <v>3145.6654571101499</v>
      </c>
      <c r="AA27" s="11">
        <f t="shared" si="24"/>
        <v>3275.9862255758926</v>
      </c>
      <c r="AB27" s="11">
        <f t="shared" si="24"/>
        <v>3411.3167750007842</v>
      </c>
      <c r="AC27" s="11">
        <f t="shared" si="24"/>
        <v>3551.4946517563476</v>
      </c>
      <c r="AD27" s="11">
        <f t="shared" si="24"/>
        <v>3696.6597966145496</v>
      </c>
    </row>
    <row r="28" spans="1:30" ht="15.6" x14ac:dyDescent="0.3">
      <c r="A28" s="7" t="s">
        <v>81</v>
      </c>
      <c r="B28" s="53">
        <v>0.315</v>
      </c>
      <c r="C28" s="53">
        <v>0.315</v>
      </c>
      <c r="D28" s="53">
        <v>0.315</v>
      </c>
      <c r="E28" s="53">
        <v>0.315</v>
      </c>
      <c r="F28" s="53">
        <v>0.315</v>
      </c>
      <c r="G28" s="53">
        <v>0.315</v>
      </c>
      <c r="H28" s="53">
        <v>0.315</v>
      </c>
      <c r="I28" s="53">
        <v>0.315</v>
      </c>
      <c r="J28" s="53">
        <v>0.315</v>
      </c>
      <c r="K28" s="53">
        <v>0.315</v>
      </c>
      <c r="L28" s="53">
        <v>0.315</v>
      </c>
      <c r="M28" s="53">
        <v>0.315</v>
      </c>
      <c r="N28" s="53">
        <v>0.315</v>
      </c>
      <c r="O28" s="53">
        <v>0.315</v>
      </c>
      <c r="P28" s="53">
        <v>0.315</v>
      </c>
      <c r="Q28" s="53">
        <v>0.315</v>
      </c>
      <c r="R28" s="53">
        <v>0.315</v>
      </c>
      <c r="S28" s="53">
        <v>0.315</v>
      </c>
      <c r="T28" s="53">
        <v>0.315</v>
      </c>
      <c r="U28" s="53">
        <v>0.315</v>
      </c>
      <c r="V28" s="53">
        <v>0.315</v>
      </c>
      <c r="W28" s="53">
        <v>0.315</v>
      </c>
      <c r="X28" s="53">
        <v>0.315</v>
      </c>
      <c r="Y28" s="53">
        <v>0.315</v>
      </c>
      <c r="Z28" s="53">
        <v>0.315</v>
      </c>
      <c r="AA28" s="53">
        <v>0.315</v>
      </c>
      <c r="AB28" s="53">
        <v>0.315</v>
      </c>
      <c r="AC28" s="53">
        <v>0.315</v>
      </c>
      <c r="AD28" s="53">
        <v>0.315</v>
      </c>
    </row>
    <row r="29" spans="1:30" ht="15.6" x14ac:dyDescent="0.3">
      <c r="A29" s="7" t="s">
        <v>82</v>
      </c>
      <c r="B29" s="17">
        <v>67.900000000000006</v>
      </c>
      <c r="C29" s="17">
        <f t="shared" ref="C29:AD29" si="25">B29+B28</f>
        <v>68.215000000000003</v>
      </c>
      <c r="D29" s="17">
        <f t="shared" si="25"/>
        <v>68.53</v>
      </c>
      <c r="E29" s="17">
        <f t="shared" si="25"/>
        <v>68.844999999999999</v>
      </c>
      <c r="F29" s="17">
        <f t="shared" si="25"/>
        <v>69.16</v>
      </c>
      <c r="G29" s="17">
        <f t="shared" si="25"/>
        <v>69.474999999999994</v>
      </c>
      <c r="H29" s="17">
        <f t="shared" si="25"/>
        <v>69.789999999999992</v>
      </c>
      <c r="I29" s="17">
        <f t="shared" si="25"/>
        <v>70.10499999999999</v>
      </c>
      <c r="J29" s="17">
        <f t="shared" si="25"/>
        <v>70.419999999999987</v>
      </c>
      <c r="K29" s="17">
        <f t="shared" si="25"/>
        <v>70.734999999999985</v>
      </c>
      <c r="L29" s="17">
        <f t="shared" si="25"/>
        <v>71.049999999999983</v>
      </c>
      <c r="M29" s="17">
        <f t="shared" si="25"/>
        <v>71.364999999999981</v>
      </c>
      <c r="N29" s="17">
        <f t="shared" si="25"/>
        <v>71.679999999999978</v>
      </c>
      <c r="O29" s="17">
        <f t="shared" si="25"/>
        <v>71.994999999999976</v>
      </c>
      <c r="P29" s="17">
        <f t="shared" si="25"/>
        <v>72.309999999999974</v>
      </c>
      <c r="Q29" s="17">
        <f t="shared" si="25"/>
        <v>72.624999999999972</v>
      </c>
      <c r="R29" s="17">
        <f t="shared" si="25"/>
        <v>72.939999999999969</v>
      </c>
      <c r="S29" s="17">
        <f t="shared" si="25"/>
        <v>73.254999999999967</v>
      </c>
      <c r="T29" s="17">
        <f t="shared" si="25"/>
        <v>73.569999999999965</v>
      </c>
      <c r="U29" s="17">
        <f t="shared" si="25"/>
        <v>73.884999999999962</v>
      </c>
      <c r="V29" s="17">
        <f t="shared" si="25"/>
        <v>74.19999999999996</v>
      </c>
      <c r="W29" s="17">
        <f t="shared" si="25"/>
        <v>74.514999999999958</v>
      </c>
      <c r="X29" s="17">
        <f t="shared" si="25"/>
        <v>74.829999999999956</v>
      </c>
      <c r="Y29" s="17">
        <f t="shared" si="25"/>
        <v>75.144999999999953</v>
      </c>
      <c r="Z29" s="17">
        <f t="shared" si="25"/>
        <v>75.459999999999951</v>
      </c>
      <c r="AA29" s="17">
        <f t="shared" si="25"/>
        <v>75.774999999999949</v>
      </c>
      <c r="AB29" s="17">
        <f t="shared" si="25"/>
        <v>76.089999999999947</v>
      </c>
      <c r="AC29" s="17">
        <f t="shared" si="25"/>
        <v>76.404999999999944</v>
      </c>
      <c r="AD29" s="17">
        <f t="shared" si="25"/>
        <v>76.719999999999942</v>
      </c>
    </row>
    <row r="30" spans="1:30" ht="15.6" x14ac:dyDescent="0.3">
      <c r="A30" s="6" t="s">
        <v>43</v>
      </c>
      <c r="B30" s="23">
        <v>107</v>
      </c>
      <c r="C30" s="23">
        <f t="shared" ref="C30:AD30" si="26">(B46*C40)</f>
        <v>113.22</v>
      </c>
      <c r="D30" s="23">
        <f t="shared" si="26"/>
        <v>140.4309375</v>
      </c>
      <c r="E30" s="23">
        <f t="shared" si="26"/>
        <v>169.44790213098</v>
      </c>
      <c r="F30" s="23">
        <f t="shared" si="26"/>
        <v>184.01151371585507</v>
      </c>
      <c r="G30" s="23">
        <f t="shared" si="26"/>
        <v>188.93750183671318</v>
      </c>
      <c r="H30" s="23">
        <f t="shared" si="26"/>
        <v>196.73329849788769</v>
      </c>
      <c r="I30" s="23">
        <f t="shared" si="26"/>
        <v>200.7617243640118</v>
      </c>
      <c r="J30" s="23">
        <f t="shared" si="26"/>
        <v>212.696332770118</v>
      </c>
      <c r="K30" s="23">
        <f t="shared" si="26"/>
        <v>225.47989186100602</v>
      </c>
      <c r="L30" s="23">
        <f t="shared" si="26"/>
        <v>239.21565907917818</v>
      </c>
      <c r="M30" s="23">
        <f t="shared" si="26"/>
        <v>254.45669433772525</v>
      </c>
      <c r="N30" s="23">
        <f t="shared" si="26"/>
        <v>270.36721139795787</v>
      </c>
      <c r="O30" s="23">
        <f t="shared" si="26"/>
        <v>288.30983556653325</v>
      </c>
      <c r="P30" s="23">
        <f t="shared" si="26"/>
        <v>307.86503065221035</v>
      </c>
      <c r="Q30" s="23">
        <f t="shared" si="26"/>
        <v>329.19695817061853</v>
      </c>
      <c r="R30" s="23">
        <f t="shared" si="26"/>
        <v>353.14990219000651</v>
      </c>
      <c r="S30" s="23">
        <f t="shared" si="26"/>
        <v>378.53789573217369</v>
      </c>
      <c r="T30" s="23">
        <f t="shared" si="26"/>
        <v>406.21743969681421</v>
      </c>
      <c r="U30" s="23">
        <f t="shared" si="26"/>
        <v>436.33766602671284</v>
      </c>
      <c r="V30" s="23">
        <f t="shared" si="26"/>
        <v>468.16061033824491</v>
      </c>
      <c r="W30" s="23">
        <f t="shared" si="26"/>
        <v>503.69050194636623</v>
      </c>
      <c r="X30" s="23">
        <f t="shared" si="26"/>
        <v>541.14711695444726</v>
      </c>
      <c r="Y30" s="23">
        <f t="shared" si="26"/>
        <v>581.72469352589758</v>
      </c>
      <c r="Z30" s="23">
        <f t="shared" si="26"/>
        <v>625.59527229656101</v>
      </c>
      <c r="AA30" s="23">
        <f t="shared" si="26"/>
        <v>672.99280189115552</v>
      </c>
      <c r="AB30" s="23">
        <f t="shared" si="26"/>
        <v>725.63993652095053</v>
      </c>
      <c r="AC30" s="23">
        <f t="shared" si="26"/>
        <v>780.95869797763226</v>
      </c>
      <c r="AD30" s="23">
        <f t="shared" si="26"/>
        <v>840.66519794079932</v>
      </c>
    </row>
    <row r="31" spans="1:30" ht="15.6" x14ac:dyDescent="0.3">
      <c r="A31" s="7" t="s">
        <v>44</v>
      </c>
      <c r="B31" s="23">
        <f t="shared" ref="B31:AD31" si="27">(B30)</f>
        <v>107</v>
      </c>
      <c r="C31" s="23">
        <f t="shared" si="27"/>
        <v>113.22</v>
      </c>
      <c r="D31" s="23">
        <f t="shared" si="27"/>
        <v>140.4309375</v>
      </c>
      <c r="E31" s="23">
        <f t="shared" si="27"/>
        <v>169.44790213098</v>
      </c>
      <c r="F31" s="23">
        <f t="shared" si="27"/>
        <v>184.01151371585507</v>
      </c>
      <c r="G31" s="23">
        <f t="shared" si="27"/>
        <v>188.93750183671318</v>
      </c>
      <c r="H31" s="23">
        <f t="shared" si="27"/>
        <v>196.73329849788769</v>
      </c>
      <c r="I31" s="23">
        <f t="shared" si="27"/>
        <v>200.7617243640118</v>
      </c>
      <c r="J31" s="23">
        <f t="shared" si="27"/>
        <v>212.696332770118</v>
      </c>
      <c r="K31" s="23">
        <f t="shared" si="27"/>
        <v>225.47989186100602</v>
      </c>
      <c r="L31" s="23">
        <f t="shared" si="27"/>
        <v>239.21565907917818</v>
      </c>
      <c r="M31" s="23">
        <f t="shared" si="27"/>
        <v>254.45669433772525</v>
      </c>
      <c r="N31" s="23">
        <f t="shared" si="27"/>
        <v>270.36721139795787</v>
      </c>
      <c r="O31" s="23">
        <f t="shared" si="27"/>
        <v>288.30983556653325</v>
      </c>
      <c r="P31" s="23">
        <f t="shared" si="27"/>
        <v>307.86503065221035</v>
      </c>
      <c r="Q31" s="23">
        <f t="shared" si="27"/>
        <v>329.19695817061853</v>
      </c>
      <c r="R31" s="23">
        <f t="shared" si="27"/>
        <v>353.14990219000651</v>
      </c>
      <c r="S31" s="23">
        <f t="shared" si="27"/>
        <v>378.53789573217369</v>
      </c>
      <c r="T31" s="23">
        <f t="shared" si="27"/>
        <v>406.21743969681421</v>
      </c>
      <c r="U31" s="23">
        <f t="shared" si="27"/>
        <v>436.33766602671284</v>
      </c>
      <c r="V31" s="23">
        <f t="shared" si="27"/>
        <v>468.16061033824491</v>
      </c>
      <c r="W31" s="23">
        <f t="shared" si="27"/>
        <v>503.69050194636623</v>
      </c>
      <c r="X31" s="23">
        <f t="shared" si="27"/>
        <v>541.14711695444726</v>
      </c>
      <c r="Y31" s="23">
        <f t="shared" si="27"/>
        <v>581.72469352589758</v>
      </c>
      <c r="Z31" s="23">
        <f t="shared" si="27"/>
        <v>625.59527229656101</v>
      </c>
      <c r="AA31" s="23">
        <f t="shared" si="27"/>
        <v>672.99280189115552</v>
      </c>
      <c r="AB31" s="23">
        <f t="shared" si="27"/>
        <v>725.63993652095053</v>
      </c>
      <c r="AC31" s="23">
        <f t="shared" si="27"/>
        <v>780.95869797763226</v>
      </c>
      <c r="AD31" s="23">
        <f t="shared" si="27"/>
        <v>840.66519794079932</v>
      </c>
    </row>
    <row r="32" spans="1:30" ht="15.6" x14ac:dyDescent="0.3">
      <c r="A32" s="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spans="1:30" ht="15.6" x14ac:dyDescent="0.3">
      <c r="A33" s="6" t="s">
        <v>45</v>
      </c>
      <c r="B33" s="17">
        <f t="shared" ref="B33:AD33" si="28">B24-B27</f>
        <v>51.875</v>
      </c>
      <c r="C33" s="17">
        <f t="shared" si="28"/>
        <v>12.696770760000163</v>
      </c>
      <c r="D33" s="17">
        <f t="shared" si="28"/>
        <v>75.359483803197918</v>
      </c>
      <c r="E33" s="17">
        <f t="shared" si="28"/>
        <v>77.139194868226241</v>
      </c>
      <c r="F33" s="17">
        <f t="shared" si="28"/>
        <v>78.505550230480821</v>
      </c>
      <c r="G33" s="17">
        <f t="shared" si="28"/>
        <v>80.493807990308596</v>
      </c>
      <c r="H33" s="17">
        <f t="shared" si="28"/>
        <v>82.791428898496179</v>
      </c>
      <c r="I33" s="17">
        <f t="shared" si="28"/>
        <v>85.90907420473286</v>
      </c>
      <c r="J33" s="17">
        <f t="shared" si="28"/>
        <v>89.063754826227523</v>
      </c>
      <c r="K33" s="17">
        <f t="shared" si="28"/>
        <v>91.029891188436068</v>
      </c>
      <c r="L33" s="17">
        <f t="shared" si="28"/>
        <v>92.934314832844393</v>
      </c>
      <c r="M33" s="17">
        <f t="shared" si="28"/>
        <v>109.20073621170923</v>
      </c>
      <c r="N33" s="17">
        <f t="shared" si="28"/>
        <v>126.53089771580812</v>
      </c>
      <c r="O33" s="17">
        <f t="shared" si="28"/>
        <v>145.27032996133948</v>
      </c>
      <c r="P33" s="17">
        <f t="shared" si="28"/>
        <v>165.51330965190027</v>
      </c>
      <c r="Q33" s="17">
        <f t="shared" si="28"/>
        <v>187.35587846408589</v>
      </c>
      <c r="R33" s="17">
        <f t="shared" si="28"/>
        <v>210.92001757565504</v>
      </c>
      <c r="S33" s="17">
        <f t="shared" si="28"/>
        <v>236.29735900786909</v>
      </c>
      <c r="T33" s="17">
        <f t="shared" si="28"/>
        <v>263.60063075290554</v>
      </c>
      <c r="U33" s="17">
        <f t="shared" si="28"/>
        <v>292.94921245659998</v>
      </c>
      <c r="V33" s="17">
        <f t="shared" si="28"/>
        <v>324.43732170726935</v>
      </c>
      <c r="W33" s="17">
        <f t="shared" si="28"/>
        <v>358.22196107066793</v>
      </c>
      <c r="X33" s="17">
        <f t="shared" si="28"/>
        <v>394.40435789294906</v>
      </c>
      <c r="Y33" s="17">
        <f t="shared" si="28"/>
        <v>433.11888322942832</v>
      </c>
      <c r="Z33" s="17">
        <f t="shared" si="28"/>
        <v>474.50668652939112</v>
      </c>
      <c r="AA33" s="17">
        <f t="shared" si="28"/>
        <v>518.71527470527599</v>
      </c>
      <c r="AB33" s="17">
        <f t="shared" si="28"/>
        <v>565.95359668993297</v>
      </c>
      <c r="AC33" s="17">
        <f t="shared" si="28"/>
        <v>616.3382594796858</v>
      </c>
      <c r="AD33" s="17">
        <f t="shared" si="28"/>
        <v>670.03726665478325</v>
      </c>
    </row>
    <row r="34" spans="1:30" ht="15.6" x14ac:dyDescent="0.3">
      <c r="A34" s="7" t="s">
        <v>46</v>
      </c>
      <c r="B34" s="24">
        <f t="shared" ref="B34:AD34" si="29">(B33/B11)</f>
        <v>1.9284386617100371E-2</v>
      </c>
      <c r="C34" s="24">
        <f t="shared" si="29"/>
        <v>4.473923346077332E-3</v>
      </c>
      <c r="D34" s="24">
        <f t="shared" si="29"/>
        <v>2.5289711571883436E-2</v>
      </c>
      <c r="E34" s="24">
        <f t="shared" si="29"/>
        <v>2.4410146736445034E-2</v>
      </c>
      <c r="F34" s="24">
        <f t="shared" si="29"/>
        <v>2.3414250822386708E-2</v>
      </c>
      <c r="G34" s="24">
        <f t="shared" si="29"/>
        <v>2.2693305559382829E-2</v>
      </c>
      <c r="H34" s="24">
        <f t="shared" si="29"/>
        <v>2.2107468144509715E-2</v>
      </c>
      <c r="I34" s="24">
        <f t="shared" si="29"/>
        <v>2.1787406831244326E-2</v>
      </c>
      <c r="J34" s="24">
        <f t="shared" si="29"/>
        <v>2.146689376845054E-2</v>
      </c>
      <c r="K34" s="24">
        <f t="shared" si="29"/>
        <v>2.0862212092570824E-2</v>
      </c>
      <c r="L34" s="24">
        <f t="shared" si="29"/>
        <v>2.0259362236355206E-2</v>
      </c>
      <c r="M34" s="24">
        <f t="shared" si="29"/>
        <v>2.2648069990910066E-2</v>
      </c>
      <c r="N34" s="24">
        <f t="shared" si="29"/>
        <v>2.4971281441106382E-2</v>
      </c>
      <c r="O34" s="24">
        <f t="shared" si="29"/>
        <v>2.7283563889689867E-2</v>
      </c>
      <c r="P34" s="24">
        <f t="shared" si="29"/>
        <v>2.9585462769573613E-2</v>
      </c>
      <c r="Q34" s="24">
        <f t="shared" si="29"/>
        <v>3.1876847982480909E-2</v>
      </c>
      <c r="R34" s="24">
        <f t="shared" si="29"/>
        <v>3.4157686612638329E-2</v>
      </c>
      <c r="S34" s="24">
        <f t="shared" si="29"/>
        <v>3.6427843476815061E-2</v>
      </c>
      <c r="T34" s="24">
        <f t="shared" si="29"/>
        <v>3.8687113368196281E-2</v>
      </c>
      <c r="U34" s="24">
        <f t="shared" si="29"/>
        <v>4.0935382269454187E-2</v>
      </c>
      <c r="V34" s="24">
        <f t="shared" si="29"/>
        <v>4.3172446958495349E-2</v>
      </c>
      <c r="W34" s="24">
        <f t="shared" si="29"/>
        <v>4.53982137217614E-2</v>
      </c>
      <c r="X34" s="24">
        <f t="shared" si="29"/>
        <v>4.761257770935886E-2</v>
      </c>
      <c r="Y34" s="24">
        <f t="shared" si="29"/>
        <v>4.9815361486773957E-2</v>
      </c>
      <c r="Z34" s="24">
        <f t="shared" si="29"/>
        <v>5.2006478119462664E-2</v>
      </c>
      <c r="AA34" s="24">
        <f t="shared" si="29"/>
        <v>5.4185846535942661E-2</v>
      </c>
      <c r="AB34" s="24">
        <f t="shared" si="29"/>
        <v>5.6353482948891642E-2</v>
      </c>
      <c r="AC34" s="24">
        <f t="shared" si="29"/>
        <v>5.8509310589850559E-2</v>
      </c>
      <c r="AD34" s="24">
        <f t="shared" si="29"/>
        <v>6.0653175539172779E-2</v>
      </c>
    </row>
    <row r="35" spans="1:30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ht="15.6" x14ac:dyDescent="0.3">
      <c r="A36" s="26" t="s">
        <v>47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 ht="15.6" x14ac:dyDescent="0.3">
      <c r="A37" s="23" t="s">
        <v>48</v>
      </c>
      <c r="B37" s="24">
        <v>7.9000000000000001E-2</v>
      </c>
      <c r="C37" s="10">
        <v>5.1999999999999998E-2</v>
      </c>
      <c r="D37" s="10">
        <v>4.2000000000000003E-2</v>
      </c>
      <c r="E37" s="10">
        <v>4.1500000000000002E-2</v>
      </c>
      <c r="F37" s="10">
        <v>4.1000000000000002E-2</v>
      </c>
      <c r="G37" s="10">
        <v>3.9899999999999998E-2</v>
      </c>
      <c r="H37" s="10">
        <v>3.8800000000000001E-2</v>
      </c>
      <c r="I37" s="10">
        <v>3.7900000000000003E-2</v>
      </c>
      <c r="J37" s="10">
        <v>3.7199999999999997E-2</v>
      </c>
      <c r="K37" s="10">
        <v>3.6700000000000003E-2</v>
      </c>
      <c r="L37" s="10">
        <v>3.6299999999999999E-2</v>
      </c>
      <c r="M37" s="24">
        <f t="shared" ref="M37:AD37" si="30">M5</f>
        <v>3.61E-2</v>
      </c>
      <c r="N37" s="24">
        <f t="shared" si="30"/>
        <v>3.5900000000000001E-2</v>
      </c>
      <c r="O37" s="24">
        <f t="shared" si="30"/>
        <v>3.5799999999999998E-2</v>
      </c>
      <c r="P37" s="24">
        <f t="shared" si="30"/>
        <v>3.5699999999999996E-2</v>
      </c>
      <c r="Q37" s="24">
        <f t="shared" si="30"/>
        <v>3.56E-2</v>
      </c>
      <c r="R37" s="24">
        <f t="shared" si="30"/>
        <v>3.56E-2</v>
      </c>
      <c r="S37" s="24">
        <f t="shared" si="30"/>
        <v>3.5499999999999997E-2</v>
      </c>
      <c r="T37" s="24">
        <f t="shared" si="30"/>
        <v>3.5400000000000001E-2</v>
      </c>
      <c r="U37" s="24">
        <f t="shared" si="30"/>
        <v>3.5299999999999998E-2</v>
      </c>
      <c r="V37" s="24">
        <f t="shared" si="30"/>
        <v>3.5099999999999999E-2</v>
      </c>
      <c r="W37" s="24">
        <f t="shared" si="30"/>
        <v>3.5000000000000003E-2</v>
      </c>
      <c r="X37" s="24">
        <f t="shared" si="30"/>
        <v>3.4799999999999998E-2</v>
      </c>
      <c r="Y37" s="24">
        <f t="shared" si="30"/>
        <v>3.4599999999999999E-2</v>
      </c>
      <c r="Z37" s="24">
        <f t="shared" si="30"/>
        <v>3.44E-2</v>
      </c>
      <c r="AA37" s="24">
        <f t="shared" si="30"/>
        <v>3.4200000000000001E-2</v>
      </c>
      <c r="AB37" s="24">
        <f t="shared" si="30"/>
        <v>3.4099999999999998E-2</v>
      </c>
      <c r="AC37" s="24">
        <f t="shared" si="30"/>
        <v>3.39E-2</v>
      </c>
      <c r="AD37" s="24">
        <f t="shared" si="30"/>
        <v>3.3700000000000001E-2</v>
      </c>
    </row>
    <row r="38" spans="1:30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spans="1:30" ht="15.6" x14ac:dyDescent="0.3">
      <c r="A39" s="26" t="s">
        <v>49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spans="1:30" x14ac:dyDescent="0.3">
      <c r="A40" s="23" t="s">
        <v>25</v>
      </c>
      <c r="B40" s="24">
        <v>4.4499999999999998E-2</v>
      </c>
      <c r="C40" s="24">
        <v>4.4999999999999998E-2</v>
      </c>
      <c r="D40" s="24">
        <v>5.2499999999999998E-2</v>
      </c>
      <c r="E40" s="24">
        <v>6.0499999999999998E-2</v>
      </c>
      <c r="F40" s="24">
        <v>6.0999999999999999E-2</v>
      </c>
      <c r="G40" s="24">
        <v>5.79E-2</v>
      </c>
      <c r="H40" s="24">
        <v>5.5800000000000002E-2</v>
      </c>
      <c r="I40" s="24">
        <v>5.2900000000000003E-2</v>
      </c>
      <c r="J40" s="24">
        <v>5.2200000000000003E-2</v>
      </c>
      <c r="K40" s="24">
        <v>5.1700000000000003E-2</v>
      </c>
      <c r="L40" s="24">
        <v>5.1299999999999998E-2</v>
      </c>
      <c r="M40" s="24">
        <f t="shared" ref="M40:AD40" si="31">M6</f>
        <v>5.11E-2</v>
      </c>
      <c r="N40" s="24">
        <f t="shared" si="31"/>
        <v>5.0900000000000001E-2</v>
      </c>
      <c r="O40" s="24">
        <f t="shared" si="31"/>
        <v>5.0799999999999998E-2</v>
      </c>
      <c r="P40" s="24">
        <f t="shared" si="31"/>
        <v>5.0699999999999995E-2</v>
      </c>
      <c r="Q40" s="24">
        <f t="shared" si="31"/>
        <v>5.0599999999999999E-2</v>
      </c>
      <c r="R40" s="24">
        <f t="shared" si="31"/>
        <v>5.0599999999999999E-2</v>
      </c>
      <c r="S40" s="24">
        <f t="shared" si="31"/>
        <v>5.0499999999999996E-2</v>
      </c>
      <c r="T40" s="24">
        <f t="shared" si="31"/>
        <v>5.04E-2</v>
      </c>
      <c r="U40" s="24">
        <f t="shared" si="31"/>
        <v>5.0299999999999997E-2</v>
      </c>
      <c r="V40" s="24">
        <f t="shared" si="31"/>
        <v>5.0099999999999999E-2</v>
      </c>
      <c r="W40" s="24">
        <f t="shared" si="31"/>
        <v>0.05</v>
      </c>
      <c r="X40" s="24">
        <f t="shared" si="31"/>
        <v>4.9799999999999997E-2</v>
      </c>
      <c r="Y40" s="24">
        <f t="shared" si="31"/>
        <v>4.9599999999999998E-2</v>
      </c>
      <c r="Z40" s="24">
        <f t="shared" si="31"/>
        <v>4.9399999999999999E-2</v>
      </c>
      <c r="AA40" s="24">
        <f t="shared" si="31"/>
        <v>4.9200000000000001E-2</v>
      </c>
      <c r="AB40" s="24">
        <f t="shared" si="31"/>
        <v>4.9099999999999998E-2</v>
      </c>
      <c r="AC40" s="24">
        <f t="shared" si="31"/>
        <v>4.8899999999999999E-2</v>
      </c>
      <c r="AD40" s="24">
        <f t="shared" si="31"/>
        <v>4.87E-2</v>
      </c>
    </row>
    <row r="41" spans="1:30" x14ac:dyDescent="0.3">
      <c r="A41" s="25"/>
      <c r="B41" s="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 ht="15.6" x14ac:dyDescent="0.3">
      <c r="A42" s="26" t="s">
        <v>50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ht="15.6" x14ac:dyDescent="0.3">
      <c r="A43" s="23" t="s">
        <v>51</v>
      </c>
      <c r="B43" s="12">
        <v>4.0000000000000001E-3</v>
      </c>
      <c r="C43" s="10">
        <v>3.0000000000000001E-3</v>
      </c>
      <c r="D43" s="10">
        <v>8.0000000000000002E-3</v>
      </c>
      <c r="E43" s="10">
        <v>1.9E-2</v>
      </c>
      <c r="F43" s="10">
        <v>0.02</v>
      </c>
      <c r="G43" s="10">
        <v>1.7999999999999999E-2</v>
      </c>
      <c r="H43" s="10">
        <v>1.7000000000000001E-2</v>
      </c>
      <c r="I43" s="10">
        <v>1.4999999999999999E-2</v>
      </c>
      <c r="J43" s="10">
        <v>1.4999999999999999E-2</v>
      </c>
      <c r="K43" s="10">
        <v>1.4999999999999999E-2</v>
      </c>
      <c r="L43" s="10">
        <v>1.4999999999999999E-2</v>
      </c>
      <c r="M43" s="10">
        <v>1.4999999999999999E-2</v>
      </c>
      <c r="N43" s="10">
        <v>1.4999999999999999E-2</v>
      </c>
      <c r="O43" s="10">
        <v>1.4999999999999999E-2</v>
      </c>
      <c r="P43" s="10">
        <v>1.4999999999999999E-2</v>
      </c>
      <c r="Q43" s="10">
        <v>1.4999999999999999E-2</v>
      </c>
      <c r="R43" s="10">
        <v>1.4999999999999999E-2</v>
      </c>
      <c r="S43" s="10">
        <v>1.4999999999999999E-2</v>
      </c>
      <c r="T43" s="10">
        <v>1.4999999999999999E-2</v>
      </c>
      <c r="U43" s="10">
        <v>1.4999999999999999E-2</v>
      </c>
      <c r="V43" s="10">
        <v>1.4999999999999999E-2</v>
      </c>
      <c r="W43" s="10">
        <v>1.4999999999999999E-2</v>
      </c>
      <c r="X43" s="10">
        <v>1.4999999999999999E-2</v>
      </c>
      <c r="Y43" s="10">
        <v>1.4999999999999999E-2</v>
      </c>
      <c r="Z43" s="10">
        <v>1.4999999999999999E-2</v>
      </c>
      <c r="AA43" s="10">
        <v>1.4999999999999999E-2</v>
      </c>
      <c r="AB43" s="10">
        <v>1.4999999999999999E-2</v>
      </c>
      <c r="AC43" s="10">
        <v>1.4999999999999999E-2</v>
      </c>
      <c r="AD43" s="10">
        <v>1.4999999999999999E-2</v>
      </c>
    </row>
    <row r="44" spans="1:30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ht="15.6" x14ac:dyDescent="0.3">
      <c r="A45" s="26" t="s">
        <v>52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x14ac:dyDescent="0.3">
      <c r="A46" s="23" t="s">
        <v>53</v>
      </c>
      <c r="B46" s="17">
        <v>2516</v>
      </c>
      <c r="C46" s="17">
        <f t="shared" ref="C46:AD46" si="32">B46+B49</f>
        <v>2674.875</v>
      </c>
      <c r="D46" s="17">
        <f t="shared" si="32"/>
        <v>2800.79177076</v>
      </c>
      <c r="E46" s="17">
        <f t="shared" si="32"/>
        <v>3016.5821920631979</v>
      </c>
      <c r="F46" s="17">
        <f t="shared" si="32"/>
        <v>3263.169289062404</v>
      </c>
      <c r="G46" s="17">
        <f t="shared" si="32"/>
        <v>3525.6863530087398</v>
      </c>
      <c r="H46" s="17">
        <f t="shared" si="32"/>
        <v>3795.1176628357616</v>
      </c>
      <c r="I46" s="17">
        <f t="shared" si="32"/>
        <v>4074.6423902321453</v>
      </c>
      <c r="J46" s="17">
        <f t="shared" si="32"/>
        <v>4361.3131888008902</v>
      </c>
      <c r="K46" s="17">
        <f t="shared" si="32"/>
        <v>4663.0732763972355</v>
      </c>
      <c r="L46" s="17">
        <f t="shared" si="32"/>
        <v>4979.5830594466779</v>
      </c>
      <c r="M46" s="17">
        <f t="shared" si="32"/>
        <v>5311.7330333587006</v>
      </c>
      <c r="N46" s="17">
        <f t="shared" si="32"/>
        <v>5675.3904639081347</v>
      </c>
      <c r="O46" s="17">
        <f t="shared" si="32"/>
        <v>6072.2885730219004</v>
      </c>
      <c r="P46" s="17">
        <f t="shared" si="32"/>
        <v>6505.8687385497733</v>
      </c>
      <c r="Q46" s="17">
        <f t="shared" si="32"/>
        <v>6979.247078853884</v>
      </c>
      <c r="R46" s="17">
        <f t="shared" si="32"/>
        <v>7495.7999154885883</v>
      </c>
      <c r="S46" s="17">
        <f t="shared" si="32"/>
        <v>8059.8698352542497</v>
      </c>
      <c r="T46" s="17">
        <f t="shared" si="32"/>
        <v>8674.7050899942915</v>
      </c>
      <c r="U46" s="17">
        <f t="shared" si="32"/>
        <v>9344.5231604440105</v>
      </c>
      <c r="V46" s="17">
        <f t="shared" si="32"/>
        <v>10073.810038927324</v>
      </c>
      <c r="W46" s="17">
        <f t="shared" si="32"/>
        <v>10866.407970972838</v>
      </c>
      <c r="X46" s="17">
        <f t="shared" si="32"/>
        <v>11728.320433989871</v>
      </c>
      <c r="Y46" s="17">
        <f t="shared" si="32"/>
        <v>12663.871908837267</v>
      </c>
      <c r="Z46" s="17">
        <f t="shared" si="32"/>
        <v>13678.715485592593</v>
      </c>
      <c r="AA46" s="17">
        <f t="shared" si="32"/>
        <v>14778.817444418544</v>
      </c>
      <c r="AB46" s="17">
        <f t="shared" si="32"/>
        <v>15970.525521014975</v>
      </c>
      <c r="AC46" s="17">
        <f t="shared" si="32"/>
        <v>17262.119054225859</v>
      </c>
      <c r="AD46" s="17">
        <f t="shared" si="32"/>
        <v>18659.416011683177</v>
      </c>
    </row>
    <row r="47" spans="1:30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0" ht="15.6" x14ac:dyDescent="0.3">
      <c r="A48" s="26" t="s">
        <v>54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0" x14ac:dyDescent="0.3">
      <c r="A49" s="23" t="s">
        <v>55</v>
      </c>
      <c r="B49" s="17">
        <f t="shared" ref="B49:AD49" si="33">B24-B27+B31</f>
        <v>158.875</v>
      </c>
      <c r="C49" s="17">
        <f t="shared" si="33"/>
        <v>125.91677076000016</v>
      </c>
      <c r="D49" s="17">
        <f t="shared" si="33"/>
        <v>215.79042130319792</v>
      </c>
      <c r="E49" s="17">
        <f t="shared" si="33"/>
        <v>246.58709699920624</v>
      </c>
      <c r="F49" s="17">
        <f t="shared" si="33"/>
        <v>262.5170639463359</v>
      </c>
      <c r="G49" s="17">
        <f t="shared" si="33"/>
        <v>269.43130982702178</v>
      </c>
      <c r="H49" s="17">
        <f t="shared" si="33"/>
        <v>279.52472739638387</v>
      </c>
      <c r="I49" s="17">
        <f t="shared" si="33"/>
        <v>286.67079856874466</v>
      </c>
      <c r="J49" s="17">
        <f t="shared" si="33"/>
        <v>301.76008759634556</v>
      </c>
      <c r="K49" s="17">
        <f t="shared" si="33"/>
        <v>316.50978304944209</v>
      </c>
      <c r="L49" s="17">
        <f t="shared" si="33"/>
        <v>332.14997391202257</v>
      </c>
      <c r="M49" s="17">
        <f t="shared" si="33"/>
        <v>363.65743054943448</v>
      </c>
      <c r="N49" s="17">
        <f t="shared" si="33"/>
        <v>396.898109113766</v>
      </c>
      <c r="O49" s="17">
        <f t="shared" si="33"/>
        <v>433.58016552787274</v>
      </c>
      <c r="P49" s="17">
        <f t="shared" si="33"/>
        <v>473.37834030411062</v>
      </c>
      <c r="Q49" s="17">
        <f t="shared" si="33"/>
        <v>516.55283663470436</v>
      </c>
      <c r="R49" s="17">
        <f t="shared" si="33"/>
        <v>564.06991976566155</v>
      </c>
      <c r="S49" s="17">
        <f t="shared" si="33"/>
        <v>614.83525474004273</v>
      </c>
      <c r="T49" s="17">
        <f t="shared" si="33"/>
        <v>669.8180704497197</v>
      </c>
      <c r="U49" s="17">
        <f t="shared" si="33"/>
        <v>729.28687848331288</v>
      </c>
      <c r="V49" s="17">
        <f t="shared" si="33"/>
        <v>792.5979320455142</v>
      </c>
      <c r="W49" s="17">
        <f t="shared" si="33"/>
        <v>861.91246301703416</v>
      </c>
      <c r="X49" s="17">
        <f t="shared" si="33"/>
        <v>935.55147484739632</v>
      </c>
      <c r="Y49" s="17">
        <f t="shared" si="33"/>
        <v>1014.8435767553259</v>
      </c>
      <c r="Z49" s="17">
        <f t="shared" si="33"/>
        <v>1100.1019588259521</v>
      </c>
      <c r="AA49" s="17">
        <f t="shared" si="33"/>
        <v>1191.7080765964315</v>
      </c>
      <c r="AB49" s="17">
        <f t="shared" si="33"/>
        <v>1291.5935332108834</v>
      </c>
      <c r="AC49" s="17">
        <f t="shared" si="33"/>
        <v>1397.2969574573181</v>
      </c>
      <c r="AD49" s="17">
        <f t="shared" si="33"/>
        <v>1510.7024645955826</v>
      </c>
    </row>
    <row r="50" spans="1:30" ht="15.6" x14ac:dyDescent="0.3">
      <c r="A50" s="26" t="s">
        <v>56</v>
      </c>
      <c r="B50" s="24">
        <f t="shared" ref="B50:AD50" si="34">B49/B11</f>
        <v>5.9061338289962823E-2</v>
      </c>
      <c r="C50" s="24">
        <f t="shared" si="34"/>
        <v>4.4368917972480194E-2</v>
      </c>
      <c r="D50" s="24">
        <f t="shared" si="34"/>
        <v>7.241659893776374E-2</v>
      </c>
      <c r="E50" s="24">
        <f t="shared" si="34"/>
        <v>7.8030723957477524E-2</v>
      </c>
      <c r="F50" s="24">
        <f t="shared" si="34"/>
        <v>7.8295615562853846E-2</v>
      </c>
      <c r="G50" s="24">
        <f t="shared" si="34"/>
        <v>7.5959719061937117E-2</v>
      </c>
      <c r="H50" s="24">
        <f t="shared" si="34"/>
        <v>7.4640383536496296E-2</v>
      </c>
      <c r="I50" s="24">
        <f t="shared" si="34"/>
        <v>7.2702602988949941E-2</v>
      </c>
      <c r="J50" s="24">
        <f t="shared" si="34"/>
        <v>7.2732749215750334E-2</v>
      </c>
      <c r="K50" s="24">
        <f t="shared" si="34"/>
        <v>7.2537648207030486E-2</v>
      </c>
      <c r="L50" s="24">
        <f t="shared" si="34"/>
        <v>7.2407556351848354E-2</v>
      </c>
      <c r="M50" s="24">
        <f t="shared" si="34"/>
        <v>7.5422009278678981E-2</v>
      </c>
      <c r="N50" s="24">
        <f t="shared" si="34"/>
        <v>7.8329124071997824E-2</v>
      </c>
      <c r="O50" s="24">
        <f t="shared" si="34"/>
        <v>8.1431715276135297E-2</v>
      </c>
      <c r="P50" s="24">
        <f t="shared" si="34"/>
        <v>8.4616260120981876E-2</v>
      </c>
      <c r="Q50" s="24">
        <f t="shared" si="34"/>
        <v>8.7886627221467922E-2</v>
      </c>
      <c r="R50" s="24">
        <f t="shared" si="34"/>
        <v>9.1348956672927001E-2</v>
      </c>
      <c r="S50" s="24">
        <f t="shared" si="34"/>
        <v>9.4783634136817133E-2</v>
      </c>
      <c r="T50" s="24">
        <f t="shared" si="34"/>
        <v>9.8305256529698806E-2</v>
      </c>
      <c r="U50" s="24">
        <f t="shared" si="34"/>
        <v>0.10190721082492812</v>
      </c>
      <c r="V50" s="24">
        <f t="shared" si="34"/>
        <v>0.10546996258193241</v>
      </c>
      <c r="W50" s="24">
        <f t="shared" si="34"/>
        <v>0.10923195799762229</v>
      </c>
      <c r="X50" s="24">
        <f t="shared" si="34"/>
        <v>0.1129399724061043</v>
      </c>
      <c r="Y50" s="24">
        <f t="shared" si="34"/>
        <v>0.11672268650964752</v>
      </c>
      <c r="Z50" s="24">
        <f t="shared" si="34"/>
        <v>0.12057243886133548</v>
      </c>
      <c r="AA50" s="24">
        <f t="shared" si="34"/>
        <v>0.12448777605553871</v>
      </c>
      <c r="AB50" s="24">
        <f t="shared" si="34"/>
        <v>0.12860735328196019</v>
      </c>
      <c r="AC50" s="24">
        <f t="shared" si="34"/>
        <v>0.13264612477430995</v>
      </c>
      <c r="AD50" s="24">
        <f t="shared" si="34"/>
        <v>0.13675194848495775</v>
      </c>
    </row>
  </sheetData>
  <mergeCells count="1">
    <mergeCell ref="A1:AD1"/>
  </mergeCells>
  <pageMargins left="0.7" right="0.7" top="0.75" bottom="0.75" header="0.3" footer="0.3"/>
  <pageSetup scale="2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2402-3413-4D98-AAA8-3B2573DAE3F4}">
  <sheetPr>
    <pageSetUpPr fitToPage="1"/>
  </sheetPr>
  <dimension ref="A1:T32"/>
  <sheetViews>
    <sheetView topLeftCell="A61" zoomScale="85" zoomScaleNormal="85" workbookViewId="0">
      <selection activeCell="V82" sqref="V82"/>
    </sheetView>
  </sheetViews>
  <sheetFormatPr defaultColWidth="8.88671875" defaultRowHeight="14.4" x14ac:dyDescent="0.3"/>
  <sheetData>
    <row r="1" spans="1:20" ht="36.6" x14ac:dyDescent="0.7">
      <c r="A1" s="78" t="s">
        <v>83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x14ac:dyDescent="0.3">
      <c r="D2" t="s">
        <v>23</v>
      </c>
      <c r="G2" t="s">
        <v>24</v>
      </c>
      <c r="J2" t="s">
        <v>25</v>
      </c>
      <c r="M2" t="s">
        <v>26</v>
      </c>
      <c r="P2" t="s">
        <v>27</v>
      </c>
      <c r="S2" t="s">
        <v>28</v>
      </c>
    </row>
    <row r="3" spans="1:20" x14ac:dyDescent="0.3">
      <c r="A3" t="s">
        <v>59</v>
      </c>
      <c r="B3" t="s">
        <v>21</v>
      </c>
      <c r="C3" t="s">
        <v>60</v>
      </c>
      <c r="D3" t="s">
        <v>61</v>
      </c>
      <c r="E3" t="s">
        <v>62</v>
      </c>
      <c r="F3" t="s">
        <v>60</v>
      </c>
      <c r="G3" t="s">
        <v>61</v>
      </c>
      <c r="H3" t="s">
        <v>62</v>
      </c>
      <c r="I3" t="s">
        <v>60</v>
      </c>
      <c r="J3" t="s">
        <v>61</v>
      </c>
      <c r="K3" t="s">
        <v>62</v>
      </c>
      <c r="L3" t="s">
        <v>60</v>
      </c>
      <c r="M3" t="s">
        <v>61</v>
      </c>
      <c r="N3" t="s">
        <v>62</v>
      </c>
      <c r="O3" t="s">
        <v>60</v>
      </c>
      <c r="P3" t="s">
        <v>61</v>
      </c>
      <c r="Q3" t="s">
        <v>62</v>
      </c>
      <c r="R3" t="s">
        <v>60</v>
      </c>
      <c r="S3" t="s">
        <v>61</v>
      </c>
      <c r="T3" t="s">
        <v>62</v>
      </c>
    </row>
    <row r="4" spans="1:20" x14ac:dyDescent="0.3">
      <c r="A4">
        <v>0</v>
      </c>
      <c r="B4">
        <v>2022</v>
      </c>
      <c r="C4">
        <v>1.9284386617100371E-2</v>
      </c>
      <c r="D4">
        <v>1.9284386617100371E-2</v>
      </c>
      <c r="E4">
        <v>1.9284386617100371E-2</v>
      </c>
      <c r="F4">
        <v>7.9000000000000001E-2</v>
      </c>
      <c r="G4">
        <v>7.9000000000000001E-2</v>
      </c>
      <c r="H4">
        <v>7.9000000000000001E-2</v>
      </c>
      <c r="I4">
        <v>4.4499999999999998E-2</v>
      </c>
      <c r="J4">
        <v>4.4499999999999998E-2</v>
      </c>
      <c r="K4">
        <v>4.4499999999999998E-2</v>
      </c>
      <c r="L4">
        <v>4.0000000000000001E-3</v>
      </c>
      <c r="M4">
        <v>4.0000000000000001E-3</v>
      </c>
      <c r="N4">
        <v>4.0000000000000001E-3</v>
      </c>
      <c r="O4">
        <v>0.93531598513011149</v>
      </c>
      <c r="P4">
        <v>0.93531598513011149</v>
      </c>
      <c r="Q4">
        <v>0.93531598513011149</v>
      </c>
      <c r="R4">
        <v>5.9061338289962823E-2</v>
      </c>
      <c r="S4">
        <v>5.9061338289962823E-2</v>
      </c>
      <c r="T4">
        <v>5.9061338289962823E-2</v>
      </c>
    </row>
    <row r="5" spans="1:20" x14ac:dyDescent="0.3">
      <c r="A5">
        <v>0.1</v>
      </c>
      <c r="B5">
        <v>2023</v>
      </c>
      <c r="C5">
        <v>2.9928770189750278E-3</v>
      </c>
      <c r="D5">
        <v>4.473923346077332E-3</v>
      </c>
      <c r="E5">
        <v>5.9549696731796362E-3</v>
      </c>
      <c r="F5">
        <v>4.9299999999999997E-2</v>
      </c>
      <c r="G5">
        <v>5.1999999999999998E-2</v>
      </c>
      <c r="H5">
        <v>5.4699999999999999E-2</v>
      </c>
      <c r="I5">
        <v>4.4949999999999997E-2</v>
      </c>
      <c r="J5">
        <v>4.4999999999999998E-2</v>
      </c>
      <c r="K5">
        <v>4.505E-2</v>
      </c>
      <c r="L5">
        <v>2.9000000000000002E-3</v>
      </c>
      <c r="M5">
        <v>3.0000000000000001E-3</v>
      </c>
      <c r="N5">
        <v>3.0999999999999999E-3</v>
      </c>
      <c r="O5">
        <v>0.94181557109885661</v>
      </c>
      <c r="P5">
        <v>0.94253774731760609</v>
      </c>
      <c r="Q5">
        <v>0.94325992353635557</v>
      </c>
      <c r="R5">
        <v>4.2899675940731935E-2</v>
      </c>
      <c r="S5">
        <v>4.4368917972480194E-2</v>
      </c>
      <c r="T5">
        <v>4.5838160004228454E-2</v>
      </c>
    </row>
    <row r="6" spans="1:20" x14ac:dyDescent="0.3">
      <c r="A6">
        <v>0.11000000000000001</v>
      </c>
      <c r="B6">
        <v>2024</v>
      </c>
      <c r="C6">
        <v>2.46291258268573E-2</v>
      </c>
      <c r="D6">
        <v>2.5289711571883436E-2</v>
      </c>
      <c r="E6">
        <v>2.5950297316909572E-2</v>
      </c>
      <c r="F6">
        <v>3.7930000000000005E-2</v>
      </c>
      <c r="G6">
        <v>4.2000000000000003E-2</v>
      </c>
      <c r="H6">
        <v>4.607E-2</v>
      </c>
      <c r="I6">
        <v>5.1619999999999999E-2</v>
      </c>
      <c r="J6">
        <v>5.2499999999999998E-2</v>
      </c>
      <c r="K6">
        <v>5.3379999999999997E-2</v>
      </c>
      <c r="L6">
        <v>7.5599999999999999E-3</v>
      </c>
      <c r="M6">
        <v>8.0000000000000002E-3</v>
      </c>
      <c r="N6">
        <v>8.4399999999999996E-3</v>
      </c>
      <c r="O6">
        <v>0.93940564608638533</v>
      </c>
      <c r="P6">
        <v>0.93991110980008208</v>
      </c>
      <c r="Q6">
        <v>0.94041657351377883</v>
      </c>
      <c r="R6">
        <v>7.0947520266505637E-2</v>
      </c>
      <c r="S6">
        <v>7.241659893776374E-2</v>
      </c>
      <c r="T6">
        <v>7.3885677609021844E-2</v>
      </c>
    </row>
    <row r="7" spans="1:20" x14ac:dyDescent="0.3">
      <c r="A7">
        <v>0.12100000000000002</v>
      </c>
      <c r="B7">
        <v>2025</v>
      </c>
      <c r="C7">
        <v>2.3789929762004329E-2</v>
      </c>
      <c r="D7">
        <v>2.4410146736445034E-2</v>
      </c>
      <c r="E7">
        <v>2.5030363710885739E-2</v>
      </c>
      <c r="F7">
        <v>3.6962500000000002E-2</v>
      </c>
      <c r="G7">
        <v>4.1500000000000002E-2</v>
      </c>
      <c r="H7">
        <v>4.6037500000000002E-2</v>
      </c>
      <c r="I7">
        <v>5.8563999999999998E-2</v>
      </c>
      <c r="J7">
        <v>6.0499999999999998E-2</v>
      </c>
      <c r="K7">
        <v>6.2435999999999998E-2</v>
      </c>
      <c r="L7">
        <v>1.7184999999999999E-2</v>
      </c>
      <c r="M7">
        <v>1.9E-2</v>
      </c>
      <c r="N7">
        <v>2.0815E-2</v>
      </c>
      <c r="O7">
        <v>0.95224542277270618</v>
      </c>
      <c r="P7">
        <v>0.9545758686825514</v>
      </c>
      <c r="Q7">
        <v>0.95690631459239661</v>
      </c>
      <c r="R7">
        <v>7.5735428291708248E-2</v>
      </c>
      <c r="S7">
        <v>7.8030723957477524E-2</v>
      </c>
      <c r="T7">
        <v>8.03260196232468E-2</v>
      </c>
    </row>
    <row r="8" spans="1:20" x14ac:dyDescent="0.3">
      <c r="A8">
        <v>0.13310000000000002</v>
      </c>
      <c r="B8">
        <v>2026</v>
      </c>
      <c r="C8">
        <v>2.2864565896663098E-2</v>
      </c>
      <c r="D8">
        <v>2.3414250822386708E-2</v>
      </c>
      <c r="E8">
        <v>2.3963935748110319E-2</v>
      </c>
      <c r="F8">
        <v>3.5942200000000001E-2</v>
      </c>
      <c r="G8">
        <v>4.1000000000000002E-2</v>
      </c>
      <c r="H8">
        <v>4.6057800000000003E-2</v>
      </c>
      <c r="I8">
        <v>5.8803849999999998E-2</v>
      </c>
      <c r="J8">
        <v>6.0999999999999999E-2</v>
      </c>
      <c r="K8">
        <v>6.3196149999999993E-2</v>
      </c>
      <c r="L8">
        <v>1.7870400000000002E-2</v>
      </c>
      <c r="M8">
        <v>0.02</v>
      </c>
      <c r="N8">
        <v>2.2129599999999999E-2</v>
      </c>
      <c r="O8">
        <v>0.9681914578655314</v>
      </c>
      <c r="P8">
        <v>0.9732390128558237</v>
      </c>
      <c r="Q8">
        <v>0.97828656784611601</v>
      </c>
      <c r="R8">
        <v>7.5735533257832055E-2</v>
      </c>
      <c r="S8">
        <v>7.8295615562853846E-2</v>
      </c>
      <c r="T8">
        <v>8.0855697867875637E-2</v>
      </c>
    </row>
    <row r="9" spans="1:20" x14ac:dyDescent="0.3">
      <c r="A9">
        <v>0.14641000000000004</v>
      </c>
      <c r="B9">
        <v>2027</v>
      </c>
      <c r="C9">
        <v>2.2194205737043254E-2</v>
      </c>
      <c r="D9">
        <v>2.2693305559382829E-2</v>
      </c>
      <c r="E9">
        <v>2.3192405381722403E-2</v>
      </c>
      <c r="F9">
        <v>3.4175368999999997E-2</v>
      </c>
      <c r="G9">
        <v>3.9899999999999998E-2</v>
      </c>
      <c r="H9">
        <v>4.5624630999999999E-2</v>
      </c>
      <c r="I9">
        <v>5.5938106000000001E-2</v>
      </c>
      <c r="J9">
        <v>5.79E-2</v>
      </c>
      <c r="K9">
        <v>5.9861893999999999E-2</v>
      </c>
      <c r="L9">
        <v>1.5950259999999997E-2</v>
      </c>
      <c r="M9">
        <v>1.7999999999999999E-2</v>
      </c>
      <c r="N9">
        <v>2.004974E-2</v>
      </c>
      <c r="O9">
        <v>0.98539357261524574</v>
      </c>
      <c r="P9">
        <v>0.99398301202257067</v>
      </c>
      <c r="Q9">
        <v>1.0025724514298957</v>
      </c>
      <c r="R9">
        <v>7.3485627133112366E-2</v>
      </c>
      <c r="S9">
        <v>7.5959719061937117E-2</v>
      </c>
      <c r="T9">
        <v>7.8433810990761868E-2</v>
      </c>
    </row>
    <row r="10" spans="1:20" x14ac:dyDescent="0.3">
      <c r="A10">
        <v>0.16105100000000006</v>
      </c>
      <c r="B10">
        <v>2028</v>
      </c>
      <c r="C10">
        <v>2.1652808041438914E-2</v>
      </c>
      <c r="D10">
        <v>2.2107468144509715E-2</v>
      </c>
      <c r="E10">
        <v>2.2562128247580516E-2</v>
      </c>
      <c r="F10">
        <v>3.2325749799999998E-2</v>
      </c>
      <c r="G10">
        <v>3.8800000000000001E-2</v>
      </c>
      <c r="H10">
        <v>4.5274250200000005E-2</v>
      </c>
      <c r="I10">
        <v>5.39801237E-2</v>
      </c>
      <c r="J10">
        <v>5.5800000000000002E-2</v>
      </c>
      <c r="K10">
        <v>5.7619876300000004E-2</v>
      </c>
      <c r="L10">
        <v>1.4906337E-2</v>
      </c>
      <c r="M10">
        <v>1.7000000000000001E-2</v>
      </c>
      <c r="N10">
        <v>1.9093663000000004E-2</v>
      </c>
      <c r="O10">
        <v>1.0008205270801747</v>
      </c>
      <c r="P10">
        <v>1.0133952747532748</v>
      </c>
      <c r="Q10">
        <v>1.025970022426375</v>
      </c>
      <c r="R10">
        <v>7.2131362720496833E-2</v>
      </c>
      <c r="S10">
        <v>7.4640383536496296E-2</v>
      </c>
      <c r="T10">
        <v>7.714940435249576E-2</v>
      </c>
    </row>
    <row r="11" spans="1:20" x14ac:dyDescent="0.3">
      <c r="A11">
        <v>0.17715610000000007</v>
      </c>
      <c r="B11">
        <v>2029</v>
      </c>
      <c r="C11">
        <v>2.1343981531885419E-2</v>
      </c>
      <c r="D11">
        <v>2.1787406831244326E-2</v>
      </c>
      <c r="E11">
        <v>2.2230832130603232E-2</v>
      </c>
      <c r="F11">
        <v>3.0618884290000002E-2</v>
      </c>
      <c r="G11">
        <v>3.7900000000000003E-2</v>
      </c>
      <c r="H11">
        <v>4.5181115710000004E-2</v>
      </c>
      <c r="I11">
        <v>5.1411888760000003E-2</v>
      </c>
      <c r="J11">
        <v>5.2900000000000003E-2</v>
      </c>
      <c r="K11">
        <v>5.4388111240000002E-2</v>
      </c>
      <c r="L11">
        <v>1.3051282899999999E-2</v>
      </c>
      <c r="M11">
        <v>1.4999999999999999E-2</v>
      </c>
      <c r="N11">
        <v>1.69487171E-2</v>
      </c>
      <c r="O11">
        <v>1.0159994342411978</v>
      </c>
      <c r="P11">
        <v>1.03337036593197</v>
      </c>
      <c r="Q11">
        <v>1.0507412976227422</v>
      </c>
      <c r="R11">
        <v>7.0285969735809709E-2</v>
      </c>
      <c r="S11">
        <v>7.2702602988949941E-2</v>
      </c>
      <c r="T11">
        <v>7.5119236242090173E-2</v>
      </c>
    </row>
    <row r="12" spans="1:20" x14ac:dyDescent="0.3">
      <c r="A12">
        <v>0.19487171000000009</v>
      </c>
      <c r="B12">
        <v>2030</v>
      </c>
      <c r="C12">
        <v>2.1041584867779704E-2</v>
      </c>
      <c r="D12">
        <v>2.146689376845054E-2</v>
      </c>
      <c r="E12">
        <v>2.1892202669121376E-2</v>
      </c>
      <c r="F12">
        <v>2.9054362521999992E-2</v>
      </c>
      <c r="G12">
        <v>3.7199999999999997E-2</v>
      </c>
      <c r="H12">
        <v>4.5345637478000002E-2</v>
      </c>
      <c r="I12">
        <v>5.0699487833000004E-2</v>
      </c>
      <c r="J12">
        <v>5.2200000000000003E-2</v>
      </c>
      <c r="K12">
        <v>5.3700512167000003E-2</v>
      </c>
      <c r="L12">
        <v>1.2856411189999998E-2</v>
      </c>
      <c r="M12">
        <v>1.4999999999999999E-2</v>
      </c>
      <c r="N12">
        <v>1.7143588809999999E-2</v>
      </c>
      <c r="O12">
        <v>1.0286177355461914</v>
      </c>
      <c r="P12">
        <v>1.0512003126030411</v>
      </c>
      <c r="Q12">
        <v>1.0737828896598909</v>
      </c>
      <c r="R12">
        <v>7.0068577990529443E-2</v>
      </c>
      <c r="S12">
        <v>7.2732749215750334E-2</v>
      </c>
      <c r="T12">
        <v>7.5396920440971224E-2</v>
      </c>
    </row>
    <row r="13" spans="1:20" x14ac:dyDescent="0.3">
      <c r="A13">
        <v>0.21435888100000011</v>
      </c>
      <c r="B13">
        <v>2031</v>
      </c>
      <c r="C13">
        <v>2.0523991189235685E-2</v>
      </c>
      <c r="D13">
        <v>2.0862212092570824E-2</v>
      </c>
      <c r="E13">
        <v>2.1200432995905964E-2</v>
      </c>
      <c r="F13">
        <v>2.7632619333699999E-2</v>
      </c>
      <c r="G13">
        <v>3.6700000000000003E-2</v>
      </c>
      <c r="H13">
        <v>4.5767380666300012E-2</v>
      </c>
      <c r="I13">
        <v>5.0156616056800003E-2</v>
      </c>
      <c r="J13">
        <v>5.1700000000000003E-2</v>
      </c>
      <c r="K13">
        <v>5.3243383943200003E-2</v>
      </c>
      <c r="L13">
        <v>1.2642052308999998E-2</v>
      </c>
      <c r="M13">
        <v>1.4999999999999999E-2</v>
      </c>
      <c r="N13">
        <v>1.7357947690999999E-2</v>
      </c>
      <c r="O13">
        <v>1.0400939614999822</v>
      </c>
      <c r="P13">
        <v>1.068682192468186</v>
      </c>
      <c r="Q13">
        <v>1.0972704234363897</v>
      </c>
      <c r="R13">
        <v>6.9648881493198658E-2</v>
      </c>
      <c r="S13">
        <v>7.2537648207030486E-2</v>
      </c>
      <c r="T13">
        <v>7.5426414920862314E-2</v>
      </c>
    </row>
    <row r="14" spans="1:20" x14ac:dyDescent="0.3">
      <c r="A14">
        <v>0.23579476910000013</v>
      </c>
      <c r="B14">
        <v>2032</v>
      </c>
      <c r="C14">
        <v>2.0029468085334883E-2</v>
      </c>
      <c r="D14">
        <v>2.0259362236355206E-2</v>
      </c>
      <c r="E14">
        <v>2.0489256387375528E-2</v>
      </c>
      <c r="F14">
        <v>2.6231563359429992E-2</v>
      </c>
      <c r="G14">
        <v>3.6299999999999999E-2</v>
      </c>
      <c r="H14">
        <v>4.6368436640570006E-2</v>
      </c>
      <c r="I14">
        <v>4.9696595570119996E-2</v>
      </c>
      <c r="J14">
        <v>5.1299999999999998E-2</v>
      </c>
      <c r="K14">
        <v>5.2903404429880001E-2</v>
      </c>
      <c r="L14">
        <v>1.2406257539899998E-2</v>
      </c>
      <c r="M14">
        <v>1.4999999999999999E-2</v>
      </c>
      <c r="N14">
        <v>1.7593742460100002E-2</v>
      </c>
      <c r="O14">
        <v>1.0501118851321198</v>
      </c>
      <c r="P14">
        <v>1.0855320466805067</v>
      </c>
      <c r="Q14">
        <v>1.1209522082288936</v>
      </c>
      <c r="R14">
        <v>6.9260587945587801E-2</v>
      </c>
      <c r="S14">
        <v>7.2407556351848354E-2</v>
      </c>
      <c r="T14">
        <v>7.5554524758108907E-2</v>
      </c>
    </row>
    <row r="15" spans="1:20" x14ac:dyDescent="0.3">
      <c r="A15">
        <v>0.25937424601000014</v>
      </c>
      <c r="B15">
        <v>2033</v>
      </c>
      <c r="C15">
        <v>2.1775617152011803E-2</v>
      </c>
      <c r="D15">
        <v>2.2648069990910066E-2</v>
      </c>
      <c r="E15">
        <v>2.3520522829808328E-2</v>
      </c>
      <c r="F15">
        <v>2.4972844846170995E-2</v>
      </c>
      <c r="G15">
        <v>3.61E-2</v>
      </c>
      <c r="H15">
        <v>4.7227155153829005E-2</v>
      </c>
      <c r="I15">
        <v>4.9388129976333996E-2</v>
      </c>
      <c r="J15">
        <v>5.11E-2</v>
      </c>
      <c r="K15">
        <v>5.2811870023666004E-2</v>
      </c>
      <c r="L15">
        <v>1.2146883293889998E-2</v>
      </c>
      <c r="M15">
        <v>1.4999999999999999E-2</v>
      </c>
      <c r="N15">
        <v>1.7853116706109999E-2</v>
      </c>
      <c r="O15">
        <v>1.0585039201621351</v>
      </c>
      <c r="P15">
        <v>1.1016455171081299</v>
      </c>
      <c r="Q15">
        <v>1.1447871140541246</v>
      </c>
      <c r="R15">
        <v>7.1178472576763047E-2</v>
      </c>
      <c r="S15">
        <v>7.5422009278678981E-2</v>
      </c>
      <c r="T15">
        <v>7.9665545980594915E-2</v>
      </c>
    </row>
    <row r="16" spans="1:20" x14ac:dyDescent="0.3">
      <c r="A16">
        <v>0.28531167061100016</v>
      </c>
      <c r="B16">
        <v>2034</v>
      </c>
      <c r="C16">
        <v>2.3348743978280177E-2</v>
      </c>
      <c r="D16">
        <v>2.4971281441106382E-2</v>
      </c>
      <c r="E16">
        <v>2.6593818903932587E-2</v>
      </c>
      <c r="F16">
        <v>2.3603066996665895E-2</v>
      </c>
      <c r="G16">
        <v>3.5900000000000001E-2</v>
      </c>
      <c r="H16">
        <v>4.8196933003334108E-2</v>
      </c>
      <c r="I16">
        <v>4.9074005308089599E-2</v>
      </c>
      <c r="J16">
        <v>5.0900000000000001E-2</v>
      </c>
      <c r="K16">
        <v>5.2725994691910402E-2</v>
      </c>
      <c r="L16">
        <v>1.1861571623278997E-2</v>
      </c>
      <c r="M16">
        <v>1.4999999999999999E-2</v>
      </c>
      <c r="N16">
        <v>1.8138428376721E-2</v>
      </c>
      <c r="O16">
        <v>1.0673479774488996</v>
      </c>
      <c r="P16">
        <v>1.1200566432456074</v>
      </c>
      <c r="Q16">
        <v>1.1727653090423151</v>
      </c>
      <c r="R16">
        <v>7.2831799921550547E-2</v>
      </c>
      <c r="S16">
        <v>7.8329124071997824E-2</v>
      </c>
      <c r="T16">
        <v>8.3826448222445102E-2</v>
      </c>
    </row>
    <row r="17" spans="1:20" x14ac:dyDescent="0.3">
      <c r="A17">
        <v>0.31384283767210019</v>
      </c>
      <c r="B17">
        <v>2035</v>
      </c>
      <c r="C17">
        <v>2.4773079395418209E-2</v>
      </c>
      <c r="D17">
        <v>2.7283563889689867E-2</v>
      </c>
      <c r="E17">
        <v>2.9794048383961526E-2</v>
      </c>
      <c r="F17">
        <v>2.224198941256527E-2</v>
      </c>
      <c r="G17">
        <v>3.5799999999999998E-2</v>
      </c>
      <c r="H17">
        <v>4.9358010587434727E-2</v>
      </c>
      <c r="I17">
        <v>4.8822790122665764E-2</v>
      </c>
      <c r="J17">
        <v>5.0799999999999998E-2</v>
      </c>
      <c r="K17">
        <v>5.2777209877334232E-2</v>
      </c>
      <c r="L17">
        <v>1.1547728785606897E-2</v>
      </c>
      <c r="M17">
        <v>1.4999999999999999E-2</v>
      </c>
      <c r="N17">
        <v>1.84522712143931E-2</v>
      </c>
      <c r="O17">
        <v>1.0760707511354026</v>
      </c>
      <c r="P17">
        <v>1.1404508634541353</v>
      </c>
      <c r="Q17">
        <v>1.2048309757728679</v>
      </c>
      <c r="R17">
        <v>7.441093268300028E-2</v>
      </c>
      <c r="S17">
        <v>8.1431715276135297E-2</v>
      </c>
      <c r="T17">
        <v>8.8452497869270313E-2</v>
      </c>
    </row>
    <row r="18" spans="1:20" x14ac:dyDescent="0.3">
      <c r="A18">
        <v>0.34522712143931022</v>
      </c>
      <c r="B18">
        <v>2036</v>
      </c>
      <c r="C18">
        <v>2.602925190172815E-2</v>
      </c>
      <c r="D18">
        <v>2.9585462769573613E-2</v>
      </c>
      <c r="E18">
        <v>3.3141673637419072E-2</v>
      </c>
      <c r="F18">
        <v>2.0751665641677859E-2</v>
      </c>
      <c r="G18">
        <v>3.5699999999999996E-2</v>
      </c>
      <c r="H18">
        <v>5.0648334358322132E-2</v>
      </c>
      <c r="I18">
        <v>4.8559591847076269E-2</v>
      </c>
      <c r="J18">
        <v>5.0699999999999995E-2</v>
      </c>
      <c r="K18">
        <v>5.2840408152923721E-2</v>
      </c>
      <c r="L18">
        <v>1.1202501664167587E-2</v>
      </c>
      <c r="M18">
        <v>1.4999999999999999E-2</v>
      </c>
      <c r="N18">
        <v>1.8797498335832413E-2</v>
      </c>
      <c r="O18">
        <v>1.0843465007059856</v>
      </c>
      <c r="P18">
        <v>1.1629224124205488</v>
      </c>
      <c r="Q18">
        <v>1.2414983241351121</v>
      </c>
      <c r="R18">
        <v>7.5794008018652576E-2</v>
      </c>
      <c r="S18">
        <v>8.4616260120981876E-2</v>
      </c>
      <c r="T18">
        <v>9.3438512223311176E-2</v>
      </c>
    </row>
    <row r="19" spans="1:20" x14ac:dyDescent="0.3">
      <c r="A19">
        <v>0.37974983358324127</v>
      </c>
      <c r="B19">
        <v>2037</v>
      </c>
      <c r="C19">
        <v>2.7094862874574254E-2</v>
      </c>
      <c r="D19">
        <v>3.1876847982480909E-2</v>
      </c>
      <c r="E19">
        <v>3.665883309038756E-2</v>
      </c>
      <c r="F19">
        <v>1.9118857222487327E-2</v>
      </c>
      <c r="G19">
        <v>3.56E-2</v>
      </c>
      <c r="H19">
        <v>5.2081142777512676E-2</v>
      </c>
      <c r="I19">
        <v>4.8283526015142228E-2</v>
      </c>
      <c r="J19">
        <v>5.0599999999999999E-2</v>
      </c>
      <c r="K19">
        <v>5.291647398485777E-2</v>
      </c>
      <c r="L19">
        <v>1.0822751830584346E-2</v>
      </c>
      <c r="M19">
        <v>1.4999999999999999E-2</v>
      </c>
      <c r="N19">
        <v>1.9177248169415653E-2</v>
      </c>
      <c r="O19">
        <v>1.0917043357081646</v>
      </c>
      <c r="P19">
        <v>1.1874535242161914</v>
      </c>
      <c r="Q19">
        <v>1.2832027127242183</v>
      </c>
      <c r="R19">
        <v>7.6940228546740014E-2</v>
      </c>
      <c r="S19">
        <v>8.7886627221467922E-2</v>
      </c>
      <c r="T19">
        <v>9.8833025896195831E-2</v>
      </c>
    </row>
    <row r="20" spans="1:20" x14ac:dyDescent="0.3">
      <c r="A20">
        <v>0.41772481694156544</v>
      </c>
      <c r="B20">
        <v>2038</v>
      </c>
      <c r="C20">
        <v>2.7944740094685248E-2</v>
      </c>
      <c r="D20">
        <v>3.4157686612638329E-2</v>
      </c>
      <c r="E20">
        <v>4.0370633130591409E-2</v>
      </c>
      <c r="F20">
        <v>1.7470742944736058E-2</v>
      </c>
      <c r="G20">
        <v>3.56E-2</v>
      </c>
      <c r="H20">
        <v>5.3729257055263942E-2</v>
      </c>
      <c r="I20">
        <v>4.8051878616656447E-2</v>
      </c>
      <c r="J20">
        <v>5.0599999999999999E-2</v>
      </c>
      <c r="K20">
        <v>5.3148121383343551E-2</v>
      </c>
      <c r="L20">
        <v>1.040502701364278E-2</v>
      </c>
      <c r="M20">
        <v>1.4999999999999999E-2</v>
      </c>
      <c r="N20">
        <v>1.959497298635722E-2</v>
      </c>
      <c r="O20">
        <v>1.0975378608070463</v>
      </c>
      <c r="P20">
        <v>1.2139160017491522</v>
      </c>
      <c r="Q20">
        <v>1.330294142691258</v>
      </c>
      <c r="R20">
        <v>7.7861617194424165E-2</v>
      </c>
      <c r="S20">
        <v>9.1348956672927001E-2</v>
      </c>
      <c r="T20">
        <v>0.10483629615142984</v>
      </c>
    </row>
    <row r="21" spans="1:20" x14ac:dyDescent="0.3">
      <c r="A21">
        <v>0.45949729863572203</v>
      </c>
      <c r="B21">
        <v>2039</v>
      </c>
      <c r="C21">
        <v>2.8550471360498125E-2</v>
      </c>
      <c r="D21">
        <v>3.6427843476815061E-2</v>
      </c>
      <c r="E21">
        <v>4.4305215593131997E-2</v>
      </c>
      <c r="F21">
        <v>1.5511867509346088E-2</v>
      </c>
      <c r="G21">
        <v>3.5499999999999997E-2</v>
      </c>
      <c r="H21">
        <v>5.5488132490653902E-2</v>
      </c>
      <c r="I21">
        <v>4.7743016208185662E-2</v>
      </c>
      <c r="J21">
        <v>5.0499999999999996E-2</v>
      </c>
      <c r="K21">
        <v>5.325698379181433E-2</v>
      </c>
      <c r="L21">
        <v>9.9455297150070586E-3</v>
      </c>
      <c r="M21">
        <v>1.4999999999999999E-2</v>
      </c>
      <c r="N21">
        <v>2.005447028499294E-2</v>
      </c>
      <c r="O21">
        <v>1.1013594008305903</v>
      </c>
      <c r="P21">
        <v>1.2425178090643305</v>
      </c>
      <c r="Q21">
        <v>1.3836762172980708</v>
      </c>
      <c r="R21">
        <v>7.8369335694121509E-2</v>
      </c>
      <c r="S21">
        <v>9.4783634136817133E-2</v>
      </c>
      <c r="T21">
        <v>0.11119793257951276</v>
      </c>
    </row>
    <row r="22" spans="1:20" x14ac:dyDescent="0.3">
      <c r="A22">
        <v>0.50544702849929424</v>
      </c>
      <c r="B22">
        <v>2040</v>
      </c>
      <c r="C22">
        <v>2.8880062787071087E-2</v>
      </c>
      <c r="D22">
        <v>3.8687113368196281E-2</v>
      </c>
      <c r="E22">
        <v>4.8494163949321475E-2</v>
      </c>
      <c r="F22">
        <v>1.3362509557430773E-2</v>
      </c>
      <c r="G22">
        <v>3.5400000000000001E-2</v>
      </c>
      <c r="H22">
        <v>5.7437490442569225E-2</v>
      </c>
      <c r="I22">
        <v>4.7417862531854163E-2</v>
      </c>
      <c r="J22">
        <v>5.04E-2</v>
      </c>
      <c r="K22">
        <v>5.3382137468145838E-2</v>
      </c>
      <c r="L22">
        <v>9.4400826865077628E-3</v>
      </c>
      <c r="M22">
        <v>1.4999999999999999E-2</v>
      </c>
      <c r="N22">
        <v>2.0559917313492236E-2</v>
      </c>
      <c r="O22">
        <v>1.1023855895496637</v>
      </c>
      <c r="P22">
        <v>1.2731354181275203</v>
      </c>
      <c r="Q22">
        <v>1.4438852467053769</v>
      </c>
      <c r="R22">
        <v>7.8469534668755003E-2</v>
      </c>
      <c r="S22">
        <v>9.8305256529698806E-2</v>
      </c>
      <c r="T22">
        <v>0.11814097839064261</v>
      </c>
    </row>
    <row r="23" spans="1:20" x14ac:dyDescent="0.3">
      <c r="A23">
        <v>0.55599173134922375</v>
      </c>
      <c r="B23">
        <v>2041</v>
      </c>
      <c r="C23">
        <v>2.8897607711267474E-2</v>
      </c>
      <c r="D23">
        <v>4.0935382269454187E-2</v>
      </c>
      <c r="E23">
        <v>5.2973156827640901E-2</v>
      </c>
      <c r="F23">
        <v>1.1003161340038918E-2</v>
      </c>
      <c r="G23">
        <v>3.5299999999999998E-2</v>
      </c>
      <c r="H23">
        <v>5.9596838659961078E-2</v>
      </c>
      <c r="I23">
        <v>4.7075247958174499E-2</v>
      </c>
      <c r="J23">
        <v>5.0299999999999997E-2</v>
      </c>
      <c r="K23">
        <v>5.3524752041825496E-2</v>
      </c>
      <c r="L23">
        <v>8.8840909551585398E-3</v>
      </c>
      <c r="M23">
        <v>1.4999999999999999E-2</v>
      </c>
      <c r="N23">
        <v>2.1115909044841459E-2</v>
      </c>
      <c r="O23">
        <v>1.0997965909984138</v>
      </c>
      <c r="P23">
        <v>1.3057609013207836</v>
      </c>
      <c r="Q23">
        <v>1.5117252116431534</v>
      </c>
      <c r="R23">
        <v>7.8085259973044607E-2</v>
      </c>
      <c r="S23">
        <v>0.10190721082492812</v>
      </c>
      <c r="T23">
        <v>0.12572916167681164</v>
      </c>
    </row>
    <row r="24" spans="1:20" x14ac:dyDescent="0.3">
      <c r="A24">
        <v>0.61159090448414621</v>
      </c>
      <c r="B24">
        <v>2042</v>
      </c>
      <c r="C24">
        <v>2.8562726527929731E-2</v>
      </c>
      <c r="D24">
        <v>4.3172446958495349E-2</v>
      </c>
      <c r="E24">
        <v>5.7782167389060966E-2</v>
      </c>
      <c r="F24">
        <v>8.2511592931459807E-3</v>
      </c>
      <c r="G24">
        <v>3.5099999999999999E-2</v>
      </c>
      <c r="H24">
        <v>6.1948840706854018E-2</v>
      </c>
      <c r="I24">
        <v>4.667509093488878E-2</v>
      </c>
      <c r="J24">
        <v>5.0099999999999999E-2</v>
      </c>
      <c r="K24">
        <v>5.3524909065111217E-2</v>
      </c>
      <c r="L24">
        <v>8.2725000506743904E-3</v>
      </c>
      <c r="M24">
        <v>1.4999999999999999E-2</v>
      </c>
      <c r="N24">
        <v>2.1727499949325609E-2</v>
      </c>
      <c r="O24">
        <v>1.0926964937533312</v>
      </c>
      <c r="P24">
        <v>1.3405086297930786</v>
      </c>
      <c r="Q24">
        <v>1.588320765832826</v>
      </c>
      <c r="R24">
        <v>7.7086870075341804E-2</v>
      </c>
      <c r="S24">
        <v>0.10546996258193241</v>
      </c>
      <c r="T24">
        <v>0.13385305508852299</v>
      </c>
    </row>
    <row r="25" spans="1:20" x14ac:dyDescent="0.3">
      <c r="A25">
        <v>0.67274999493256094</v>
      </c>
      <c r="B25">
        <v>2043</v>
      </c>
      <c r="C25">
        <v>2.7830136669430922E-2</v>
      </c>
      <c r="D25">
        <v>4.53982137217614E-2</v>
      </c>
      <c r="E25">
        <v>6.2966290774091882E-2</v>
      </c>
      <c r="F25">
        <v>5.3990002229673227E-3</v>
      </c>
      <c r="G25">
        <v>3.5000000000000003E-2</v>
      </c>
      <c r="H25">
        <v>6.460099977703268E-2</v>
      </c>
      <c r="I25">
        <v>4.6299875027870911E-2</v>
      </c>
      <c r="J25">
        <v>0.05</v>
      </c>
      <c r="K25">
        <v>5.3700124972129094E-2</v>
      </c>
      <c r="L25">
        <v>7.5997500557418293E-3</v>
      </c>
      <c r="M25">
        <v>1.4999999999999999E-2</v>
      </c>
      <c r="N25">
        <v>2.2400249944258169E-2</v>
      </c>
      <c r="O25">
        <v>1.0798971591919884</v>
      </c>
      <c r="P25">
        <v>1.3771224689285819</v>
      </c>
      <c r="Q25">
        <v>1.6743477786651755</v>
      </c>
      <c r="R25">
        <v>7.5479673843530937E-2</v>
      </c>
      <c r="S25">
        <v>0.10923195799762229</v>
      </c>
      <c r="T25">
        <v>0.14298424215171365</v>
      </c>
    </row>
    <row r="26" spans="1:20" x14ac:dyDescent="0.3">
      <c r="A26">
        <v>0.74002499442581704</v>
      </c>
      <c r="B26">
        <v>2044</v>
      </c>
      <c r="C26">
        <v>2.6649008254216792E-2</v>
      </c>
      <c r="D26">
        <v>4.761257770935886E-2</v>
      </c>
      <c r="E26">
        <v>6.8576147164500931E-2</v>
      </c>
      <c r="F26">
        <v>2.0908952463788849E-3</v>
      </c>
      <c r="G26">
        <v>3.4799999999999998E-2</v>
      </c>
      <c r="H26">
        <v>6.750910475362111E-2</v>
      </c>
      <c r="I26">
        <v>4.5877867529543169E-2</v>
      </c>
      <c r="J26">
        <v>4.9799999999999997E-2</v>
      </c>
      <c r="K26">
        <v>5.3722132470456825E-2</v>
      </c>
      <c r="L26">
        <v>6.8597250613160118E-3</v>
      </c>
      <c r="M26">
        <v>1.4999999999999999E-2</v>
      </c>
      <c r="N26">
        <v>2.3140274938683987E-2</v>
      </c>
      <c r="O26">
        <v>1.0602416041154674</v>
      </c>
      <c r="P26">
        <v>1.4158453295162925</v>
      </c>
      <c r="Q26">
        <v>1.7714490549171176</v>
      </c>
      <c r="R26">
        <v>7.3068436494636069E-2</v>
      </c>
      <c r="S26">
        <v>0.1129399724061043</v>
      </c>
      <c r="T26">
        <v>0.15281150831757254</v>
      </c>
    </row>
    <row r="27" spans="1:20" x14ac:dyDescent="0.3">
      <c r="A27">
        <v>0.81402749386839879</v>
      </c>
      <c r="B27">
        <v>2045</v>
      </c>
      <c r="C27">
        <v>2.4962308528254505E-2</v>
      </c>
      <c r="D27">
        <v>4.9815361486773957E-2</v>
      </c>
      <c r="E27">
        <v>7.4668414445293402E-2</v>
      </c>
      <c r="F27">
        <v>-1.5428207277569106E-3</v>
      </c>
      <c r="G27">
        <v>3.4599999999999999E-2</v>
      </c>
      <c r="H27">
        <v>7.0742820727756908E-2</v>
      </c>
      <c r="I27">
        <v>4.5448459781271162E-2</v>
      </c>
      <c r="J27">
        <v>4.9599999999999998E-2</v>
      </c>
      <c r="K27">
        <v>5.3751540218728834E-2</v>
      </c>
      <c r="L27">
        <v>6.0456975674476141E-3</v>
      </c>
      <c r="M27">
        <v>1.4999999999999999E-2</v>
      </c>
      <c r="N27">
        <v>2.3954302432552387E-2</v>
      </c>
      <c r="O27">
        <v>1.0322494840727587</v>
      </c>
      <c r="P27">
        <v>1.4565408745449662</v>
      </c>
      <c r="Q27">
        <v>1.8808322650171736</v>
      </c>
      <c r="R27">
        <v>6.9784763725304538E-2</v>
      </c>
      <c r="S27">
        <v>0.11672268650964752</v>
      </c>
      <c r="T27">
        <v>0.16366060929399051</v>
      </c>
    </row>
    <row r="28" spans="1:20" x14ac:dyDescent="0.3">
      <c r="A28">
        <v>0.89543024325523879</v>
      </c>
      <c r="B28">
        <v>2046</v>
      </c>
      <c r="C28">
        <v>2.2706127765682215E-2</v>
      </c>
      <c r="D28">
        <v>5.2006478119462664E-2</v>
      </c>
      <c r="E28">
        <v>8.1306828473243109E-2</v>
      </c>
      <c r="F28">
        <v>-5.5361888491836514E-3</v>
      </c>
      <c r="G28">
        <v>3.44E-2</v>
      </c>
      <c r="H28">
        <v>7.4336188849183651E-2</v>
      </c>
      <c r="I28">
        <v>4.5012391808049328E-2</v>
      </c>
      <c r="J28">
        <v>4.9399999999999999E-2</v>
      </c>
      <c r="K28">
        <v>5.3787608191950671E-2</v>
      </c>
      <c r="L28">
        <v>5.1502673241923726E-3</v>
      </c>
      <c r="M28">
        <v>1.4999999999999999E-2</v>
      </c>
      <c r="N28">
        <v>2.4849732675807625E-2</v>
      </c>
      <c r="O28">
        <v>0.99428150641573654</v>
      </c>
      <c r="P28">
        <v>1.4992029360154506</v>
      </c>
      <c r="Q28">
        <v>2.0041243656151648</v>
      </c>
      <c r="R28">
        <v>6.5493539113813809E-2</v>
      </c>
      <c r="S28">
        <v>0.12057243886133548</v>
      </c>
      <c r="T28">
        <v>0.17565133860885715</v>
      </c>
    </row>
    <row r="29" spans="1:20" x14ac:dyDescent="0.3">
      <c r="A29">
        <v>0.98497326758076276</v>
      </c>
      <c r="B29">
        <v>2047</v>
      </c>
      <c r="C29">
        <v>1.9808841516341547E-2</v>
      </c>
      <c r="D29">
        <v>5.4185846535942661E-2</v>
      </c>
      <c r="E29">
        <v>8.8562851555543776E-2</v>
      </c>
      <c r="F29">
        <v>-9.9268023876181721E-3</v>
      </c>
      <c r="G29">
        <v>3.4200000000000001E-2</v>
      </c>
      <c r="H29">
        <v>7.8326802387618175E-2</v>
      </c>
      <c r="I29">
        <v>4.4570625642370409E-2</v>
      </c>
      <c r="J29">
        <v>4.9200000000000001E-2</v>
      </c>
      <c r="K29">
        <v>5.3829374357629592E-2</v>
      </c>
      <c r="L29">
        <v>4.1652940566116094E-3</v>
      </c>
      <c r="M29">
        <v>1.4999999999999999E-2</v>
      </c>
      <c r="N29">
        <v>2.5834705943388388E-2</v>
      </c>
      <c r="O29">
        <v>0.94445980398656137</v>
      </c>
      <c r="P29">
        <v>1.5438194575646076</v>
      </c>
      <c r="Q29">
        <v>2.1431791111426537</v>
      </c>
      <c r="R29">
        <v>6.0044483863410006E-2</v>
      </c>
      <c r="S29">
        <v>0.12448777605553871</v>
      </c>
      <c r="T29">
        <v>0.18893106824766742</v>
      </c>
    </row>
    <row r="30" spans="1:20" x14ac:dyDescent="0.3">
      <c r="A30">
        <v>1.0834705943388392</v>
      </c>
      <c r="B30">
        <v>2048</v>
      </c>
      <c r="C30">
        <v>1.6190207114682068E-2</v>
      </c>
      <c r="D30">
        <v>5.6353482948891642E-2</v>
      </c>
      <c r="E30">
        <v>9.6516758783101217E-2</v>
      </c>
      <c r="F30">
        <v>-1.4547829685813883E-2</v>
      </c>
      <c r="G30">
        <v>3.4099999999999998E-2</v>
      </c>
      <c r="H30">
        <v>8.2747829685813873E-2</v>
      </c>
      <c r="I30">
        <v>4.411603526604134E-2</v>
      </c>
      <c r="J30">
        <v>4.9099999999999998E-2</v>
      </c>
      <c r="K30">
        <v>5.4083964733958656E-2</v>
      </c>
      <c r="L30">
        <v>3.0818234622727696E-3</v>
      </c>
      <c r="M30">
        <v>1.4999999999999999E-2</v>
      </c>
      <c r="N30">
        <v>2.6918176537727229E-2</v>
      </c>
      <c r="O30">
        <v>0.88065016648459093</v>
      </c>
      <c r="P30">
        <v>1.5902270838053056</v>
      </c>
      <c r="Q30">
        <v>2.2998040011260201</v>
      </c>
      <c r="R30">
        <v>5.325629108468298E-2</v>
      </c>
      <c r="S30">
        <v>0.12860735328196019</v>
      </c>
      <c r="T30">
        <v>0.20395841547923738</v>
      </c>
    </row>
    <row r="31" spans="1:20" x14ac:dyDescent="0.3">
      <c r="A31">
        <v>1.1918176537727232</v>
      </c>
      <c r="B31">
        <v>2049</v>
      </c>
      <c r="C31">
        <v>1.1760353731233984E-2</v>
      </c>
      <c r="D31">
        <v>5.8509310589850559E-2</v>
      </c>
      <c r="E31">
        <v>0.10525826744846714</v>
      </c>
      <c r="F31">
        <v>-1.9850976185149818E-2</v>
      </c>
      <c r="G31">
        <v>3.39E-2</v>
      </c>
      <c r="H31">
        <v>8.7650976185149818E-2</v>
      </c>
      <c r="I31">
        <v>4.3656002323400014E-2</v>
      </c>
      <c r="J31">
        <v>4.8899999999999999E-2</v>
      </c>
      <c r="K31">
        <v>5.4143997676599984E-2</v>
      </c>
      <c r="L31">
        <v>1.8900058085000448E-3</v>
      </c>
      <c r="M31">
        <v>1.4999999999999999E-2</v>
      </c>
      <c r="N31">
        <v>2.8109994191499954E-2</v>
      </c>
      <c r="O31">
        <v>0.8003941466503206</v>
      </c>
      <c r="P31">
        <v>1.6387019135163181</v>
      </c>
      <c r="Q31">
        <v>2.4770096803823156</v>
      </c>
      <c r="R31">
        <v>4.4946477193168563E-2</v>
      </c>
      <c r="S31">
        <v>0.13264612477430995</v>
      </c>
      <c r="T31">
        <v>0.22034577235545133</v>
      </c>
    </row>
    <row r="32" spans="1:20" x14ac:dyDescent="0.3">
      <c r="A32">
        <v>1.3109994191499956</v>
      </c>
      <c r="B32">
        <v>2050</v>
      </c>
      <c r="C32">
        <v>6.4187172913970775E-3</v>
      </c>
      <c r="D32">
        <v>6.0653175539172779E-2</v>
      </c>
      <c r="E32">
        <v>0.11488763378694848</v>
      </c>
      <c r="F32">
        <v>-2.5688273687494802E-2</v>
      </c>
      <c r="G32">
        <v>3.3700000000000001E-2</v>
      </c>
      <c r="H32">
        <v>9.308827368749481E-2</v>
      </c>
      <c r="I32">
        <v>4.3193802439570016E-2</v>
      </c>
      <c r="J32">
        <v>4.87E-2</v>
      </c>
      <c r="K32">
        <v>5.4206197560429985E-2</v>
      </c>
      <c r="L32">
        <v>5.7900638935004869E-4</v>
      </c>
      <c r="M32">
        <v>1.4999999999999999E-2</v>
      </c>
      <c r="N32">
        <v>2.942099361064995E-2</v>
      </c>
      <c r="O32">
        <v>0.70089289552835043</v>
      </c>
      <c r="P32">
        <v>1.6890893852299307</v>
      </c>
      <c r="Q32">
        <v>2.6772858749315107</v>
      </c>
      <c r="R32">
        <v>3.4899603645910673E-2</v>
      </c>
      <c r="S32">
        <v>0.13675194848495775</v>
      </c>
      <c r="T32">
        <v>0.23860429332400485</v>
      </c>
    </row>
  </sheetData>
  <mergeCells count="1">
    <mergeCell ref="A1:T1"/>
  </mergeCells>
  <pageMargins left="0.7" right="0.7" top="0.75" bottom="0.75" header="0.3" footer="0.3"/>
  <pageSetup scale="4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B3A1-7AA2-4A9A-A0A9-6E1B077DD93F}">
  <sheetPr>
    <pageSetUpPr fitToPage="1"/>
  </sheetPr>
  <dimension ref="A1:AD50"/>
  <sheetViews>
    <sheetView topLeftCell="T1" zoomScale="55" zoomScaleNormal="55" workbookViewId="0">
      <selection activeCell="AF13" sqref="AF13"/>
    </sheetView>
  </sheetViews>
  <sheetFormatPr defaultColWidth="8.88671875" defaultRowHeight="14.4" x14ac:dyDescent="0.3"/>
  <cols>
    <col min="1" max="1" width="43.6640625" bestFit="1" customWidth="1"/>
    <col min="2" max="3" width="8.33203125" bestFit="1" customWidth="1"/>
    <col min="4" max="5" width="12" bestFit="1" customWidth="1"/>
    <col min="6" max="6" width="12.109375" bestFit="1" customWidth="1"/>
    <col min="7" max="7" width="13.33203125" bestFit="1" customWidth="1"/>
    <col min="8" max="8" width="12.109375" bestFit="1" customWidth="1"/>
    <col min="9" max="16" width="12" bestFit="1" customWidth="1"/>
    <col min="17" max="17" width="11" bestFit="1" customWidth="1"/>
    <col min="18" max="25" width="12" bestFit="1" customWidth="1"/>
    <col min="26" max="26" width="11" bestFit="1" customWidth="1"/>
    <col min="27" max="30" width="12" bestFit="1" customWidth="1"/>
  </cols>
  <sheetData>
    <row r="1" spans="1:30" ht="36.6" x14ac:dyDescent="0.7">
      <c r="A1" s="77" t="s">
        <v>84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M2" s="23">
        <v>2033</v>
      </c>
      <c r="N2" s="23">
        <v>2034</v>
      </c>
      <c r="O2" s="23">
        <v>2035</v>
      </c>
      <c r="P2" s="23">
        <v>2036</v>
      </c>
      <c r="Q2" s="23">
        <v>2037</v>
      </c>
      <c r="R2" s="23">
        <v>2038</v>
      </c>
      <c r="S2" s="23">
        <v>2039</v>
      </c>
      <c r="T2" s="23">
        <v>2040</v>
      </c>
      <c r="U2" s="23">
        <v>2041</v>
      </c>
      <c r="V2" s="23">
        <v>2042</v>
      </c>
      <c r="W2" s="23">
        <v>2043</v>
      </c>
      <c r="X2" s="23">
        <v>2044</v>
      </c>
      <c r="Y2" s="23">
        <v>2045</v>
      </c>
      <c r="Z2" s="23">
        <v>2046</v>
      </c>
      <c r="AA2" s="23">
        <v>2047</v>
      </c>
      <c r="AB2" s="23">
        <v>2048</v>
      </c>
      <c r="AC2" s="23">
        <v>2049</v>
      </c>
      <c r="AD2" s="23">
        <v>2050</v>
      </c>
    </row>
    <row r="3" spans="1:30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0" ht="15.6" x14ac:dyDescent="0.3">
      <c r="A4" s="7" t="s">
        <v>23</v>
      </c>
      <c r="B4" s="12">
        <f t="shared" ref="B4:AD4" si="0">B34</f>
        <v>1.9284386617100371E-2</v>
      </c>
      <c r="C4" s="12">
        <f t="shared" si="0"/>
        <v>4.473923346077332E-3</v>
      </c>
      <c r="D4" s="12">
        <f t="shared" si="0"/>
        <v>2.5289711571883436E-2</v>
      </c>
      <c r="E4" s="12">
        <f t="shared" si="0"/>
        <v>2.4410146736445034E-2</v>
      </c>
      <c r="F4" s="12">
        <f t="shared" si="0"/>
        <v>2.3414250822386708E-2</v>
      </c>
      <c r="G4" s="12">
        <f t="shared" si="0"/>
        <v>2.2693305559382829E-2</v>
      </c>
      <c r="H4" s="12">
        <f t="shared" si="0"/>
        <v>2.2107468144509715E-2</v>
      </c>
      <c r="I4" s="12">
        <f t="shared" si="0"/>
        <v>2.1787406831244326E-2</v>
      </c>
      <c r="J4" s="12">
        <f t="shared" si="0"/>
        <v>2.146689376845054E-2</v>
      </c>
      <c r="K4" s="12">
        <f t="shared" si="0"/>
        <v>2.0862212092570824E-2</v>
      </c>
      <c r="L4" s="12">
        <f t="shared" si="0"/>
        <v>2.0259362236355206E-2</v>
      </c>
      <c r="M4" s="12">
        <f t="shared" si="0"/>
        <v>2.1190636723737138E-2</v>
      </c>
      <c r="N4" s="12">
        <f t="shared" si="0"/>
        <v>2.0680656119112319E-2</v>
      </c>
      <c r="O4" s="12">
        <f t="shared" si="0"/>
        <v>1.8899353881553067E-2</v>
      </c>
      <c r="P4" s="12">
        <f t="shared" si="0"/>
        <v>1.7268643781780623E-2</v>
      </c>
      <c r="Q4" s="12">
        <f t="shared" si="0"/>
        <v>1.5773806066299367E-2</v>
      </c>
      <c r="R4" s="12">
        <f t="shared" si="0"/>
        <v>1.440998844305505E-2</v>
      </c>
      <c r="S4" s="12">
        <f t="shared" si="0"/>
        <v>1.3171834868610994E-2</v>
      </c>
      <c r="T4" s="12">
        <f t="shared" si="0"/>
        <v>1.2054453094524025E-2</v>
      </c>
      <c r="U4" s="12">
        <f t="shared" si="0"/>
        <v>1.1053199411042007E-2</v>
      </c>
      <c r="V4" s="12">
        <f t="shared" si="0"/>
        <v>1.0163241389398708E-2</v>
      </c>
      <c r="W4" s="12">
        <f t="shared" si="0"/>
        <v>9.3805538587679229E-3</v>
      </c>
      <c r="X4" s="12">
        <f t="shared" si="0"/>
        <v>8.700720779890302E-3</v>
      </c>
      <c r="Y4" s="12">
        <f t="shared" si="0"/>
        <v>8.1196731830579846E-3</v>
      </c>
      <c r="Z4" s="12">
        <f t="shared" si="0"/>
        <v>7.63356023733205E-3</v>
      </c>
      <c r="AA4" s="12">
        <f t="shared" si="0"/>
        <v>7.2386650949856799E-3</v>
      </c>
      <c r="AB4" s="12">
        <f t="shared" si="0"/>
        <v>6.9316699027254652E-3</v>
      </c>
      <c r="AC4" s="12">
        <f t="shared" si="0"/>
        <v>6.7088984154017491E-3</v>
      </c>
      <c r="AD4" s="12">
        <f t="shared" si="0"/>
        <v>6.5669259038149191E-3</v>
      </c>
    </row>
    <row r="5" spans="1:30" ht="15.6" x14ac:dyDescent="0.3">
      <c r="A5" s="7" t="s">
        <v>24</v>
      </c>
      <c r="B5" s="9">
        <f t="shared" ref="B5:L5" si="1">B37</f>
        <v>7.9000000000000001E-2</v>
      </c>
      <c r="C5" s="9">
        <f t="shared" si="1"/>
        <v>5.1999999999999998E-2</v>
      </c>
      <c r="D5" s="9">
        <f t="shared" si="1"/>
        <v>4.2000000000000003E-2</v>
      </c>
      <c r="E5" s="9">
        <f t="shared" si="1"/>
        <v>4.1500000000000002E-2</v>
      </c>
      <c r="F5" s="9">
        <f t="shared" si="1"/>
        <v>4.1000000000000002E-2</v>
      </c>
      <c r="G5" s="9">
        <f t="shared" si="1"/>
        <v>3.9899999999999998E-2</v>
      </c>
      <c r="H5" s="9">
        <f t="shared" si="1"/>
        <v>3.8800000000000001E-2</v>
      </c>
      <c r="I5" s="9">
        <f t="shared" si="1"/>
        <v>3.7900000000000003E-2</v>
      </c>
      <c r="J5" s="9">
        <f t="shared" si="1"/>
        <v>3.7199999999999997E-2</v>
      </c>
      <c r="K5" s="9">
        <f t="shared" si="1"/>
        <v>3.6700000000000003E-2</v>
      </c>
      <c r="L5" s="9">
        <f t="shared" si="1"/>
        <v>3.6299999999999999E-2</v>
      </c>
      <c r="M5" s="52">
        <f>3.61/100</f>
        <v>3.61E-2</v>
      </c>
      <c r="N5" s="52">
        <f>3.59/100</f>
        <v>3.5900000000000001E-2</v>
      </c>
      <c r="O5" s="52">
        <f>3.58/100</f>
        <v>3.5799999999999998E-2</v>
      </c>
      <c r="P5" s="52">
        <f>3.57/100</f>
        <v>3.5699999999999996E-2</v>
      </c>
      <c r="Q5" s="52">
        <f>3.56/100</f>
        <v>3.56E-2</v>
      </c>
      <c r="R5" s="52">
        <f>3.56/100</f>
        <v>3.56E-2</v>
      </c>
      <c r="S5" s="52">
        <f>3.55/100</f>
        <v>3.5499999999999997E-2</v>
      </c>
      <c r="T5" s="52">
        <f>3.54/100</f>
        <v>3.5400000000000001E-2</v>
      </c>
      <c r="U5" s="52">
        <f>3.53/100</f>
        <v>3.5299999999999998E-2</v>
      </c>
      <c r="V5" s="52">
        <f>3.51/100</f>
        <v>3.5099999999999999E-2</v>
      </c>
      <c r="W5" s="52">
        <f>3.5/100</f>
        <v>3.5000000000000003E-2</v>
      </c>
      <c r="X5" s="52">
        <f>3.48/100</f>
        <v>3.4799999999999998E-2</v>
      </c>
      <c r="Y5" s="52">
        <f>3.46/100</f>
        <v>3.4599999999999999E-2</v>
      </c>
      <c r="Z5" s="52">
        <f>3.44/100</f>
        <v>3.44E-2</v>
      </c>
      <c r="AA5" s="52">
        <f>3.42/100</f>
        <v>3.4200000000000001E-2</v>
      </c>
      <c r="AB5" s="52">
        <f>3.41/100</f>
        <v>3.4099999999999998E-2</v>
      </c>
      <c r="AC5" s="52">
        <f>3.39/100</f>
        <v>3.39E-2</v>
      </c>
      <c r="AD5" s="52">
        <f>3.37/100</f>
        <v>3.3700000000000001E-2</v>
      </c>
    </row>
    <row r="6" spans="1:30" ht="15.6" x14ac:dyDescent="0.3">
      <c r="A6" s="7" t="s">
        <v>25</v>
      </c>
      <c r="B6" s="10">
        <f t="shared" ref="B6:L6" si="2">B40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  <c r="M6" s="24">
        <f t="shared" ref="M6:AD6" si="3">M13</f>
        <v>6.2429999999999999E-2</v>
      </c>
      <c r="N6" s="24">
        <f t="shared" si="3"/>
        <v>7.3569999999999997E-2</v>
      </c>
      <c r="O6" s="24">
        <f t="shared" si="3"/>
        <v>8.48E-2</v>
      </c>
      <c r="P6" s="24">
        <f t="shared" si="3"/>
        <v>8.4699999999999998E-2</v>
      </c>
      <c r="Q6" s="24">
        <f t="shared" si="3"/>
        <v>8.4600000000000009E-2</v>
      </c>
      <c r="R6" s="24">
        <f t="shared" si="3"/>
        <v>8.4600000000000009E-2</v>
      </c>
      <c r="S6" s="24">
        <f t="shared" si="3"/>
        <v>8.4499999999999992E-2</v>
      </c>
      <c r="T6" s="24">
        <f t="shared" si="3"/>
        <v>8.4400000000000003E-2</v>
      </c>
      <c r="U6" s="24">
        <f t="shared" si="3"/>
        <v>8.43E-2</v>
      </c>
      <c r="V6" s="24">
        <f t="shared" si="3"/>
        <v>8.4100000000000008E-2</v>
      </c>
      <c r="W6" s="24">
        <f t="shared" si="3"/>
        <v>8.4000000000000005E-2</v>
      </c>
      <c r="X6" s="24">
        <f t="shared" si="3"/>
        <v>8.3799999999999999E-2</v>
      </c>
      <c r="Y6" s="24">
        <f t="shared" si="3"/>
        <v>8.3600000000000008E-2</v>
      </c>
      <c r="Z6" s="24">
        <f t="shared" si="3"/>
        <v>8.3400000000000002E-2</v>
      </c>
      <c r="AA6" s="24">
        <f t="shared" si="3"/>
        <v>8.3199999999999996E-2</v>
      </c>
      <c r="AB6" s="24">
        <f t="shared" si="3"/>
        <v>8.3100000000000007E-2</v>
      </c>
      <c r="AC6" s="24">
        <f t="shared" si="3"/>
        <v>8.2900000000000001E-2</v>
      </c>
      <c r="AD6" s="24">
        <f t="shared" si="3"/>
        <v>8.2699999999999996E-2</v>
      </c>
    </row>
    <row r="7" spans="1:30" ht="15.6" x14ac:dyDescent="0.3">
      <c r="A7" s="7" t="s">
        <v>26</v>
      </c>
      <c r="B7" s="10">
        <f t="shared" ref="B7:AD7" si="4">B43</f>
        <v>4.0000000000000001E-3</v>
      </c>
      <c r="C7" s="10">
        <f t="shared" si="4"/>
        <v>3.0000000000000001E-3</v>
      </c>
      <c r="D7" s="10">
        <f t="shared" si="4"/>
        <v>8.0000000000000002E-3</v>
      </c>
      <c r="E7" s="10">
        <f t="shared" si="4"/>
        <v>1.9E-2</v>
      </c>
      <c r="F7" s="10">
        <f t="shared" si="4"/>
        <v>0.02</v>
      </c>
      <c r="G7" s="10">
        <f t="shared" si="4"/>
        <v>1.7999999999999999E-2</v>
      </c>
      <c r="H7" s="10">
        <f t="shared" si="4"/>
        <v>1.7000000000000001E-2</v>
      </c>
      <c r="I7" s="10">
        <f t="shared" si="4"/>
        <v>1.4999999999999999E-2</v>
      </c>
      <c r="J7" s="10">
        <f t="shared" si="4"/>
        <v>1.4999999999999999E-2</v>
      </c>
      <c r="K7" s="10">
        <f t="shared" si="4"/>
        <v>1.4999999999999999E-2</v>
      </c>
      <c r="L7" s="10">
        <f t="shared" si="4"/>
        <v>1.4999999999999999E-2</v>
      </c>
      <c r="M7" s="10">
        <f t="shared" si="4"/>
        <v>2.6329999999999999E-2</v>
      </c>
      <c r="N7" s="10">
        <f t="shared" si="4"/>
        <v>3.7670000000000002E-2</v>
      </c>
      <c r="O7" s="10">
        <f t="shared" si="4"/>
        <v>4.9000000000000002E-2</v>
      </c>
      <c r="P7" s="10">
        <f t="shared" si="4"/>
        <v>4.9000000000000002E-2</v>
      </c>
      <c r="Q7" s="10">
        <f t="shared" si="4"/>
        <v>4.9000000000000002E-2</v>
      </c>
      <c r="R7" s="10">
        <f t="shared" si="4"/>
        <v>4.9000000000000002E-2</v>
      </c>
      <c r="S7" s="10">
        <f t="shared" si="4"/>
        <v>4.9000000000000002E-2</v>
      </c>
      <c r="T7" s="10">
        <f t="shared" si="4"/>
        <v>4.9000000000000002E-2</v>
      </c>
      <c r="U7" s="10">
        <f t="shared" si="4"/>
        <v>4.9000000000000002E-2</v>
      </c>
      <c r="V7" s="10">
        <f t="shared" si="4"/>
        <v>4.9000000000000002E-2</v>
      </c>
      <c r="W7" s="10">
        <f t="shared" si="4"/>
        <v>4.9000000000000002E-2</v>
      </c>
      <c r="X7" s="10">
        <f t="shared" si="4"/>
        <v>4.9000000000000002E-2</v>
      </c>
      <c r="Y7" s="10">
        <f t="shared" si="4"/>
        <v>4.9000000000000002E-2</v>
      </c>
      <c r="Z7" s="10">
        <f t="shared" si="4"/>
        <v>4.9000000000000002E-2</v>
      </c>
      <c r="AA7" s="10">
        <f t="shared" si="4"/>
        <v>4.9000000000000002E-2</v>
      </c>
      <c r="AB7" s="10">
        <f t="shared" si="4"/>
        <v>4.9000000000000002E-2</v>
      </c>
      <c r="AC7" s="10">
        <f t="shared" si="4"/>
        <v>4.9000000000000002E-2</v>
      </c>
      <c r="AD7" s="10">
        <f t="shared" si="4"/>
        <v>4.9000000000000002E-2</v>
      </c>
    </row>
    <row r="8" spans="1:30" ht="15.6" x14ac:dyDescent="0.3">
      <c r="A8" s="7" t="s">
        <v>27</v>
      </c>
      <c r="B8" s="10">
        <f t="shared" ref="B8:AD8" si="5">B46/B11</f>
        <v>0.93531598513011149</v>
      </c>
      <c r="C8" s="10">
        <f t="shared" si="5"/>
        <v>0.94253774731760609</v>
      </c>
      <c r="D8" s="10">
        <f t="shared" si="5"/>
        <v>0.93991110980008208</v>
      </c>
      <c r="E8" s="10">
        <f t="shared" si="5"/>
        <v>0.9545758686825514</v>
      </c>
      <c r="F8" s="10">
        <f t="shared" si="5"/>
        <v>0.9732390128558237</v>
      </c>
      <c r="G8" s="10">
        <f t="shared" si="5"/>
        <v>0.99398301202257067</v>
      </c>
      <c r="H8" s="10">
        <f t="shared" si="5"/>
        <v>1.0133952747532748</v>
      </c>
      <c r="I8" s="10">
        <f t="shared" si="5"/>
        <v>1.03337036593197</v>
      </c>
      <c r="J8" s="10">
        <f t="shared" si="5"/>
        <v>1.0512003126030411</v>
      </c>
      <c r="K8" s="10">
        <f t="shared" si="5"/>
        <v>1.068682192468186</v>
      </c>
      <c r="L8" s="10">
        <f t="shared" si="5"/>
        <v>1.0855320466805067</v>
      </c>
      <c r="M8" s="10">
        <f t="shared" si="5"/>
        <v>1.0898973137358274</v>
      </c>
      <c r="N8" s="10">
        <f t="shared" si="5"/>
        <v>1.0943631638372864</v>
      </c>
      <c r="O8" s="10">
        <f t="shared" si="5"/>
        <v>1.0967300001106433</v>
      </c>
      <c r="P8" s="10">
        <f t="shared" si="5"/>
        <v>1.1073816879755032</v>
      </c>
      <c r="Q8" s="10">
        <f t="shared" si="5"/>
        <v>1.1158857713721351</v>
      </c>
      <c r="R8" s="10">
        <f t="shared" si="5"/>
        <v>1.1230283738762243</v>
      </c>
      <c r="S8" s="10">
        <f t="shared" si="5"/>
        <v>1.1290720950676274</v>
      </c>
      <c r="T8" s="10">
        <f t="shared" si="5"/>
        <v>1.1340334841357107</v>
      </c>
      <c r="U8" s="10">
        <f t="shared" si="5"/>
        <v>1.1380289713930269</v>
      </c>
      <c r="V8" s="10">
        <f t="shared" si="5"/>
        <v>1.1412681033311134</v>
      </c>
      <c r="W8" s="10">
        <f t="shared" si="5"/>
        <v>1.1436484608499549</v>
      </c>
      <c r="X8" s="10">
        <f t="shared" si="5"/>
        <v>1.1454758852309905</v>
      </c>
      <c r="Y8" s="10">
        <f t="shared" si="5"/>
        <v>1.1467369151465776</v>
      </c>
      <c r="Z8" s="10">
        <f t="shared" si="5"/>
        <v>1.1475266085672555</v>
      </c>
      <c r="AA8" s="10">
        <f t="shared" si="5"/>
        <v>1.1479282097633738</v>
      </c>
      <c r="AB8" s="10">
        <f t="shared" si="5"/>
        <v>1.1479159509796566</v>
      </c>
      <c r="AC8" s="10">
        <f t="shared" si="5"/>
        <v>1.1477712757871863</v>
      </c>
      <c r="AD8" s="10">
        <f t="shared" si="5"/>
        <v>1.1474622570474113</v>
      </c>
    </row>
    <row r="9" spans="1:30" ht="15.6" x14ac:dyDescent="0.3">
      <c r="A9" s="7" t="s">
        <v>28</v>
      </c>
      <c r="B9" s="10">
        <f t="shared" ref="B9:AD9" si="6">B50</f>
        <v>5.9061338289962823E-2</v>
      </c>
      <c r="C9" s="10">
        <f t="shared" si="6"/>
        <v>4.4368917972480194E-2</v>
      </c>
      <c r="D9" s="10">
        <f t="shared" si="6"/>
        <v>7.241659893776374E-2</v>
      </c>
      <c r="E9" s="10">
        <f t="shared" si="6"/>
        <v>7.8030723957477524E-2</v>
      </c>
      <c r="F9" s="10">
        <f t="shared" si="6"/>
        <v>7.8295615562853846E-2</v>
      </c>
      <c r="G9" s="10">
        <f t="shared" si="6"/>
        <v>7.5959719061937117E-2</v>
      </c>
      <c r="H9" s="10">
        <f t="shared" si="6"/>
        <v>7.4640383536496296E-2</v>
      </c>
      <c r="I9" s="10">
        <f t="shared" si="6"/>
        <v>7.2702602988949941E-2</v>
      </c>
      <c r="J9" s="10">
        <f t="shared" si="6"/>
        <v>7.2732749215750334E-2</v>
      </c>
      <c r="K9" s="10">
        <f t="shared" si="6"/>
        <v>7.2537648207030486E-2</v>
      </c>
      <c r="L9" s="10">
        <f t="shared" si="6"/>
        <v>7.2407556351848354E-2</v>
      </c>
      <c r="M9" s="10">
        <f t="shared" si="6"/>
        <v>8.4978148064968118E-2</v>
      </c>
      <c r="N9" s="10">
        <f t="shared" si="6"/>
        <v>9.5369540282739113E-2</v>
      </c>
      <c r="O9" s="10">
        <f t="shared" si="6"/>
        <v>0.1044469168363852</v>
      </c>
      <c r="P9" s="10">
        <f t="shared" si="6"/>
        <v>0.10290801965471458</v>
      </c>
      <c r="Q9" s="10">
        <f t="shared" si="6"/>
        <v>0.10215080293401795</v>
      </c>
      <c r="R9" s="10">
        <f t="shared" si="6"/>
        <v>0.10145031322461751</v>
      </c>
      <c r="S9" s="10">
        <f t="shared" si="6"/>
        <v>0.10067381512913746</v>
      </c>
      <c r="T9" s="10">
        <f t="shared" si="6"/>
        <v>9.9931329545748446E-2</v>
      </c>
      <c r="U9" s="10">
        <f t="shared" si="6"/>
        <v>9.9219779428233207E-2</v>
      </c>
      <c r="V9" s="10">
        <f t="shared" si="6"/>
        <v>9.8446828230237718E-2</v>
      </c>
      <c r="W9" s="10">
        <f t="shared" si="6"/>
        <v>9.7818303563392953E-2</v>
      </c>
      <c r="X9" s="10">
        <f t="shared" si="6"/>
        <v>9.7128236021841036E-2</v>
      </c>
      <c r="Y9" s="10">
        <f t="shared" si="6"/>
        <v>9.6493412575186829E-2</v>
      </c>
      <c r="Z9" s="10">
        <f t="shared" si="6"/>
        <v>9.5909228248430983E-2</v>
      </c>
      <c r="AA9" s="10">
        <f t="shared" si="6"/>
        <v>9.5379556742692148E-2</v>
      </c>
      <c r="AB9" s="10">
        <f t="shared" si="6"/>
        <v>9.5005563570287443E-2</v>
      </c>
      <c r="AC9" s="10">
        <f t="shared" si="6"/>
        <v>9.4586109918046057E-2</v>
      </c>
      <c r="AD9" s="10">
        <f t="shared" si="6"/>
        <v>9.4237272728974517E-2</v>
      </c>
    </row>
    <row r="10" spans="1:30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5.6" x14ac:dyDescent="0.3">
      <c r="A11" s="7" t="s">
        <v>29</v>
      </c>
      <c r="B11" s="6">
        <v>2690</v>
      </c>
      <c r="C11" s="11">
        <f t="shared" ref="C11:AD11" si="7">B11*(1+C13)</f>
        <v>2837.95</v>
      </c>
      <c r="D11" s="11">
        <f t="shared" si="7"/>
        <v>2979.8474999999999</v>
      </c>
      <c r="E11" s="11">
        <f t="shared" si="7"/>
        <v>3160.1282737500001</v>
      </c>
      <c r="F11" s="11">
        <f t="shared" si="7"/>
        <v>3352.8960984487499</v>
      </c>
      <c r="G11" s="11">
        <f t="shared" si="7"/>
        <v>3547.0287825489327</v>
      </c>
      <c r="H11" s="11">
        <f t="shared" si="7"/>
        <v>3744.9529886151636</v>
      </c>
      <c r="I11" s="11">
        <f t="shared" si="7"/>
        <v>3943.0610017129056</v>
      </c>
      <c r="J11" s="11">
        <f t="shared" si="7"/>
        <v>4148.8887860023196</v>
      </c>
      <c r="K11" s="11">
        <f t="shared" si="7"/>
        <v>4363.3863362386401</v>
      </c>
      <c r="L11" s="11">
        <f t="shared" si="7"/>
        <v>4587.2280552876819</v>
      </c>
      <c r="M11" s="11">
        <f t="shared" si="7"/>
        <v>4873.6087027792919</v>
      </c>
      <c r="N11" s="11">
        <f t="shared" si="7"/>
        <v>5232.1600950427637</v>
      </c>
      <c r="O11" s="11">
        <f t="shared" si="7"/>
        <v>5675.8472711023896</v>
      </c>
      <c r="P11" s="11">
        <f t="shared" si="7"/>
        <v>6156.5915349647621</v>
      </c>
      <c r="Q11" s="11">
        <f t="shared" si="7"/>
        <v>6677.4391788227813</v>
      </c>
      <c r="R11" s="11">
        <f t="shared" si="7"/>
        <v>7242.3505333511885</v>
      </c>
      <c r="S11" s="11">
        <f t="shared" si="7"/>
        <v>7854.329153419364</v>
      </c>
      <c r="T11" s="11">
        <f t="shared" si="7"/>
        <v>8517.2345339679578</v>
      </c>
      <c r="U11" s="11">
        <f t="shared" si="7"/>
        <v>9235.2374051814568</v>
      </c>
      <c r="V11" s="11">
        <f t="shared" si="7"/>
        <v>10011.920870957218</v>
      </c>
      <c r="W11" s="11">
        <f t="shared" si="7"/>
        <v>10852.922224117625</v>
      </c>
      <c r="X11" s="11">
        <f t="shared" si="7"/>
        <v>11762.397106498684</v>
      </c>
      <c r="Y11" s="11">
        <f t="shared" si="7"/>
        <v>12745.733504601974</v>
      </c>
      <c r="Z11" s="11">
        <f t="shared" si="7"/>
        <v>13808.727678885778</v>
      </c>
      <c r="AA11" s="11">
        <f t="shared" si="7"/>
        <v>14957.613821769073</v>
      </c>
      <c r="AB11" s="11">
        <f t="shared" si="7"/>
        <v>16200.591530358082</v>
      </c>
      <c r="AC11" s="11">
        <f t="shared" si="7"/>
        <v>17543.620568224767</v>
      </c>
      <c r="AD11" s="11">
        <f t="shared" si="7"/>
        <v>18994.477989216957</v>
      </c>
    </row>
    <row r="12" spans="1:30" ht="15.6" x14ac:dyDescent="0.3">
      <c r="A12" s="7" t="s">
        <v>26</v>
      </c>
      <c r="B12" s="12">
        <v>4.0000000000000001E-3</v>
      </c>
      <c r="C12" s="10">
        <f t="shared" ref="C12:L12" si="8">C43</f>
        <v>3.0000000000000001E-3</v>
      </c>
      <c r="D12" s="10">
        <f t="shared" si="8"/>
        <v>8.0000000000000002E-3</v>
      </c>
      <c r="E12" s="10">
        <f t="shared" si="8"/>
        <v>1.9E-2</v>
      </c>
      <c r="F12" s="10">
        <f t="shared" si="8"/>
        <v>0.02</v>
      </c>
      <c r="G12" s="10">
        <f t="shared" si="8"/>
        <v>1.7999999999999999E-2</v>
      </c>
      <c r="H12" s="10">
        <f t="shared" si="8"/>
        <v>1.7000000000000001E-2</v>
      </c>
      <c r="I12" s="10">
        <f t="shared" si="8"/>
        <v>1.4999999999999999E-2</v>
      </c>
      <c r="J12" s="10">
        <f t="shared" si="8"/>
        <v>1.4999999999999999E-2</v>
      </c>
      <c r="K12" s="10">
        <f t="shared" si="8"/>
        <v>1.4999999999999999E-2</v>
      </c>
      <c r="L12" s="10">
        <f t="shared" si="8"/>
        <v>1.4999999999999999E-2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5.6" x14ac:dyDescent="0.3">
      <c r="A13" s="7" t="s">
        <v>30</v>
      </c>
      <c r="B13" s="12">
        <f t="shared" ref="B13:L13" si="9">(B37+B12)</f>
        <v>8.3000000000000004E-2</v>
      </c>
      <c r="C13" s="12">
        <f t="shared" si="9"/>
        <v>5.5E-2</v>
      </c>
      <c r="D13" s="12">
        <f t="shared" si="9"/>
        <v>0.05</v>
      </c>
      <c r="E13" s="12">
        <f t="shared" si="9"/>
        <v>6.0499999999999998E-2</v>
      </c>
      <c r="F13" s="12">
        <f t="shared" si="9"/>
        <v>6.0999999999999999E-2</v>
      </c>
      <c r="G13" s="12">
        <f t="shared" si="9"/>
        <v>5.7899999999999993E-2</v>
      </c>
      <c r="H13" s="12">
        <f t="shared" si="9"/>
        <v>5.5800000000000002E-2</v>
      </c>
      <c r="I13" s="12">
        <f t="shared" si="9"/>
        <v>5.2900000000000003E-2</v>
      </c>
      <c r="J13" s="12">
        <f t="shared" si="9"/>
        <v>5.2199999999999996E-2</v>
      </c>
      <c r="K13" s="12">
        <f t="shared" si="9"/>
        <v>5.1700000000000003E-2</v>
      </c>
      <c r="L13" s="12">
        <f t="shared" si="9"/>
        <v>5.1299999999999998E-2</v>
      </c>
      <c r="M13" s="24">
        <f t="shared" ref="M13:AD13" si="10">M7+M5</f>
        <v>6.2429999999999999E-2</v>
      </c>
      <c r="N13" s="24">
        <f t="shared" si="10"/>
        <v>7.3569999999999997E-2</v>
      </c>
      <c r="O13" s="24">
        <f t="shared" si="10"/>
        <v>8.48E-2</v>
      </c>
      <c r="P13" s="24">
        <f t="shared" si="10"/>
        <v>8.4699999999999998E-2</v>
      </c>
      <c r="Q13" s="24">
        <f t="shared" si="10"/>
        <v>8.4600000000000009E-2</v>
      </c>
      <c r="R13" s="24">
        <f t="shared" si="10"/>
        <v>8.4600000000000009E-2</v>
      </c>
      <c r="S13" s="24">
        <f t="shared" si="10"/>
        <v>8.4499999999999992E-2</v>
      </c>
      <c r="T13" s="24">
        <f t="shared" si="10"/>
        <v>8.4400000000000003E-2</v>
      </c>
      <c r="U13" s="24">
        <f t="shared" si="10"/>
        <v>8.43E-2</v>
      </c>
      <c r="V13" s="24">
        <f t="shared" si="10"/>
        <v>8.4100000000000008E-2</v>
      </c>
      <c r="W13" s="24">
        <f t="shared" si="10"/>
        <v>8.4000000000000005E-2</v>
      </c>
      <c r="X13" s="24">
        <f t="shared" si="10"/>
        <v>8.3799999999999999E-2</v>
      </c>
      <c r="Y13" s="24">
        <f t="shared" si="10"/>
        <v>8.3600000000000008E-2</v>
      </c>
      <c r="Z13" s="24">
        <f t="shared" si="10"/>
        <v>8.3400000000000002E-2</v>
      </c>
      <c r="AA13" s="24">
        <f t="shared" si="10"/>
        <v>8.3199999999999996E-2</v>
      </c>
      <c r="AB13" s="24">
        <f t="shared" si="10"/>
        <v>8.3100000000000007E-2</v>
      </c>
      <c r="AC13" s="24">
        <f t="shared" si="10"/>
        <v>8.2900000000000001E-2</v>
      </c>
      <c r="AD13" s="24">
        <f t="shared" si="10"/>
        <v>8.2699999999999996E-2</v>
      </c>
    </row>
    <row r="14" spans="1:30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5.6" x14ac:dyDescent="0.3">
      <c r="A16" s="6" t="s">
        <v>32</v>
      </c>
      <c r="B16" s="11">
        <v>380.78800000000001</v>
      </c>
      <c r="C16" s="11">
        <f t="shared" ref="C16:L16" si="11">B16*1.01*(1+C5)</f>
        <v>404.59486576000006</v>
      </c>
      <c r="D16" s="11">
        <f t="shared" si="11"/>
        <v>425.80372862313925</v>
      </c>
      <c r="E16" s="11">
        <f t="shared" si="11"/>
        <v>447.9093291946096</v>
      </c>
      <c r="F16" s="11">
        <f t="shared" si="11"/>
        <v>470.93634780850442</v>
      </c>
      <c r="G16" s="11">
        <f t="shared" si="11"/>
        <v>494.62397516692442</v>
      </c>
      <c r="H16" s="11">
        <f t="shared" si="11"/>
        <v>518.95353925743507</v>
      </c>
      <c r="I16" s="11">
        <f t="shared" si="11"/>
        <v>544.00809717924483</v>
      </c>
      <c r="J16" s="11">
        <f t="shared" si="11"/>
        <v>569.88765037825578</v>
      </c>
      <c r="K16" s="11">
        <f t="shared" si="11"/>
        <v>596.71055241860915</v>
      </c>
      <c r="L16" s="11">
        <f t="shared" si="11"/>
        <v>624.55485692611865</v>
      </c>
      <c r="M16" s="11">
        <f t="shared" ref="M16:AD16" si="12">L16*1.0116*(1+M5)</f>
        <v>654.60766219338097</v>
      </c>
      <c r="N16" s="11">
        <f t="shared" si="12"/>
        <v>685.97413096241041</v>
      </c>
      <c r="O16" s="11">
        <f t="shared" si="12"/>
        <v>718.77417610713485</v>
      </c>
      <c r="P16" s="11">
        <f t="shared" si="12"/>
        <v>753.06985339881192</v>
      </c>
      <c r="Q16" s="11">
        <f t="shared" si="12"/>
        <v>788.92573820589553</v>
      </c>
      <c r="R16" s="11">
        <f t="shared" si="12"/>
        <v>826.4888278220634</v>
      </c>
      <c r="S16" s="11">
        <f t="shared" si="12"/>
        <v>865.75679971177976</v>
      </c>
      <c r="T16" s="11">
        <f t="shared" si="12"/>
        <v>906.80288367046717</v>
      </c>
      <c r="U16" s="11">
        <f t="shared" si="12"/>
        <v>949.70325655941735</v>
      </c>
      <c r="V16" s="11">
        <f t="shared" si="12"/>
        <v>994.44107981868285</v>
      </c>
      <c r="W16" s="11">
        <f t="shared" si="12"/>
        <v>1041.18577721664</v>
      </c>
      <c r="X16" s="11">
        <f t="shared" si="12"/>
        <v>1089.9171031540388</v>
      </c>
      <c r="Y16" s="11">
        <f t="shared" si="12"/>
        <v>1140.7087224482773</v>
      </c>
      <c r="Z16" s="11">
        <f t="shared" si="12"/>
        <v>1193.6365120895039</v>
      </c>
      <c r="AA16" s="11">
        <f t="shared" si="12"/>
        <v>1248.7786038202794</v>
      </c>
      <c r="AB16" s="11">
        <f t="shared" si="12"/>
        <v>1306.3417528793934</v>
      </c>
      <c r="AC16" s="11">
        <f t="shared" si="12"/>
        <v>1366.2940084663082</v>
      </c>
      <c r="AD16" s="11">
        <f t="shared" si="12"/>
        <v>1428.7212387036218</v>
      </c>
    </row>
    <row r="17" spans="1:30" ht="15.6" x14ac:dyDescent="0.3">
      <c r="A17" s="6" t="s">
        <v>33</v>
      </c>
      <c r="B17" s="11">
        <v>224</v>
      </c>
      <c r="C17" s="11">
        <f t="shared" ref="C17:L17" si="13">C11*(0.083)+(B17*0.0109)</f>
        <v>237.99144999999999</v>
      </c>
      <c r="D17" s="11">
        <f t="shared" si="13"/>
        <v>249.92144930500001</v>
      </c>
      <c r="E17" s="11">
        <f t="shared" si="13"/>
        <v>265.01479051867454</v>
      </c>
      <c r="F17" s="11">
        <f t="shared" si="13"/>
        <v>281.17903738789977</v>
      </c>
      <c r="G17" s="11">
        <f t="shared" si="13"/>
        <v>297.46824045908954</v>
      </c>
      <c r="H17" s="11">
        <f t="shared" si="13"/>
        <v>314.07350187606266</v>
      </c>
      <c r="I17" s="11">
        <f t="shared" si="13"/>
        <v>330.6974643126203</v>
      </c>
      <c r="J17" s="11">
        <f t="shared" si="13"/>
        <v>347.96237159920008</v>
      </c>
      <c r="K17" s="11">
        <f t="shared" si="13"/>
        <v>365.95385575823843</v>
      </c>
      <c r="L17" s="11">
        <f t="shared" si="13"/>
        <v>384.72882561664238</v>
      </c>
      <c r="M17" s="11">
        <f t="shared" ref="M17:AD17" si="14">M11*(0.083)+(L17*0.0116)</f>
        <v>408.97237670783431</v>
      </c>
      <c r="N17" s="11">
        <f t="shared" si="14"/>
        <v>439.01336745836028</v>
      </c>
      <c r="O17" s="11">
        <f t="shared" si="14"/>
        <v>476.18787856401531</v>
      </c>
      <c r="P17" s="11">
        <f t="shared" si="14"/>
        <v>516.52087679341787</v>
      </c>
      <c r="Q17" s="11">
        <f t="shared" si="14"/>
        <v>560.21909401309449</v>
      </c>
      <c r="R17" s="11">
        <f t="shared" si="14"/>
        <v>607.61363575870064</v>
      </c>
      <c r="S17" s="11">
        <f t="shared" si="14"/>
        <v>658.95763790860815</v>
      </c>
      <c r="T17" s="11">
        <f t="shared" si="14"/>
        <v>714.57437491908036</v>
      </c>
      <c r="U17" s="11">
        <f t="shared" si="14"/>
        <v>774.81376737912228</v>
      </c>
      <c r="V17" s="11">
        <f t="shared" si="14"/>
        <v>839.97727199104702</v>
      </c>
      <c r="W17" s="11">
        <f t="shared" si="14"/>
        <v>910.53628095685906</v>
      </c>
      <c r="X17" s="11">
        <f t="shared" si="14"/>
        <v>986.84118069849035</v>
      </c>
      <c r="Y17" s="11">
        <f t="shared" si="14"/>
        <v>1069.3432385780663</v>
      </c>
      <c r="Z17" s="11">
        <f t="shared" si="14"/>
        <v>1158.5287789150252</v>
      </c>
      <c r="AA17" s="11">
        <f t="shared" si="14"/>
        <v>1254.9208810422474</v>
      </c>
      <c r="AB17" s="11">
        <f t="shared" si="14"/>
        <v>1359.206179239811</v>
      </c>
      <c r="AC17" s="11">
        <f t="shared" si="14"/>
        <v>1471.8872988418375</v>
      </c>
      <c r="AD17" s="11">
        <f t="shared" si="14"/>
        <v>1593.6155657715728</v>
      </c>
    </row>
    <row r="18" spans="1:30" ht="15.6" x14ac:dyDescent="0.3">
      <c r="A18" s="6" t="s">
        <v>34</v>
      </c>
      <c r="B18" s="11">
        <v>124.276</v>
      </c>
      <c r="C18" s="11">
        <v>130.46700000000001</v>
      </c>
      <c r="D18" s="11">
        <f t="shared" ref="D18:AD18" si="15">D11*0.0547</f>
        <v>162.99765825</v>
      </c>
      <c r="E18" s="11">
        <f t="shared" si="15"/>
        <v>172.85901657412501</v>
      </c>
      <c r="F18" s="11">
        <f t="shared" si="15"/>
        <v>183.4034165851466</v>
      </c>
      <c r="G18" s="11">
        <f t="shared" si="15"/>
        <v>194.02247440542661</v>
      </c>
      <c r="H18" s="11">
        <f t="shared" si="15"/>
        <v>204.84892847724944</v>
      </c>
      <c r="I18" s="11">
        <f t="shared" si="15"/>
        <v>215.68543679369594</v>
      </c>
      <c r="J18" s="11">
        <f t="shared" si="15"/>
        <v>226.94421659432689</v>
      </c>
      <c r="K18" s="11">
        <f t="shared" si="15"/>
        <v>238.6772325922536</v>
      </c>
      <c r="L18" s="11">
        <f t="shared" si="15"/>
        <v>250.92137462423619</v>
      </c>
      <c r="M18" s="11">
        <f t="shared" si="15"/>
        <v>266.58639604202727</v>
      </c>
      <c r="N18" s="11">
        <f t="shared" si="15"/>
        <v>286.19915719883915</v>
      </c>
      <c r="O18" s="11">
        <f t="shared" si="15"/>
        <v>310.46884572930071</v>
      </c>
      <c r="P18" s="11">
        <f t="shared" si="15"/>
        <v>336.76555696257248</v>
      </c>
      <c r="Q18" s="11">
        <f t="shared" si="15"/>
        <v>365.25592308160611</v>
      </c>
      <c r="R18" s="11">
        <f t="shared" si="15"/>
        <v>396.15657417430998</v>
      </c>
      <c r="S18" s="11">
        <f t="shared" si="15"/>
        <v>429.63180469203922</v>
      </c>
      <c r="T18" s="11">
        <f t="shared" si="15"/>
        <v>465.8927290080473</v>
      </c>
      <c r="U18" s="11">
        <f t="shared" si="15"/>
        <v>505.16748606342566</v>
      </c>
      <c r="V18" s="11">
        <f t="shared" si="15"/>
        <v>547.65207164135984</v>
      </c>
      <c r="W18" s="11">
        <f t="shared" si="15"/>
        <v>593.65484565923407</v>
      </c>
      <c r="X18" s="11">
        <f t="shared" si="15"/>
        <v>643.40312172547794</v>
      </c>
      <c r="Y18" s="11">
        <f t="shared" si="15"/>
        <v>697.19162270172797</v>
      </c>
      <c r="Z18" s="11">
        <f t="shared" si="15"/>
        <v>755.33740403505203</v>
      </c>
      <c r="AA18" s="11">
        <f t="shared" si="15"/>
        <v>818.18147605076831</v>
      </c>
      <c r="AB18" s="11">
        <f t="shared" si="15"/>
        <v>886.17235671058711</v>
      </c>
      <c r="AC18" s="11">
        <f t="shared" si="15"/>
        <v>959.63604508189474</v>
      </c>
      <c r="AD18" s="11">
        <f t="shared" si="15"/>
        <v>1038.9979460101674</v>
      </c>
    </row>
    <row r="19" spans="1:30" ht="15.6" x14ac:dyDescent="0.3">
      <c r="A19" s="6" t="s">
        <v>35</v>
      </c>
      <c r="B19" s="11">
        <f>168-B31</f>
        <v>61</v>
      </c>
      <c r="C19" s="34">
        <f>B19*(1+C13)</f>
        <v>64.35499999999999</v>
      </c>
      <c r="D19" s="34">
        <f t="shared" ref="D19:AD19" si="16">C19*(1+D13)</f>
        <v>67.572749999999999</v>
      </c>
      <c r="E19" s="34">
        <f t="shared" si="16"/>
        <v>71.660901374999995</v>
      </c>
      <c r="F19" s="34">
        <f t="shared" si="16"/>
        <v>76.03221635887499</v>
      </c>
      <c r="G19" s="34">
        <f t="shared" si="16"/>
        <v>80.434481686053857</v>
      </c>
      <c r="H19" s="34">
        <f t="shared" si="16"/>
        <v>84.922725764135663</v>
      </c>
      <c r="I19" s="34">
        <f t="shared" si="16"/>
        <v>89.415137957058434</v>
      </c>
      <c r="J19" s="34">
        <f t="shared" si="16"/>
        <v>94.082608158416889</v>
      </c>
      <c r="K19" s="34">
        <f t="shared" si="16"/>
        <v>98.946679000207055</v>
      </c>
      <c r="L19" s="34">
        <f t="shared" si="16"/>
        <v>104.02264363291766</v>
      </c>
      <c r="M19" s="34">
        <f t="shared" si="16"/>
        <v>110.51677727492071</v>
      </c>
      <c r="N19" s="34">
        <f t="shared" si="16"/>
        <v>118.64749657903663</v>
      </c>
      <c r="O19" s="34">
        <f t="shared" si="16"/>
        <v>128.70880428893892</v>
      </c>
      <c r="P19" s="34">
        <f t="shared" si="16"/>
        <v>139.61044001221205</v>
      </c>
      <c r="Q19" s="34">
        <f t="shared" si="16"/>
        <v>151.42148323724518</v>
      </c>
      <c r="R19" s="34">
        <f t="shared" si="16"/>
        <v>164.23174071911612</v>
      </c>
      <c r="S19" s="34">
        <f t="shared" si="16"/>
        <v>178.10932280988143</v>
      </c>
      <c r="T19" s="34">
        <f t="shared" si="16"/>
        <v>193.14174965503543</v>
      </c>
      <c r="U19" s="34">
        <f t="shared" si="16"/>
        <v>209.42359915095491</v>
      </c>
      <c r="V19" s="34">
        <f t="shared" si="16"/>
        <v>227.03612383955024</v>
      </c>
      <c r="W19" s="34">
        <f t="shared" si="16"/>
        <v>246.10715824207247</v>
      </c>
      <c r="X19" s="34">
        <f t="shared" si="16"/>
        <v>266.73093810275816</v>
      </c>
      <c r="Y19" s="34">
        <f t="shared" si="16"/>
        <v>289.02964452814876</v>
      </c>
      <c r="Z19" s="34">
        <f t="shared" si="16"/>
        <v>313.13471688179635</v>
      </c>
      <c r="AA19" s="34">
        <f t="shared" si="16"/>
        <v>339.18752532636177</v>
      </c>
      <c r="AB19" s="34">
        <f t="shared" si="16"/>
        <v>367.3740086809824</v>
      </c>
      <c r="AC19" s="34">
        <f t="shared" si="16"/>
        <v>397.8293140006358</v>
      </c>
      <c r="AD19" s="34">
        <f t="shared" si="16"/>
        <v>430.72979826848837</v>
      </c>
    </row>
    <row r="20" spans="1:30" ht="15.6" x14ac:dyDescent="0.3">
      <c r="A20" s="6" t="s">
        <v>36</v>
      </c>
      <c r="B20" s="11">
        <v>128</v>
      </c>
      <c r="C20" s="11">
        <v>79.760000000000005</v>
      </c>
      <c r="D20" s="11">
        <f t="shared" ref="D20:AD20" si="17">((D11*0.011)/27.8)*100</f>
        <v>117.90763489208631</v>
      </c>
      <c r="E20" s="11">
        <f t="shared" si="17"/>
        <v>125.04104680305754</v>
      </c>
      <c r="F20" s="11">
        <f t="shared" si="17"/>
        <v>132.66855065804404</v>
      </c>
      <c r="G20" s="11">
        <f t="shared" si="17"/>
        <v>140.3500597411448</v>
      </c>
      <c r="H20" s="11">
        <f t="shared" si="17"/>
        <v>148.18159307470071</v>
      </c>
      <c r="I20" s="11">
        <f t="shared" si="17"/>
        <v>156.02039934835236</v>
      </c>
      <c r="J20" s="11">
        <f t="shared" si="17"/>
        <v>164.16466419433638</v>
      </c>
      <c r="K20" s="11">
        <f t="shared" si="17"/>
        <v>172.65197733318359</v>
      </c>
      <c r="L20" s="11">
        <f t="shared" si="17"/>
        <v>181.50902377037588</v>
      </c>
      <c r="M20" s="11">
        <f t="shared" si="17"/>
        <v>192.84063212436044</v>
      </c>
      <c r="N20" s="11">
        <f t="shared" si="17"/>
        <v>207.02791742974961</v>
      </c>
      <c r="O20" s="11">
        <f t="shared" si="17"/>
        <v>224.58388482779239</v>
      </c>
      <c r="P20" s="11">
        <f t="shared" si="17"/>
        <v>243.60613987270642</v>
      </c>
      <c r="Q20" s="11">
        <f t="shared" si="17"/>
        <v>264.2152193059373</v>
      </c>
      <c r="R20" s="11">
        <f t="shared" si="17"/>
        <v>286.56782685921962</v>
      </c>
      <c r="S20" s="11">
        <f t="shared" si="17"/>
        <v>310.78280822882374</v>
      </c>
      <c r="T20" s="11">
        <f t="shared" si="17"/>
        <v>337.01287724333639</v>
      </c>
      <c r="U20" s="11">
        <f t="shared" si="17"/>
        <v>365.42306279494971</v>
      </c>
      <c r="V20" s="11">
        <f t="shared" si="17"/>
        <v>396.15514237600496</v>
      </c>
      <c r="W20" s="11">
        <f t="shared" si="17"/>
        <v>429.43217433558942</v>
      </c>
      <c r="X20" s="11">
        <f t="shared" si="17"/>
        <v>465.41859054491192</v>
      </c>
      <c r="Y20" s="11">
        <f t="shared" si="17"/>
        <v>504.32758471446658</v>
      </c>
      <c r="Z20" s="11">
        <f t="shared" si="17"/>
        <v>546.38850527965303</v>
      </c>
      <c r="AA20" s="11">
        <f t="shared" si="17"/>
        <v>591.84802891892002</v>
      </c>
      <c r="AB20" s="11">
        <f t="shared" si="17"/>
        <v>641.03060012208232</v>
      </c>
      <c r="AC20" s="11">
        <f t="shared" si="17"/>
        <v>694.17203687220297</v>
      </c>
      <c r="AD20" s="11">
        <f t="shared" si="17"/>
        <v>751.58006432153422</v>
      </c>
    </row>
    <row r="21" spans="1:30" ht="15.6" x14ac:dyDescent="0.3">
      <c r="A21" s="6" t="s">
        <v>37</v>
      </c>
      <c r="B21" s="10">
        <v>2.2700000000000001E-2</v>
      </c>
      <c r="C21" s="49">
        <v>2.3E-2</v>
      </c>
      <c r="D21" s="49">
        <v>2.3285714279999998E-2</v>
      </c>
      <c r="E21" s="49">
        <v>2.3571428559999996E-2</v>
      </c>
      <c r="F21" s="49">
        <v>2.3857142839999994E-2</v>
      </c>
      <c r="G21" s="49">
        <v>2.4142857119999993E-2</v>
      </c>
      <c r="H21" s="49">
        <v>2.4428571399999991E-2</v>
      </c>
      <c r="I21" s="49">
        <v>2.4714285679999989E-2</v>
      </c>
      <c r="J21" s="49">
        <v>2.4999999959999988E-2</v>
      </c>
      <c r="K21" s="49">
        <v>2.5000000000000001E-2</v>
      </c>
      <c r="L21" s="49">
        <v>2.5000000000000001E-2</v>
      </c>
      <c r="M21" s="49">
        <v>2.5000000000000001E-2</v>
      </c>
      <c r="N21" s="49">
        <v>2.5000000000000001E-2</v>
      </c>
      <c r="O21" s="49">
        <v>2.5000000000000001E-2</v>
      </c>
      <c r="P21" s="49">
        <v>2.5000000000000001E-2</v>
      </c>
      <c r="Q21" s="49">
        <v>2.5000000000000001E-2</v>
      </c>
      <c r="R21" s="49">
        <v>2.5000000000000001E-2</v>
      </c>
      <c r="S21" s="49">
        <v>2.5000000000000001E-2</v>
      </c>
      <c r="T21" s="49">
        <v>2.5000000000000001E-2</v>
      </c>
      <c r="U21" s="49">
        <v>2.5000000000000001E-2</v>
      </c>
      <c r="V21" s="49">
        <v>2.5000000000000001E-2</v>
      </c>
      <c r="W21" s="49">
        <v>2.5000000000000001E-2</v>
      </c>
      <c r="X21" s="49">
        <v>2.5000000000000001E-2</v>
      </c>
      <c r="Y21" s="49">
        <v>2.5000000000000001E-2</v>
      </c>
      <c r="Z21" s="49">
        <v>2.5000000000000001E-2</v>
      </c>
      <c r="AA21" s="49">
        <v>2.5000000000000001E-2</v>
      </c>
      <c r="AB21" s="49">
        <v>2.5000000000000001E-2</v>
      </c>
      <c r="AC21" s="49">
        <v>2.5000000000000001E-2</v>
      </c>
      <c r="AD21" s="49">
        <v>2.5000000000000001E-2</v>
      </c>
    </row>
    <row r="22" spans="1:30" ht="15.6" x14ac:dyDescent="0.3">
      <c r="A22" s="6" t="s">
        <v>38</v>
      </c>
      <c r="B22" s="11">
        <v>53</v>
      </c>
      <c r="C22" s="11">
        <f t="shared" ref="C22:AD22" si="18">C11*C21</f>
        <v>65.272849999999991</v>
      </c>
      <c r="D22" s="11">
        <f t="shared" si="18"/>
        <v>69.387877482972286</v>
      </c>
      <c r="E22" s="11">
        <f t="shared" si="18"/>
        <v>74.488737845134239</v>
      </c>
      <c r="F22" s="11">
        <f t="shared" si="18"/>
        <v>79.990521148370505</v>
      </c>
      <c r="G22" s="11">
        <f t="shared" si="18"/>
        <v>85.635409097606399</v>
      </c>
      <c r="H22" s="11">
        <f t="shared" si="18"/>
        <v>91.483851472028874</v>
      </c>
      <c r="I22" s="11">
        <f t="shared" si="18"/>
        <v>97.449936049999678</v>
      </c>
      <c r="J22" s="11">
        <f t="shared" si="18"/>
        <v>103.72221948410238</v>
      </c>
      <c r="K22" s="11">
        <f t="shared" si="18"/>
        <v>109.08465840596601</v>
      </c>
      <c r="L22" s="11">
        <f t="shared" si="18"/>
        <v>114.68070138219205</v>
      </c>
      <c r="M22" s="11">
        <f t="shared" si="18"/>
        <v>121.84021756948231</v>
      </c>
      <c r="N22" s="11">
        <f t="shared" si="18"/>
        <v>130.80400237606909</v>
      </c>
      <c r="O22" s="11">
        <f t="shared" si="18"/>
        <v>141.89618177755975</v>
      </c>
      <c r="P22" s="11">
        <f t="shared" si="18"/>
        <v>153.91478837411907</v>
      </c>
      <c r="Q22" s="11">
        <f t="shared" si="18"/>
        <v>166.93597947056955</v>
      </c>
      <c r="R22" s="11">
        <f t="shared" si="18"/>
        <v>181.05876333377972</v>
      </c>
      <c r="S22" s="11">
        <f t="shared" si="18"/>
        <v>196.35822883548411</v>
      </c>
      <c r="T22" s="11">
        <f t="shared" si="18"/>
        <v>212.93086334919894</v>
      </c>
      <c r="U22" s="11">
        <f t="shared" si="18"/>
        <v>230.88093512953643</v>
      </c>
      <c r="V22" s="11">
        <f t="shared" si="18"/>
        <v>250.29802177393046</v>
      </c>
      <c r="W22" s="11">
        <f t="shared" si="18"/>
        <v>271.32305560294066</v>
      </c>
      <c r="X22" s="11">
        <f t="shared" si="18"/>
        <v>294.05992766246709</v>
      </c>
      <c r="Y22" s="11">
        <f t="shared" si="18"/>
        <v>318.6433376150494</v>
      </c>
      <c r="Z22" s="11">
        <f t="shared" si="18"/>
        <v>345.2181919721445</v>
      </c>
      <c r="AA22" s="11">
        <f t="shared" si="18"/>
        <v>373.94034554422683</v>
      </c>
      <c r="AB22" s="11">
        <f t="shared" si="18"/>
        <v>405.01478825895208</v>
      </c>
      <c r="AC22" s="11">
        <f t="shared" si="18"/>
        <v>438.59051420561923</v>
      </c>
      <c r="AD22" s="11">
        <f t="shared" si="18"/>
        <v>474.86194973042393</v>
      </c>
    </row>
    <row r="23" spans="1:30" ht="15.6" x14ac:dyDescent="0.3">
      <c r="A23" s="6" t="s">
        <v>39</v>
      </c>
      <c r="B23" s="50">
        <v>107.81100000000001</v>
      </c>
      <c r="C23" s="11">
        <f>B23*(1+C13)</f>
        <v>113.740605</v>
      </c>
      <c r="D23" s="11">
        <f t="shared" ref="D23:AD23" si="19">C23*(1+D13)</f>
        <v>119.42763525000001</v>
      </c>
      <c r="E23" s="11">
        <f t="shared" si="19"/>
        <v>126.653007182625</v>
      </c>
      <c r="F23" s="11">
        <f t="shared" si="19"/>
        <v>134.37884062076512</v>
      </c>
      <c r="G23" s="11">
        <f t="shared" si="19"/>
        <v>142.15937549270743</v>
      </c>
      <c r="H23" s="11">
        <f t="shared" si="19"/>
        <v>150.09186864520052</v>
      </c>
      <c r="I23" s="11">
        <f t="shared" si="19"/>
        <v>158.03172849653163</v>
      </c>
      <c r="J23" s="11">
        <f t="shared" si="19"/>
        <v>166.28098472405057</v>
      </c>
      <c r="K23" s="11">
        <f t="shared" si="19"/>
        <v>174.877711634284</v>
      </c>
      <c r="L23" s="11">
        <f t="shared" si="19"/>
        <v>183.84893824112274</v>
      </c>
      <c r="M23" s="11">
        <f t="shared" si="19"/>
        <v>195.32662745551602</v>
      </c>
      <c r="N23" s="11">
        <f t="shared" si="19"/>
        <v>209.6968074374183</v>
      </c>
      <c r="O23" s="11">
        <f t="shared" si="19"/>
        <v>227.47909670811137</v>
      </c>
      <c r="P23" s="11">
        <f t="shared" si="19"/>
        <v>246.7465761992884</v>
      </c>
      <c r="Q23" s="11">
        <f t="shared" si="19"/>
        <v>267.62133654574819</v>
      </c>
      <c r="R23" s="11">
        <f t="shared" si="19"/>
        <v>290.26210161751851</v>
      </c>
      <c r="S23" s="11">
        <f t="shared" si="19"/>
        <v>314.78924920419882</v>
      </c>
      <c r="T23" s="11">
        <f t="shared" si="19"/>
        <v>341.35746183703321</v>
      </c>
      <c r="U23" s="11">
        <f t="shared" si="19"/>
        <v>370.13389586989513</v>
      </c>
      <c r="V23" s="11">
        <f t="shared" si="19"/>
        <v>401.2621565125533</v>
      </c>
      <c r="W23" s="11">
        <f t="shared" si="19"/>
        <v>434.96817765960782</v>
      </c>
      <c r="X23" s="11">
        <f t="shared" si="19"/>
        <v>471.41851094748301</v>
      </c>
      <c r="Y23" s="11">
        <f t="shared" si="19"/>
        <v>510.82909846269263</v>
      </c>
      <c r="Z23" s="11">
        <f t="shared" si="19"/>
        <v>553.43224527448115</v>
      </c>
      <c r="AA23" s="11">
        <f t="shared" si="19"/>
        <v>599.4778080813179</v>
      </c>
      <c r="AB23" s="11">
        <f t="shared" si="19"/>
        <v>649.29441393287539</v>
      </c>
      <c r="AC23" s="11">
        <f t="shared" si="19"/>
        <v>703.12092084791072</v>
      </c>
      <c r="AD23" s="11">
        <f t="shared" si="19"/>
        <v>761.2690210020329</v>
      </c>
    </row>
    <row r="24" spans="1:30" ht="15.6" x14ac:dyDescent="0.3">
      <c r="A24" s="7" t="s">
        <v>40</v>
      </c>
      <c r="B24" s="16">
        <f t="shared" ref="B24:AD24" si="20">SUM(B16:B23) -B21</f>
        <v>1078.875</v>
      </c>
      <c r="C24" s="16">
        <f t="shared" si="20"/>
        <v>1096.1817707600001</v>
      </c>
      <c r="D24" s="16">
        <f t="shared" si="20"/>
        <v>1213.0187338031978</v>
      </c>
      <c r="E24" s="16">
        <f t="shared" si="20"/>
        <v>1283.6268294932261</v>
      </c>
      <c r="F24" s="16">
        <f t="shared" si="20"/>
        <v>1358.5889305676055</v>
      </c>
      <c r="G24" s="16">
        <f t="shared" si="20"/>
        <v>1434.694016048953</v>
      </c>
      <c r="H24" s="16">
        <f t="shared" si="20"/>
        <v>1512.556008566813</v>
      </c>
      <c r="I24" s="16">
        <f t="shared" si="20"/>
        <v>1591.3082001375035</v>
      </c>
      <c r="J24" s="16">
        <f t="shared" si="20"/>
        <v>1673.0447151326889</v>
      </c>
      <c r="K24" s="16">
        <f t="shared" si="20"/>
        <v>1756.9026671427416</v>
      </c>
      <c r="L24" s="16">
        <f t="shared" si="20"/>
        <v>1844.2663641936056</v>
      </c>
      <c r="M24" s="16">
        <f t="shared" si="20"/>
        <v>1950.6906893675218</v>
      </c>
      <c r="N24" s="16">
        <f t="shared" si="20"/>
        <v>2077.3628794418833</v>
      </c>
      <c r="O24" s="16">
        <f t="shared" si="20"/>
        <v>2228.0988680028531</v>
      </c>
      <c r="P24" s="16">
        <f t="shared" si="20"/>
        <v>2390.234231613128</v>
      </c>
      <c r="Q24" s="16">
        <f t="shared" si="20"/>
        <v>2564.5947738600967</v>
      </c>
      <c r="R24" s="16">
        <f t="shared" si="20"/>
        <v>2752.3794702847076</v>
      </c>
      <c r="S24" s="16">
        <f t="shared" si="20"/>
        <v>2954.3858513908153</v>
      </c>
      <c r="T24" s="16">
        <f t="shared" si="20"/>
        <v>3171.7129396821988</v>
      </c>
      <c r="U24" s="16">
        <f t="shared" si="20"/>
        <v>3405.5460029473015</v>
      </c>
      <c r="V24" s="16">
        <f t="shared" si="20"/>
        <v>3656.8218679531287</v>
      </c>
      <c r="W24" s="16">
        <f t="shared" si="20"/>
        <v>3927.2074696729437</v>
      </c>
      <c r="X24" s="16">
        <f t="shared" si="20"/>
        <v>4217.7893728356275</v>
      </c>
      <c r="Y24" s="16">
        <f t="shared" si="20"/>
        <v>4530.0732490484297</v>
      </c>
      <c r="Z24" s="16">
        <f t="shared" si="20"/>
        <v>4865.6763544476571</v>
      </c>
      <c r="AA24" s="16">
        <f t="shared" si="20"/>
        <v>5226.3346687841213</v>
      </c>
      <c r="AB24" s="16">
        <f t="shared" si="20"/>
        <v>5614.4340998246835</v>
      </c>
      <c r="AC24" s="16">
        <f t="shared" si="20"/>
        <v>6031.5301383164078</v>
      </c>
      <c r="AD24" s="16">
        <f t="shared" si="20"/>
        <v>6479.7755838078419</v>
      </c>
    </row>
    <row r="25" spans="1:30" ht="15.6" x14ac:dyDescent="0.3">
      <c r="A25" s="7"/>
      <c r="B25" s="17"/>
      <c r="C25" s="11"/>
      <c r="D25" s="18"/>
      <c r="E25" s="16"/>
      <c r="F25" s="16"/>
      <c r="G25" s="16"/>
      <c r="H25" s="16"/>
      <c r="I25" s="16"/>
      <c r="J25" s="16"/>
      <c r="K25" s="16"/>
      <c r="L25" s="16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</row>
    <row r="26" spans="1:30" ht="15.6" x14ac:dyDescent="0.3">
      <c r="A26" s="19" t="s">
        <v>41</v>
      </c>
      <c r="B26" s="23">
        <v>1027</v>
      </c>
      <c r="C26" s="11">
        <f>B26*(1+C13)</f>
        <v>1083.4849999999999</v>
      </c>
      <c r="D26" s="11">
        <f t="shared" ref="D26:L26" si="21">C26*(1+D13)</f>
        <v>1137.6592499999999</v>
      </c>
      <c r="E26" s="11">
        <f t="shared" si="21"/>
        <v>1206.4876346249998</v>
      </c>
      <c r="F26" s="11">
        <f t="shared" si="21"/>
        <v>1280.0833803371247</v>
      </c>
      <c r="G26" s="11">
        <f t="shared" si="21"/>
        <v>1354.2002080586444</v>
      </c>
      <c r="H26" s="11">
        <f t="shared" si="21"/>
        <v>1429.7645796683169</v>
      </c>
      <c r="I26" s="11">
        <f t="shared" si="21"/>
        <v>1505.3991259327706</v>
      </c>
      <c r="J26" s="11">
        <f t="shared" si="21"/>
        <v>1583.9809603064614</v>
      </c>
      <c r="K26" s="11">
        <f t="shared" si="21"/>
        <v>1665.8727759543056</v>
      </c>
      <c r="L26" s="11">
        <f t="shared" si="21"/>
        <v>1751.3320493607612</v>
      </c>
      <c r="M26" s="11">
        <f>(L26*(1+M13)*(1-(0.0116-(M28/M29))))+0.119</f>
        <v>1847.415817813282</v>
      </c>
      <c r="N26" s="11">
        <f t="shared" ref="N26:AD26" si="22">(M26*(1+N13)*(1-(0.0116-(N28/N29))))+0.119</f>
        <v>1969.1583757561618</v>
      </c>
      <c r="O26" s="11">
        <f t="shared" si="22"/>
        <v>2120.8290218486418</v>
      </c>
      <c r="P26" s="11">
        <f t="shared" si="22"/>
        <v>2283.9182454858956</v>
      </c>
      <c r="Q26" s="11">
        <f t="shared" si="22"/>
        <v>2459.2661432338368</v>
      </c>
      <c r="R26" s="11">
        <f t="shared" si="22"/>
        <v>2648.0172827985634</v>
      </c>
      <c r="S26" s="11">
        <f t="shared" si="22"/>
        <v>2850.9299247782583</v>
      </c>
      <c r="T26" s="11">
        <f t="shared" si="22"/>
        <v>3069.0423354974218</v>
      </c>
      <c r="U26" s="11">
        <f t="shared" si="22"/>
        <v>3303.4670822995167</v>
      </c>
      <c r="V26" s="11">
        <f t="shared" si="22"/>
        <v>3555.0682993700316</v>
      </c>
      <c r="W26" s="11">
        <f t="shared" si="22"/>
        <v>3825.401048224589</v>
      </c>
      <c r="X26" s="11">
        <f t="shared" si="22"/>
        <v>4115.4480399097929</v>
      </c>
      <c r="Y26" s="11">
        <f t="shared" si="22"/>
        <v>4426.5820585127094</v>
      </c>
      <c r="Z26" s="11">
        <f t="shared" si="22"/>
        <v>4760.2665999099681</v>
      </c>
      <c r="AA26" s="11">
        <f t="shared" si="22"/>
        <v>5118.0615117082061</v>
      </c>
      <c r="AB26" s="11">
        <f t="shared" si="22"/>
        <v>5502.1369471073513</v>
      </c>
      <c r="AC26" s="11">
        <f t="shared" si="22"/>
        <v>5913.8317700858352</v>
      </c>
      <c r="AD26" s="11">
        <f t="shared" si="22"/>
        <v>6355.0402542710108</v>
      </c>
    </row>
    <row r="27" spans="1:30" ht="15.6" x14ac:dyDescent="0.3">
      <c r="A27" s="7" t="s">
        <v>42</v>
      </c>
      <c r="B27" s="17">
        <f t="shared" ref="B27:AD27" si="23">B26</f>
        <v>1027</v>
      </c>
      <c r="C27" s="17">
        <f t="shared" si="23"/>
        <v>1083.4849999999999</v>
      </c>
      <c r="D27" s="11">
        <f t="shared" si="23"/>
        <v>1137.6592499999999</v>
      </c>
      <c r="E27" s="11">
        <f t="shared" si="23"/>
        <v>1206.4876346249998</v>
      </c>
      <c r="F27" s="11">
        <f t="shared" si="23"/>
        <v>1280.0833803371247</v>
      </c>
      <c r="G27" s="51">
        <f t="shared" si="23"/>
        <v>1354.2002080586444</v>
      </c>
      <c r="H27" s="11">
        <f t="shared" si="23"/>
        <v>1429.7645796683169</v>
      </c>
      <c r="I27" s="11">
        <f t="shared" si="23"/>
        <v>1505.3991259327706</v>
      </c>
      <c r="J27" s="11">
        <f t="shared" si="23"/>
        <v>1583.9809603064614</v>
      </c>
      <c r="K27" s="11">
        <f t="shared" si="23"/>
        <v>1665.8727759543056</v>
      </c>
      <c r="L27" s="11">
        <f t="shared" si="23"/>
        <v>1751.3320493607612</v>
      </c>
      <c r="M27" s="11">
        <f t="shared" si="23"/>
        <v>1847.415817813282</v>
      </c>
      <c r="N27" s="11">
        <f t="shared" si="23"/>
        <v>1969.1583757561618</v>
      </c>
      <c r="O27" s="11">
        <f t="shared" si="23"/>
        <v>2120.8290218486418</v>
      </c>
      <c r="P27" s="11">
        <f t="shared" si="23"/>
        <v>2283.9182454858956</v>
      </c>
      <c r="Q27" s="11">
        <f t="shared" si="23"/>
        <v>2459.2661432338368</v>
      </c>
      <c r="R27" s="11">
        <f t="shared" si="23"/>
        <v>2648.0172827985634</v>
      </c>
      <c r="S27" s="11">
        <f t="shared" si="23"/>
        <v>2850.9299247782583</v>
      </c>
      <c r="T27" s="11">
        <f t="shared" si="23"/>
        <v>3069.0423354974218</v>
      </c>
      <c r="U27" s="11">
        <f t="shared" si="23"/>
        <v>3303.4670822995167</v>
      </c>
      <c r="V27" s="11">
        <f t="shared" si="23"/>
        <v>3555.0682993700316</v>
      </c>
      <c r="W27" s="11">
        <f t="shared" si="23"/>
        <v>3825.401048224589</v>
      </c>
      <c r="X27" s="11">
        <f t="shared" si="23"/>
        <v>4115.4480399097929</v>
      </c>
      <c r="Y27" s="11">
        <f t="shared" si="23"/>
        <v>4426.5820585127094</v>
      </c>
      <c r="Z27" s="11">
        <f t="shared" si="23"/>
        <v>4760.2665999099681</v>
      </c>
      <c r="AA27" s="11">
        <f t="shared" si="23"/>
        <v>5118.0615117082061</v>
      </c>
      <c r="AB27" s="11">
        <f t="shared" si="23"/>
        <v>5502.1369471073513</v>
      </c>
      <c r="AC27" s="11">
        <f t="shared" si="23"/>
        <v>5913.8317700858352</v>
      </c>
      <c r="AD27" s="11">
        <f t="shared" si="23"/>
        <v>6355.0402542710108</v>
      </c>
    </row>
    <row r="28" spans="1:30" ht="15.6" x14ac:dyDescent="0.3">
      <c r="A28" s="7" t="s">
        <v>81</v>
      </c>
      <c r="B28" s="53">
        <v>0.315</v>
      </c>
      <c r="C28" s="53">
        <v>0.315</v>
      </c>
      <c r="D28" s="53">
        <v>0.315</v>
      </c>
      <c r="E28" s="53">
        <v>0.315</v>
      </c>
      <c r="F28" s="53">
        <v>0.315</v>
      </c>
      <c r="G28" s="53">
        <v>0.315</v>
      </c>
      <c r="H28" s="53">
        <v>0.315</v>
      </c>
      <c r="I28" s="53">
        <v>0.315</v>
      </c>
      <c r="J28" s="53">
        <v>0.315</v>
      </c>
      <c r="K28" s="53">
        <v>0.315</v>
      </c>
      <c r="L28" s="53">
        <v>0.315</v>
      </c>
      <c r="M28" s="53">
        <v>0.315</v>
      </c>
      <c r="N28" s="53">
        <v>0.315</v>
      </c>
      <c r="O28" s="53">
        <v>0.315</v>
      </c>
      <c r="P28" s="53">
        <v>0.315</v>
      </c>
      <c r="Q28" s="53">
        <v>0.315</v>
      </c>
      <c r="R28" s="53">
        <v>0.315</v>
      </c>
      <c r="S28" s="53">
        <v>0.315</v>
      </c>
      <c r="T28" s="53">
        <v>0.315</v>
      </c>
      <c r="U28" s="53">
        <v>0.315</v>
      </c>
      <c r="V28" s="53">
        <v>0.315</v>
      </c>
      <c r="W28" s="53">
        <v>0.315</v>
      </c>
      <c r="X28" s="53">
        <v>0.315</v>
      </c>
      <c r="Y28" s="53">
        <v>0.315</v>
      </c>
      <c r="Z28" s="53">
        <v>0.315</v>
      </c>
      <c r="AA28" s="53">
        <v>0.315</v>
      </c>
      <c r="AB28" s="53">
        <v>0.315</v>
      </c>
      <c r="AC28" s="53">
        <v>0.315</v>
      </c>
      <c r="AD28" s="53">
        <v>0.315</v>
      </c>
    </row>
    <row r="29" spans="1:30" ht="15.6" x14ac:dyDescent="0.3">
      <c r="A29" s="7" t="s">
        <v>82</v>
      </c>
      <c r="B29" s="17">
        <v>67.900000000000006</v>
      </c>
      <c r="C29" s="17">
        <f t="shared" ref="C29:AD29" si="24">B29+B28</f>
        <v>68.215000000000003</v>
      </c>
      <c r="D29" s="17">
        <f t="shared" si="24"/>
        <v>68.53</v>
      </c>
      <c r="E29" s="17">
        <f t="shared" si="24"/>
        <v>68.844999999999999</v>
      </c>
      <c r="F29" s="17">
        <f t="shared" si="24"/>
        <v>69.16</v>
      </c>
      <c r="G29" s="17">
        <f t="shared" si="24"/>
        <v>69.474999999999994</v>
      </c>
      <c r="H29" s="17">
        <f t="shared" si="24"/>
        <v>69.789999999999992</v>
      </c>
      <c r="I29" s="17">
        <f t="shared" si="24"/>
        <v>70.10499999999999</v>
      </c>
      <c r="J29" s="17">
        <f t="shared" si="24"/>
        <v>70.419999999999987</v>
      </c>
      <c r="K29" s="17">
        <f t="shared" si="24"/>
        <v>70.734999999999985</v>
      </c>
      <c r="L29" s="17">
        <f t="shared" si="24"/>
        <v>71.049999999999983</v>
      </c>
      <c r="M29" s="17">
        <f t="shared" si="24"/>
        <v>71.364999999999981</v>
      </c>
      <c r="N29" s="17">
        <f t="shared" si="24"/>
        <v>71.679999999999978</v>
      </c>
      <c r="O29" s="17">
        <f t="shared" si="24"/>
        <v>71.994999999999976</v>
      </c>
      <c r="P29" s="17">
        <f t="shared" si="24"/>
        <v>72.309999999999974</v>
      </c>
      <c r="Q29" s="17">
        <f t="shared" si="24"/>
        <v>72.624999999999972</v>
      </c>
      <c r="R29" s="17">
        <f t="shared" si="24"/>
        <v>72.939999999999969</v>
      </c>
      <c r="S29" s="17">
        <f t="shared" si="24"/>
        <v>73.254999999999967</v>
      </c>
      <c r="T29" s="17">
        <f t="shared" si="24"/>
        <v>73.569999999999965</v>
      </c>
      <c r="U29" s="17">
        <f t="shared" si="24"/>
        <v>73.884999999999962</v>
      </c>
      <c r="V29" s="17">
        <f t="shared" si="24"/>
        <v>74.19999999999996</v>
      </c>
      <c r="W29" s="17">
        <f t="shared" si="24"/>
        <v>74.514999999999958</v>
      </c>
      <c r="X29" s="17">
        <f t="shared" si="24"/>
        <v>74.829999999999956</v>
      </c>
      <c r="Y29" s="17">
        <f t="shared" si="24"/>
        <v>75.144999999999953</v>
      </c>
      <c r="Z29" s="17">
        <f t="shared" si="24"/>
        <v>75.459999999999951</v>
      </c>
      <c r="AA29" s="17">
        <f t="shared" si="24"/>
        <v>75.774999999999949</v>
      </c>
      <c r="AB29" s="17">
        <f t="shared" si="24"/>
        <v>76.089999999999947</v>
      </c>
      <c r="AC29" s="17">
        <f t="shared" si="24"/>
        <v>76.404999999999944</v>
      </c>
      <c r="AD29" s="17">
        <f t="shared" si="24"/>
        <v>76.719999999999942</v>
      </c>
    </row>
    <row r="30" spans="1:30" ht="15.6" x14ac:dyDescent="0.3">
      <c r="A30" s="6" t="s">
        <v>43</v>
      </c>
      <c r="B30" s="23">
        <v>107</v>
      </c>
      <c r="C30" s="23">
        <f t="shared" ref="C30:AD30" si="25">(B46*C40)</f>
        <v>113.22</v>
      </c>
      <c r="D30" s="23">
        <f t="shared" si="25"/>
        <v>140.4309375</v>
      </c>
      <c r="E30" s="23">
        <f t="shared" si="25"/>
        <v>169.44790213098</v>
      </c>
      <c r="F30" s="23">
        <f t="shared" si="25"/>
        <v>184.01151371585507</v>
      </c>
      <c r="G30" s="23">
        <f t="shared" si="25"/>
        <v>188.93750183671318</v>
      </c>
      <c r="H30" s="23">
        <f t="shared" si="25"/>
        <v>196.73329849788769</v>
      </c>
      <c r="I30" s="23">
        <f t="shared" si="25"/>
        <v>200.7617243640118</v>
      </c>
      <c r="J30" s="23">
        <f t="shared" si="25"/>
        <v>212.696332770118</v>
      </c>
      <c r="K30" s="23">
        <f t="shared" si="25"/>
        <v>225.47989186100602</v>
      </c>
      <c r="L30" s="23">
        <f t="shared" si="25"/>
        <v>239.21565907917818</v>
      </c>
      <c r="M30" s="23">
        <f t="shared" si="25"/>
        <v>310.87537040125608</v>
      </c>
      <c r="N30" s="23">
        <f t="shared" si="25"/>
        <v>390.78419926419957</v>
      </c>
      <c r="O30" s="23">
        <f t="shared" si="25"/>
        <v>485.55490174664385</v>
      </c>
      <c r="P30" s="23">
        <f t="shared" si="25"/>
        <v>527.2466565589707</v>
      </c>
      <c r="Q30" s="23">
        <f t="shared" si="25"/>
        <v>576.77714303355674</v>
      </c>
      <c r="R30" s="23">
        <f t="shared" si="25"/>
        <v>630.37654260480952</v>
      </c>
      <c r="S30" s="23">
        <f t="shared" si="25"/>
        <v>687.2693545421788</v>
      </c>
      <c r="T30" s="23">
        <f t="shared" si="25"/>
        <v>748.4679668476042</v>
      </c>
      <c r="U30" s="23">
        <f t="shared" si="25"/>
        <v>814.23929766168817</v>
      </c>
      <c r="V30" s="23">
        <f t="shared" si="25"/>
        <v>883.88828565476012</v>
      </c>
      <c r="W30" s="23">
        <f t="shared" si="25"/>
        <v>959.80801922027683</v>
      </c>
      <c r="X30" s="23">
        <f t="shared" si="25"/>
        <v>1040.1195494167896</v>
      </c>
      <c r="Y30" s="23">
        <f t="shared" si="25"/>
        <v>1126.3881310972199</v>
      </c>
      <c r="Z30" s="23">
        <f t="shared" si="25"/>
        <v>1218.9746602369937</v>
      </c>
      <c r="AA30" s="23">
        <f t="shared" si="25"/>
        <v>1318.3774191727846</v>
      </c>
      <c r="AB30" s="23">
        <f t="shared" si="25"/>
        <v>1426.8491757963629</v>
      </c>
      <c r="AC30" s="23">
        <f t="shared" si="25"/>
        <v>1541.6844551960289</v>
      </c>
      <c r="AD30" s="23">
        <f t="shared" si="25"/>
        <v>1665.2524730775108</v>
      </c>
    </row>
    <row r="31" spans="1:30" ht="15.6" x14ac:dyDescent="0.3">
      <c r="A31" s="7" t="s">
        <v>44</v>
      </c>
      <c r="B31" s="23">
        <f t="shared" ref="B31:AD31" si="26">(B30)</f>
        <v>107</v>
      </c>
      <c r="C31" s="23">
        <f t="shared" si="26"/>
        <v>113.22</v>
      </c>
      <c r="D31" s="23">
        <f t="shared" si="26"/>
        <v>140.4309375</v>
      </c>
      <c r="E31" s="23">
        <f t="shared" si="26"/>
        <v>169.44790213098</v>
      </c>
      <c r="F31" s="23">
        <f t="shared" si="26"/>
        <v>184.01151371585507</v>
      </c>
      <c r="G31" s="23">
        <f t="shared" si="26"/>
        <v>188.93750183671318</v>
      </c>
      <c r="H31" s="23">
        <f t="shared" si="26"/>
        <v>196.73329849788769</v>
      </c>
      <c r="I31" s="23">
        <f t="shared" si="26"/>
        <v>200.7617243640118</v>
      </c>
      <c r="J31" s="23">
        <f t="shared" si="26"/>
        <v>212.696332770118</v>
      </c>
      <c r="K31" s="23">
        <f t="shared" si="26"/>
        <v>225.47989186100602</v>
      </c>
      <c r="L31" s="23">
        <f t="shared" si="26"/>
        <v>239.21565907917818</v>
      </c>
      <c r="M31" s="23">
        <f t="shared" si="26"/>
        <v>310.87537040125608</v>
      </c>
      <c r="N31" s="23">
        <f t="shared" si="26"/>
        <v>390.78419926419957</v>
      </c>
      <c r="O31" s="23">
        <f t="shared" si="26"/>
        <v>485.55490174664385</v>
      </c>
      <c r="P31" s="23">
        <f t="shared" si="26"/>
        <v>527.2466565589707</v>
      </c>
      <c r="Q31" s="23">
        <f t="shared" si="26"/>
        <v>576.77714303355674</v>
      </c>
      <c r="R31" s="23">
        <f t="shared" si="26"/>
        <v>630.37654260480952</v>
      </c>
      <c r="S31" s="23">
        <f t="shared" si="26"/>
        <v>687.2693545421788</v>
      </c>
      <c r="T31" s="23">
        <f t="shared" si="26"/>
        <v>748.4679668476042</v>
      </c>
      <c r="U31" s="23">
        <f t="shared" si="26"/>
        <v>814.23929766168817</v>
      </c>
      <c r="V31" s="23">
        <f t="shared" si="26"/>
        <v>883.88828565476012</v>
      </c>
      <c r="W31" s="23">
        <f t="shared" si="26"/>
        <v>959.80801922027683</v>
      </c>
      <c r="X31" s="23">
        <f t="shared" si="26"/>
        <v>1040.1195494167896</v>
      </c>
      <c r="Y31" s="23">
        <f t="shared" si="26"/>
        <v>1126.3881310972199</v>
      </c>
      <c r="Z31" s="23">
        <f t="shared" si="26"/>
        <v>1218.9746602369937</v>
      </c>
      <c r="AA31" s="23">
        <f t="shared" si="26"/>
        <v>1318.3774191727846</v>
      </c>
      <c r="AB31" s="23">
        <f t="shared" si="26"/>
        <v>1426.8491757963629</v>
      </c>
      <c r="AC31" s="23">
        <f t="shared" si="26"/>
        <v>1541.6844551960289</v>
      </c>
      <c r="AD31" s="23">
        <f t="shared" si="26"/>
        <v>1665.2524730775108</v>
      </c>
    </row>
    <row r="32" spans="1:30" ht="15.6" x14ac:dyDescent="0.3">
      <c r="A32" s="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spans="1:30" ht="15.6" x14ac:dyDescent="0.3">
      <c r="A33" s="6" t="s">
        <v>45</v>
      </c>
      <c r="B33" s="17">
        <f t="shared" ref="B33:AD33" si="27">B24-B27</f>
        <v>51.875</v>
      </c>
      <c r="C33" s="17">
        <f t="shared" si="27"/>
        <v>12.696770760000163</v>
      </c>
      <c r="D33" s="17">
        <f t="shared" si="27"/>
        <v>75.359483803197918</v>
      </c>
      <c r="E33" s="17">
        <f t="shared" si="27"/>
        <v>77.139194868226241</v>
      </c>
      <c r="F33" s="17">
        <f t="shared" si="27"/>
        <v>78.505550230480821</v>
      </c>
      <c r="G33" s="17">
        <f t="shared" si="27"/>
        <v>80.493807990308596</v>
      </c>
      <c r="H33" s="17">
        <f t="shared" si="27"/>
        <v>82.791428898496179</v>
      </c>
      <c r="I33" s="17">
        <f t="shared" si="27"/>
        <v>85.90907420473286</v>
      </c>
      <c r="J33" s="17">
        <f t="shared" si="27"/>
        <v>89.063754826227523</v>
      </c>
      <c r="K33" s="17">
        <f t="shared" si="27"/>
        <v>91.029891188436068</v>
      </c>
      <c r="L33" s="17">
        <f t="shared" si="27"/>
        <v>92.934314832844393</v>
      </c>
      <c r="M33" s="17">
        <f t="shared" si="27"/>
        <v>103.27487155423978</v>
      </c>
      <c r="N33" s="17">
        <f t="shared" si="27"/>
        <v>108.20450368572142</v>
      </c>
      <c r="O33" s="17">
        <f t="shared" si="27"/>
        <v>107.26984615421134</v>
      </c>
      <c r="P33" s="17">
        <f t="shared" si="27"/>
        <v>106.31598612723246</v>
      </c>
      <c r="Q33" s="17">
        <f t="shared" si="27"/>
        <v>105.32863062625984</v>
      </c>
      <c r="R33" s="17">
        <f t="shared" si="27"/>
        <v>104.36218748614419</v>
      </c>
      <c r="S33" s="17">
        <f t="shared" si="27"/>
        <v>103.45592661255705</v>
      </c>
      <c r="T33" s="17">
        <f t="shared" si="27"/>
        <v>102.67060418477695</v>
      </c>
      <c r="U33" s="17">
        <f t="shared" si="27"/>
        <v>102.0789206477848</v>
      </c>
      <c r="V33" s="17">
        <f t="shared" si="27"/>
        <v>101.75356858309715</v>
      </c>
      <c r="W33" s="17">
        <f t="shared" si="27"/>
        <v>101.80642144835474</v>
      </c>
      <c r="X33" s="17">
        <f t="shared" si="27"/>
        <v>102.34133292583465</v>
      </c>
      <c r="Y33" s="17">
        <f t="shared" si="27"/>
        <v>103.49119053572031</v>
      </c>
      <c r="Z33" s="17">
        <f t="shared" si="27"/>
        <v>105.40975453768897</v>
      </c>
      <c r="AA33" s="17">
        <f t="shared" si="27"/>
        <v>108.27315707591515</v>
      </c>
      <c r="AB33" s="17">
        <f t="shared" si="27"/>
        <v>112.29715271733221</v>
      </c>
      <c r="AC33" s="17">
        <f t="shared" si="27"/>
        <v>117.69836823057267</v>
      </c>
      <c r="AD33" s="17">
        <f t="shared" si="27"/>
        <v>124.73532953683116</v>
      </c>
    </row>
    <row r="34" spans="1:30" ht="15.6" x14ac:dyDescent="0.3">
      <c r="A34" s="7" t="s">
        <v>46</v>
      </c>
      <c r="B34" s="24">
        <f t="shared" ref="B34:AD34" si="28">(B33/B11)</f>
        <v>1.9284386617100371E-2</v>
      </c>
      <c r="C34" s="24">
        <f t="shared" si="28"/>
        <v>4.473923346077332E-3</v>
      </c>
      <c r="D34" s="24">
        <f t="shared" si="28"/>
        <v>2.5289711571883436E-2</v>
      </c>
      <c r="E34" s="24">
        <f t="shared" si="28"/>
        <v>2.4410146736445034E-2</v>
      </c>
      <c r="F34" s="24">
        <f t="shared" si="28"/>
        <v>2.3414250822386708E-2</v>
      </c>
      <c r="G34" s="24">
        <f t="shared" si="28"/>
        <v>2.2693305559382829E-2</v>
      </c>
      <c r="H34" s="24">
        <f t="shared" si="28"/>
        <v>2.2107468144509715E-2</v>
      </c>
      <c r="I34" s="24">
        <f t="shared" si="28"/>
        <v>2.1787406831244326E-2</v>
      </c>
      <c r="J34" s="24">
        <f t="shared" si="28"/>
        <v>2.146689376845054E-2</v>
      </c>
      <c r="K34" s="24">
        <f t="shared" si="28"/>
        <v>2.0862212092570824E-2</v>
      </c>
      <c r="L34" s="24">
        <f t="shared" si="28"/>
        <v>2.0259362236355206E-2</v>
      </c>
      <c r="M34" s="24">
        <f t="shared" si="28"/>
        <v>2.1190636723737138E-2</v>
      </c>
      <c r="N34" s="24">
        <f t="shared" si="28"/>
        <v>2.0680656119112319E-2</v>
      </c>
      <c r="O34" s="24">
        <f t="shared" si="28"/>
        <v>1.8899353881553067E-2</v>
      </c>
      <c r="P34" s="24">
        <f t="shared" si="28"/>
        <v>1.7268643781780623E-2</v>
      </c>
      <c r="Q34" s="24">
        <f t="shared" si="28"/>
        <v>1.5773806066299367E-2</v>
      </c>
      <c r="R34" s="24">
        <f t="shared" si="28"/>
        <v>1.440998844305505E-2</v>
      </c>
      <c r="S34" s="24">
        <f t="shared" si="28"/>
        <v>1.3171834868610994E-2</v>
      </c>
      <c r="T34" s="24">
        <f t="shared" si="28"/>
        <v>1.2054453094524025E-2</v>
      </c>
      <c r="U34" s="24">
        <f t="shared" si="28"/>
        <v>1.1053199411042007E-2</v>
      </c>
      <c r="V34" s="24">
        <f t="shared" si="28"/>
        <v>1.0163241389398708E-2</v>
      </c>
      <c r="W34" s="24">
        <f t="shared" si="28"/>
        <v>9.3805538587679229E-3</v>
      </c>
      <c r="X34" s="24">
        <f t="shared" si="28"/>
        <v>8.700720779890302E-3</v>
      </c>
      <c r="Y34" s="24">
        <f t="shared" si="28"/>
        <v>8.1196731830579846E-3</v>
      </c>
      <c r="Z34" s="24">
        <f t="shared" si="28"/>
        <v>7.63356023733205E-3</v>
      </c>
      <c r="AA34" s="24">
        <f t="shared" si="28"/>
        <v>7.2386650949856799E-3</v>
      </c>
      <c r="AB34" s="24">
        <f t="shared" si="28"/>
        <v>6.9316699027254652E-3</v>
      </c>
      <c r="AC34" s="24">
        <f t="shared" si="28"/>
        <v>6.7088984154017491E-3</v>
      </c>
      <c r="AD34" s="24">
        <f t="shared" si="28"/>
        <v>6.5669259038149191E-3</v>
      </c>
    </row>
    <row r="35" spans="1:30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ht="15.6" x14ac:dyDescent="0.3">
      <c r="A36" s="26" t="s">
        <v>47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 ht="15.6" x14ac:dyDescent="0.3">
      <c r="A37" s="23" t="s">
        <v>48</v>
      </c>
      <c r="B37" s="24">
        <v>7.9000000000000001E-2</v>
      </c>
      <c r="C37" s="10">
        <v>5.1999999999999998E-2</v>
      </c>
      <c r="D37" s="10">
        <v>4.2000000000000003E-2</v>
      </c>
      <c r="E37" s="10">
        <v>4.1500000000000002E-2</v>
      </c>
      <c r="F37" s="10">
        <v>4.1000000000000002E-2</v>
      </c>
      <c r="G37" s="10">
        <v>3.9899999999999998E-2</v>
      </c>
      <c r="H37" s="10">
        <v>3.8800000000000001E-2</v>
      </c>
      <c r="I37" s="10">
        <v>3.7900000000000003E-2</v>
      </c>
      <c r="J37" s="10">
        <v>3.7199999999999997E-2</v>
      </c>
      <c r="K37" s="10">
        <v>3.6700000000000003E-2</v>
      </c>
      <c r="L37" s="10">
        <v>3.6299999999999999E-2</v>
      </c>
      <c r="M37" s="24">
        <f t="shared" ref="M37:AD37" si="29">M5</f>
        <v>3.61E-2</v>
      </c>
      <c r="N37" s="24">
        <f t="shared" si="29"/>
        <v>3.5900000000000001E-2</v>
      </c>
      <c r="O37" s="24">
        <f t="shared" si="29"/>
        <v>3.5799999999999998E-2</v>
      </c>
      <c r="P37" s="24">
        <f t="shared" si="29"/>
        <v>3.5699999999999996E-2</v>
      </c>
      <c r="Q37" s="24">
        <f t="shared" si="29"/>
        <v>3.56E-2</v>
      </c>
      <c r="R37" s="24">
        <f t="shared" si="29"/>
        <v>3.56E-2</v>
      </c>
      <c r="S37" s="24">
        <f t="shared" si="29"/>
        <v>3.5499999999999997E-2</v>
      </c>
      <c r="T37" s="24">
        <f t="shared" si="29"/>
        <v>3.5400000000000001E-2</v>
      </c>
      <c r="U37" s="24">
        <f t="shared" si="29"/>
        <v>3.5299999999999998E-2</v>
      </c>
      <c r="V37" s="24">
        <f t="shared" si="29"/>
        <v>3.5099999999999999E-2</v>
      </c>
      <c r="W37" s="24">
        <f t="shared" si="29"/>
        <v>3.5000000000000003E-2</v>
      </c>
      <c r="X37" s="24">
        <f t="shared" si="29"/>
        <v>3.4799999999999998E-2</v>
      </c>
      <c r="Y37" s="24">
        <f t="shared" si="29"/>
        <v>3.4599999999999999E-2</v>
      </c>
      <c r="Z37" s="24">
        <f t="shared" si="29"/>
        <v>3.44E-2</v>
      </c>
      <c r="AA37" s="24">
        <f t="shared" si="29"/>
        <v>3.4200000000000001E-2</v>
      </c>
      <c r="AB37" s="24">
        <f t="shared" si="29"/>
        <v>3.4099999999999998E-2</v>
      </c>
      <c r="AC37" s="24">
        <f t="shared" si="29"/>
        <v>3.39E-2</v>
      </c>
      <c r="AD37" s="24">
        <f t="shared" si="29"/>
        <v>3.3700000000000001E-2</v>
      </c>
    </row>
    <row r="38" spans="1:30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spans="1:30" ht="15.6" x14ac:dyDescent="0.3">
      <c r="A39" s="26" t="s">
        <v>49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spans="1:30" x14ac:dyDescent="0.3">
      <c r="A40" s="23" t="s">
        <v>25</v>
      </c>
      <c r="B40" s="24">
        <v>4.4499999999999998E-2</v>
      </c>
      <c r="C40" s="24">
        <v>4.4999999999999998E-2</v>
      </c>
      <c r="D40" s="24">
        <v>5.2499999999999998E-2</v>
      </c>
      <c r="E40" s="24">
        <v>6.0499999999999998E-2</v>
      </c>
      <c r="F40" s="24">
        <v>6.0999999999999999E-2</v>
      </c>
      <c r="G40" s="24">
        <v>5.79E-2</v>
      </c>
      <c r="H40" s="24">
        <v>5.5800000000000002E-2</v>
      </c>
      <c r="I40" s="24">
        <v>5.2900000000000003E-2</v>
      </c>
      <c r="J40" s="24">
        <v>5.2200000000000003E-2</v>
      </c>
      <c r="K40" s="24">
        <v>5.1700000000000003E-2</v>
      </c>
      <c r="L40" s="24">
        <v>5.1299999999999998E-2</v>
      </c>
      <c r="M40" s="24">
        <f t="shared" ref="M40:AD40" si="30">M6</f>
        <v>6.2429999999999999E-2</v>
      </c>
      <c r="N40" s="24">
        <f t="shared" si="30"/>
        <v>7.3569999999999997E-2</v>
      </c>
      <c r="O40" s="24">
        <f t="shared" si="30"/>
        <v>8.48E-2</v>
      </c>
      <c r="P40" s="24">
        <f t="shared" si="30"/>
        <v>8.4699999999999998E-2</v>
      </c>
      <c r="Q40" s="24">
        <f t="shared" si="30"/>
        <v>8.4600000000000009E-2</v>
      </c>
      <c r="R40" s="24">
        <f t="shared" si="30"/>
        <v>8.4600000000000009E-2</v>
      </c>
      <c r="S40" s="24">
        <f t="shared" si="30"/>
        <v>8.4499999999999992E-2</v>
      </c>
      <c r="T40" s="24">
        <f t="shared" si="30"/>
        <v>8.4400000000000003E-2</v>
      </c>
      <c r="U40" s="24">
        <f t="shared" si="30"/>
        <v>8.43E-2</v>
      </c>
      <c r="V40" s="24">
        <f t="shared" si="30"/>
        <v>8.4100000000000008E-2</v>
      </c>
      <c r="W40" s="24">
        <f t="shared" si="30"/>
        <v>8.4000000000000005E-2</v>
      </c>
      <c r="X40" s="24">
        <f t="shared" si="30"/>
        <v>8.3799999999999999E-2</v>
      </c>
      <c r="Y40" s="24">
        <f t="shared" si="30"/>
        <v>8.3600000000000008E-2</v>
      </c>
      <c r="Z40" s="24">
        <f t="shared" si="30"/>
        <v>8.3400000000000002E-2</v>
      </c>
      <c r="AA40" s="24">
        <f t="shared" si="30"/>
        <v>8.3199999999999996E-2</v>
      </c>
      <c r="AB40" s="24">
        <f t="shared" si="30"/>
        <v>8.3100000000000007E-2</v>
      </c>
      <c r="AC40" s="24">
        <f t="shared" si="30"/>
        <v>8.2900000000000001E-2</v>
      </c>
      <c r="AD40" s="24">
        <f t="shared" si="30"/>
        <v>8.2699999999999996E-2</v>
      </c>
    </row>
    <row r="41" spans="1:30" x14ac:dyDescent="0.3">
      <c r="A41" s="25"/>
      <c r="B41" s="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 ht="15.6" x14ac:dyDescent="0.3">
      <c r="A42" s="26" t="s">
        <v>50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ht="15.6" x14ac:dyDescent="0.3">
      <c r="A43" s="23" t="s">
        <v>51</v>
      </c>
      <c r="B43" s="12">
        <v>4.0000000000000001E-3</v>
      </c>
      <c r="C43" s="10">
        <v>3.0000000000000001E-3</v>
      </c>
      <c r="D43" s="10">
        <v>8.0000000000000002E-3</v>
      </c>
      <c r="E43" s="10">
        <v>1.9E-2</v>
      </c>
      <c r="F43" s="10">
        <v>0.02</v>
      </c>
      <c r="G43" s="10">
        <v>1.7999999999999999E-2</v>
      </c>
      <c r="H43" s="10">
        <v>1.7000000000000001E-2</v>
      </c>
      <c r="I43" s="10">
        <v>1.4999999999999999E-2</v>
      </c>
      <c r="J43" s="10">
        <v>1.4999999999999999E-2</v>
      </c>
      <c r="K43" s="10">
        <v>1.4999999999999999E-2</v>
      </c>
      <c r="L43" s="10">
        <v>1.4999999999999999E-2</v>
      </c>
      <c r="M43" s="10">
        <v>2.6329999999999999E-2</v>
      </c>
      <c r="N43" s="10">
        <v>3.7670000000000002E-2</v>
      </c>
      <c r="O43" s="10">
        <v>4.9000000000000002E-2</v>
      </c>
      <c r="P43" s="10">
        <v>4.9000000000000002E-2</v>
      </c>
      <c r="Q43" s="10">
        <v>4.9000000000000002E-2</v>
      </c>
      <c r="R43" s="10">
        <v>4.9000000000000002E-2</v>
      </c>
      <c r="S43" s="10">
        <v>4.9000000000000002E-2</v>
      </c>
      <c r="T43" s="10">
        <v>4.9000000000000002E-2</v>
      </c>
      <c r="U43" s="10">
        <v>4.9000000000000002E-2</v>
      </c>
      <c r="V43" s="10">
        <v>4.9000000000000002E-2</v>
      </c>
      <c r="W43" s="10">
        <v>4.9000000000000002E-2</v>
      </c>
      <c r="X43" s="10">
        <v>4.9000000000000002E-2</v>
      </c>
      <c r="Y43" s="10">
        <v>4.9000000000000002E-2</v>
      </c>
      <c r="Z43" s="10">
        <v>4.9000000000000002E-2</v>
      </c>
      <c r="AA43" s="10">
        <v>4.9000000000000002E-2</v>
      </c>
      <c r="AB43" s="10">
        <v>4.9000000000000002E-2</v>
      </c>
      <c r="AC43" s="10">
        <v>4.9000000000000002E-2</v>
      </c>
      <c r="AD43" s="10">
        <v>4.9000000000000002E-2</v>
      </c>
    </row>
    <row r="44" spans="1:30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ht="15.6" x14ac:dyDescent="0.3">
      <c r="A45" s="26" t="s">
        <v>52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x14ac:dyDescent="0.3">
      <c r="A46" s="23" t="s">
        <v>53</v>
      </c>
      <c r="B46" s="17">
        <v>2516</v>
      </c>
      <c r="C46" s="17">
        <f t="shared" ref="C46:AD46" si="31">B46+B49</f>
        <v>2674.875</v>
      </c>
      <c r="D46" s="17">
        <f t="shared" si="31"/>
        <v>2800.79177076</v>
      </c>
      <c r="E46" s="17">
        <f t="shared" si="31"/>
        <v>3016.5821920631979</v>
      </c>
      <c r="F46" s="17">
        <f t="shared" si="31"/>
        <v>3263.169289062404</v>
      </c>
      <c r="G46" s="17">
        <f t="shared" si="31"/>
        <v>3525.6863530087398</v>
      </c>
      <c r="H46" s="17">
        <f t="shared" si="31"/>
        <v>3795.1176628357616</v>
      </c>
      <c r="I46" s="17">
        <f t="shared" si="31"/>
        <v>4074.6423902321453</v>
      </c>
      <c r="J46" s="17">
        <f t="shared" si="31"/>
        <v>4361.3131888008902</v>
      </c>
      <c r="K46" s="17">
        <f t="shared" si="31"/>
        <v>4663.0732763972355</v>
      </c>
      <c r="L46" s="17">
        <f t="shared" si="31"/>
        <v>4979.5830594466779</v>
      </c>
      <c r="M46" s="17">
        <f t="shared" si="31"/>
        <v>5311.7330333587006</v>
      </c>
      <c r="N46" s="17">
        <f t="shared" si="31"/>
        <v>5725.883275314196</v>
      </c>
      <c r="O46" s="17">
        <f t="shared" si="31"/>
        <v>6224.8719782641174</v>
      </c>
      <c r="P46" s="17">
        <f t="shared" si="31"/>
        <v>6817.6967261649725</v>
      </c>
      <c r="Q46" s="17">
        <f t="shared" si="31"/>
        <v>7451.2593688511752</v>
      </c>
      <c r="R46" s="17">
        <f t="shared" si="31"/>
        <v>8133.365142510992</v>
      </c>
      <c r="S46" s="17">
        <f t="shared" si="31"/>
        <v>8868.1038726019451</v>
      </c>
      <c r="T46" s="17">
        <f t="shared" si="31"/>
        <v>9658.8291537566802</v>
      </c>
      <c r="U46" s="17">
        <f t="shared" si="31"/>
        <v>10509.967724789061</v>
      </c>
      <c r="V46" s="17">
        <f t="shared" si="31"/>
        <v>11426.285943098534</v>
      </c>
      <c r="W46" s="17">
        <f t="shared" si="31"/>
        <v>12411.927797336391</v>
      </c>
      <c r="X46" s="17">
        <f t="shared" si="31"/>
        <v>13473.542238005022</v>
      </c>
      <c r="Y46" s="17">
        <f t="shared" si="31"/>
        <v>14616.003120347646</v>
      </c>
      <c r="Z46" s="17">
        <f t="shared" si="31"/>
        <v>15845.882441980586</v>
      </c>
      <c r="AA46" s="17">
        <f t="shared" si="31"/>
        <v>17170.266856755268</v>
      </c>
      <c r="AB46" s="17">
        <f t="shared" si="31"/>
        <v>18596.917433003968</v>
      </c>
      <c r="AC46" s="17">
        <f t="shared" si="31"/>
        <v>20136.063761517664</v>
      </c>
      <c r="AD46" s="17">
        <f t="shared" si="31"/>
        <v>21795.446584944264</v>
      </c>
    </row>
    <row r="47" spans="1:30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0" ht="15.6" x14ac:dyDescent="0.3">
      <c r="A48" s="26" t="s">
        <v>54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0" x14ac:dyDescent="0.3">
      <c r="A49" s="23" t="s">
        <v>55</v>
      </c>
      <c r="B49" s="17">
        <f t="shared" ref="B49:AD49" si="32">B24-B27+B31</f>
        <v>158.875</v>
      </c>
      <c r="C49" s="17">
        <f t="shared" si="32"/>
        <v>125.91677076000016</v>
      </c>
      <c r="D49" s="17">
        <f t="shared" si="32"/>
        <v>215.79042130319792</v>
      </c>
      <c r="E49" s="17">
        <f t="shared" si="32"/>
        <v>246.58709699920624</v>
      </c>
      <c r="F49" s="17">
        <f t="shared" si="32"/>
        <v>262.5170639463359</v>
      </c>
      <c r="G49" s="17">
        <f t="shared" si="32"/>
        <v>269.43130982702178</v>
      </c>
      <c r="H49" s="17">
        <f t="shared" si="32"/>
        <v>279.52472739638387</v>
      </c>
      <c r="I49" s="17">
        <f t="shared" si="32"/>
        <v>286.67079856874466</v>
      </c>
      <c r="J49" s="17">
        <f t="shared" si="32"/>
        <v>301.76008759634556</v>
      </c>
      <c r="K49" s="17">
        <f t="shared" si="32"/>
        <v>316.50978304944209</v>
      </c>
      <c r="L49" s="17">
        <f t="shared" si="32"/>
        <v>332.14997391202257</v>
      </c>
      <c r="M49" s="17">
        <f t="shared" si="32"/>
        <v>414.15024195549586</v>
      </c>
      <c r="N49" s="17">
        <f t="shared" si="32"/>
        <v>498.98870294992099</v>
      </c>
      <c r="O49" s="17">
        <f t="shared" si="32"/>
        <v>592.82474790085519</v>
      </c>
      <c r="P49" s="17">
        <f t="shared" si="32"/>
        <v>633.56264268620316</v>
      </c>
      <c r="Q49" s="17">
        <f t="shared" si="32"/>
        <v>682.10577365981658</v>
      </c>
      <c r="R49" s="17">
        <f t="shared" si="32"/>
        <v>734.73873009095371</v>
      </c>
      <c r="S49" s="17">
        <f t="shared" si="32"/>
        <v>790.72528115473585</v>
      </c>
      <c r="T49" s="17">
        <f t="shared" si="32"/>
        <v>851.13857103238115</v>
      </c>
      <c r="U49" s="17">
        <f t="shared" si="32"/>
        <v>916.31821830947297</v>
      </c>
      <c r="V49" s="17">
        <f t="shared" si="32"/>
        <v>985.64185423785727</v>
      </c>
      <c r="W49" s="17">
        <f t="shared" si="32"/>
        <v>1061.6144406686317</v>
      </c>
      <c r="X49" s="17">
        <f t="shared" si="32"/>
        <v>1142.4608823426242</v>
      </c>
      <c r="Y49" s="17">
        <f t="shared" si="32"/>
        <v>1229.8793216329402</v>
      </c>
      <c r="Z49" s="17">
        <f t="shared" si="32"/>
        <v>1324.3844147746827</v>
      </c>
      <c r="AA49" s="17">
        <f t="shared" si="32"/>
        <v>1426.6505762486997</v>
      </c>
      <c r="AB49" s="17">
        <f t="shared" si="32"/>
        <v>1539.1463285136952</v>
      </c>
      <c r="AC49" s="17">
        <f t="shared" si="32"/>
        <v>1659.3828234266016</v>
      </c>
      <c r="AD49" s="17">
        <f t="shared" si="32"/>
        <v>1789.9878026143419</v>
      </c>
    </row>
    <row r="50" spans="1:30" ht="15.6" x14ac:dyDescent="0.3">
      <c r="A50" s="26" t="s">
        <v>56</v>
      </c>
      <c r="B50" s="24">
        <f t="shared" ref="B50:AD50" si="33">B49/B11</f>
        <v>5.9061338289962823E-2</v>
      </c>
      <c r="C50" s="24">
        <f t="shared" si="33"/>
        <v>4.4368917972480194E-2</v>
      </c>
      <c r="D50" s="24">
        <f t="shared" si="33"/>
        <v>7.241659893776374E-2</v>
      </c>
      <c r="E50" s="24">
        <f t="shared" si="33"/>
        <v>7.8030723957477524E-2</v>
      </c>
      <c r="F50" s="24">
        <f t="shared" si="33"/>
        <v>7.8295615562853846E-2</v>
      </c>
      <c r="G50" s="24">
        <f t="shared" si="33"/>
        <v>7.5959719061937117E-2</v>
      </c>
      <c r="H50" s="24">
        <f t="shared" si="33"/>
        <v>7.4640383536496296E-2</v>
      </c>
      <c r="I50" s="24">
        <f t="shared" si="33"/>
        <v>7.2702602988949941E-2</v>
      </c>
      <c r="J50" s="24">
        <f t="shared" si="33"/>
        <v>7.2732749215750334E-2</v>
      </c>
      <c r="K50" s="24">
        <f t="shared" si="33"/>
        <v>7.2537648207030486E-2</v>
      </c>
      <c r="L50" s="24">
        <f t="shared" si="33"/>
        <v>7.2407556351848354E-2</v>
      </c>
      <c r="M50" s="24">
        <f t="shared" si="33"/>
        <v>8.4978148064968118E-2</v>
      </c>
      <c r="N50" s="24">
        <f t="shared" si="33"/>
        <v>9.5369540282739113E-2</v>
      </c>
      <c r="O50" s="24">
        <f t="shared" si="33"/>
        <v>0.1044469168363852</v>
      </c>
      <c r="P50" s="24">
        <f t="shared" si="33"/>
        <v>0.10290801965471458</v>
      </c>
      <c r="Q50" s="24">
        <f t="shared" si="33"/>
        <v>0.10215080293401795</v>
      </c>
      <c r="R50" s="24">
        <f t="shared" si="33"/>
        <v>0.10145031322461751</v>
      </c>
      <c r="S50" s="24">
        <f t="shared" si="33"/>
        <v>0.10067381512913746</v>
      </c>
      <c r="T50" s="24">
        <f t="shared" si="33"/>
        <v>9.9931329545748446E-2</v>
      </c>
      <c r="U50" s="24">
        <f t="shared" si="33"/>
        <v>9.9219779428233207E-2</v>
      </c>
      <c r="V50" s="24">
        <f t="shared" si="33"/>
        <v>9.8446828230237718E-2</v>
      </c>
      <c r="W50" s="24">
        <f t="shared" si="33"/>
        <v>9.7818303563392953E-2</v>
      </c>
      <c r="X50" s="24">
        <f t="shared" si="33"/>
        <v>9.7128236021841036E-2</v>
      </c>
      <c r="Y50" s="24">
        <f t="shared" si="33"/>
        <v>9.6493412575186829E-2</v>
      </c>
      <c r="Z50" s="24">
        <f t="shared" si="33"/>
        <v>9.5909228248430983E-2</v>
      </c>
      <c r="AA50" s="24">
        <f t="shared" si="33"/>
        <v>9.5379556742692148E-2</v>
      </c>
      <c r="AB50" s="24">
        <f t="shared" si="33"/>
        <v>9.5005563570287443E-2</v>
      </c>
      <c r="AC50" s="24">
        <f t="shared" si="33"/>
        <v>9.4586109918046057E-2</v>
      </c>
      <c r="AD50" s="24">
        <f t="shared" si="33"/>
        <v>9.4237272728974517E-2</v>
      </c>
    </row>
  </sheetData>
  <mergeCells count="1">
    <mergeCell ref="A1:AD1"/>
  </mergeCells>
  <pageMargins left="0.7" right="0.7" top="0.75" bottom="0.75" header="0.3" footer="0.3"/>
  <pageSetup scale="3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0960-3593-44B0-A416-93577AB62F86}">
  <sheetPr>
    <pageSetUpPr fitToPage="1"/>
  </sheetPr>
  <dimension ref="A1:AD51"/>
  <sheetViews>
    <sheetView zoomScale="25" zoomScaleNormal="25" workbookViewId="0">
      <selection activeCell="AR2" sqref="AR2"/>
    </sheetView>
  </sheetViews>
  <sheetFormatPr defaultColWidth="8.88671875" defaultRowHeight="14.4" x14ac:dyDescent="0.3"/>
  <cols>
    <col min="1" max="1" width="43.6640625" bestFit="1" customWidth="1"/>
    <col min="2" max="3" width="8.33203125" bestFit="1" customWidth="1"/>
    <col min="4" max="5" width="12" bestFit="1" customWidth="1"/>
    <col min="6" max="6" width="12.109375" bestFit="1" customWidth="1"/>
    <col min="7" max="7" width="13.33203125" bestFit="1" customWidth="1"/>
    <col min="8" max="8" width="12.109375" bestFit="1" customWidth="1"/>
    <col min="9" max="15" width="12" bestFit="1" customWidth="1"/>
    <col min="16" max="16" width="11" bestFit="1" customWidth="1"/>
    <col min="17" max="30" width="12" bestFit="1" customWidth="1"/>
  </cols>
  <sheetData>
    <row r="1" spans="1:30" ht="36.6" x14ac:dyDescent="0.7">
      <c r="A1" s="77" t="s">
        <v>85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M2" s="23">
        <v>2033</v>
      </c>
      <c r="N2" s="23">
        <v>2034</v>
      </c>
      <c r="O2" s="23">
        <v>2035</v>
      </c>
      <c r="P2" s="23">
        <v>2036</v>
      </c>
      <c r="Q2" s="23">
        <v>2037</v>
      </c>
      <c r="R2" s="23">
        <v>2038</v>
      </c>
      <c r="S2" s="23">
        <v>2039</v>
      </c>
      <c r="T2" s="23">
        <v>2040</v>
      </c>
      <c r="U2" s="23">
        <v>2041</v>
      </c>
      <c r="V2" s="23">
        <v>2042</v>
      </c>
      <c r="W2" s="23">
        <v>2043</v>
      </c>
      <c r="X2" s="23">
        <v>2044</v>
      </c>
      <c r="Y2" s="23">
        <v>2045</v>
      </c>
      <c r="Z2" s="23">
        <v>2046</v>
      </c>
      <c r="AA2" s="23">
        <v>2047</v>
      </c>
      <c r="AB2" s="23">
        <v>2048</v>
      </c>
      <c r="AC2" s="23">
        <v>2049</v>
      </c>
      <c r="AD2" s="23">
        <v>2050</v>
      </c>
    </row>
    <row r="3" spans="1:30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0" ht="15.6" x14ac:dyDescent="0.3">
      <c r="A4" s="7" t="s">
        <v>23</v>
      </c>
      <c r="B4" s="8">
        <f t="shared" ref="B4:AD4" si="0">B35</f>
        <v>2.0641263940520481E-2</v>
      </c>
      <c r="C4" s="8">
        <f t="shared" si="0"/>
        <v>5.7600629891295671E-3</v>
      </c>
      <c r="D4" s="8">
        <f t="shared" si="0"/>
        <v>2.6514606470028419E-2</v>
      </c>
      <c r="E4" s="8">
        <f t="shared" si="0"/>
        <v>2.5565163142050866E-2</v>
      </c>
      <c r="F4" s="8">
        <f t="shared" si="0"/>
        <v>2.4502861949253656E-2</v>
      </c>
      <c r="G4" s="8">
        <f t="shared" si="0"/>
        <v>2.3722335833385049E-2</v>
      </c>
      <c r="H4" s="8">
        <f t="shared" si="0"/>
        <v>2.308211322312519E-2</v>
      </c>
      <c r="I4" s="8">
        <f t="shared" si="0"/>
        <v>2.2713083608350868E-2</v>
      </c>
      <c r="J4" s="8">
        <f t="shared" si="0"/>
        <v>2.2346647405693025E-2</v>
      </c>
      <c r="K4" s="8">
        <f t="shared" si="0"/>
        <v>2.4911055194072558E-2</v>
      </c>
      <c r="L4" s="8">
        <f t="shared" si="0"/>
        <v>2.4110635042882109E-2</v>
      </c>
      <c r="M4" s="8">
        <f t="shared" si="0"/>
        <v>2.6312110335812461E-2</v>
      </c>
      <c r="N4" s="8">
        <f t="shared" si="0"/>
        <v>2.8457855182568315E-2</v>
      </c>
      <c r="O4" s="8">
        <f t="shared" si="0"/>
        <v>3.0601582296105868E-2</v>
      </c>
      <c r="P4" s="8">
        <f t="shared" si="0"/>
        <v>3.2743375024656893E-2</v>
      </c>
      <c r="Q4" s="8">
        <f t="shared" si="0"/>
        <v>3.4882665853300708E-2</v>
      </c>
      <c r="R4" s="8">
        <f t="shared" si="0"/>
        <v>3.7018735414103963E-2</v>
      </c>
      <c r="S4" s="8">
        <f t="shared" si="0"/>
        <v>3.9151354948938469E-2</v>
      </c>
      <c r="T4" s="8">
        <f t="shared" si="0"/>
        <v>5.0325999372242525E-2</v>
      </c>
      <c r="U4" s="8">
        <f t="shared" si="0"/>
        <v>5.2016869467441662E-2</v>
      </c>
      <c r="V4" s="8">
        <f t="shared" si="0"/>
        <v>5.3725239262073558E-2</v>
      </c>
      <c r="W4" s="8">
        <f t="shared" si="0"/>
        <v>5.54484921061216E-2</v>
      </c>
      <c r="X4" s="8">
        <f t="shared" si="0"/>
        <v>5.718609493584028E-2</v>
      </c>
      <c r="Y4" s="8">
        <f t="shared" si="0"/>
        <v>5.8936471649199088E-2</v>
      </c>
      <c r="Z4" s="8">
        <f t="shared" si="0"/>
        <v>6.0698216410319465E-2</v>
      </c>
      <c r="AA4" s="8">
        <f t="shared" si="0"/>
        <v>6.2470004266458108E-2</v>
      </c>
      <c r="AB4" s="8">
        <f t="shared" si="0"/>
        <v>6.4249925357161064E-2</v>
      </c>
      <c r="AC4" s="8">
        <f t="shared" si="0"/>
        <v>6.6037618730063558E-2</v>
      </c>
      <c r="AD4" s="8">
        <f t="shared" si="0"/>
        <v>6.7831880736286349E-2</v>
      </c>
    </row>
    <row r="5" spans="1:30" ht="15.6" x14ac:dyDescent="0.3">
      <c r="A5" s="7" t="s">
        <v>24</v>
      </c>
      <c r="B5" s="9">
        <f t="shared" ref="B5:L5" si="1">B38</f>
        <v>7.9000000000000001E-2</v>
      </c>
      <c r="C5" s="9">
        <f t="shared" si="1"/>
        <v>5.1999999999999998E-2</v>
      </c>
      <c r="D5" s="9">
        <f t="shared" si="1"/>
        <v>4.2000000000000003E-2</v>
      </c>
      <c r="E5" s="9">
        <f t="shared" si="1"/>
        <v>4.1500000000000002E-2</v>
      </c>
      <c r="F5" s="9">
        <f t="shared" si="1"/>
        <v>4.1000000000000002E-2</v>
      </c>
      <c r="G5" s="9">
        <f t="shared" si="1"/>
        <v>3.9899999999999998E-2</v>
      </c>
      <c r="H5" s="9">
        <f t="shared" si="1"/>
        <v>3.8800000000000001E-2</v>
      </c>
      <c r="I5" s="9">
        <f t="shared" si="1"/>
        <v>3.7900000000000003E-2</v>
      </c>
      <c r="J5" s="9">
        <f t="shared" si="1"/>
        <v>3.7199999999999997E-2</v>
      </c>
      <c r="K5" s="9">
        <f t="shared" si="1"/>
        <v>3.6700000000000003E-2</v>
      </c>
      <c r="L5" s="9">
        <f t="shared" si="1"/>
        <v>3.6299999999999999E-2</v>
      </c>
      <c r="M5" s="52">
        <f>3.61/100</f>
        <v>3.61E-2</v>
      </c>
      <c r="N5" s="52">
        <f>3.59/100</f>
        <v>3.5900000000000001E-2</v>
      </c>
      <c r="O5" s="52">
        <f>3.58/100</f>
        <v>3.5799999999999998E-2</v>
      </c>
      <c r="P5" s="52">
        <f>3.57/100</f>
        <v>3.5699999999999996E-2</v>
      </c>
      <c r="Q5" s="52">
        <f>3.56/100</f>
        <v>3.56E-2</v>
      </c>
      <c r="R5" s="52">
        <f>3.56/100</f>
        <v>3.56E-2</v>
      </c>
      <c r="S5" s="52">
        <f>3.55/100</f>
        <v>3.5499999999999997E-2</v>
      </c>
      <c r="T5" s="52">
        <f>3.54/100</f>
        <v>3.5400000000000001E-2</v>
      </c>
      <c r="U5" s="52">
        <f>3.53/100</f>
        <v>3.5299999999999998E-2</v>
      </c>
      <c r="V5" s="52">
        <f>3.51/100</f>
        <v>3.5099999999999999E-2</v>
      </c>
      <c r="W5" s="52">
        <f>3.5/100</f>
        <v>3.5000000000000003E-2</v>
      </c>
      <c r="X5" s="52">
        <f>3.48/100</f>
        <v>3.4799999999999998E-2</v>
      </c>
      <c r="Y5" s="52">
        <f>3.46/100</f>
        <v>3.4599999999999999E-2</v>
      </c>
      <c r="Z5" s="52">
        <f>3.44/100</f>
        <v>3.44E-2</v>
      </c>
      <c r="AA5" s="52">
        <f>3.42/100</f>
        <v>3.4200000000000001E-2</v>
      </c>
      <c r="AB5" s="52">
        <f>3.41/100</f>
        <v>3.4099999999999998E-2</v>
      </c>
      <c r="AC5" s="52">
        <f>3.39/100</f>
        <v>3.39E-2</v>
      </c>
      <c r="AD5" s="52">
        <f>3.37/100</f>
        <v>3.3700000000000001E-2</v>
      </c>
    </row>
    <row r="6" spans="1:30" ht="15.6" x14ac:dyDescent="0.3">
      <c r="A6" s="7" t="s">
        <v>25</v>
      </c>
      <c r="B6" s="10">
        <f t="shared" ref="B6:L6" si="2">B41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  <c r="M6" s="24">
        <f t="shared" ref="M6:AD6" si="3">M13</f>
        <v>5.11E-2</v>
      </c>
      <c r="N6" s="24">
        <f t="shared" si="3"/>
        <v>5.0900000000000001E-2</v>
      </c>
      <c r="O6" s="24">
        <f t="shared" si="3"/>
        <v>5.0799999999999998E-2</v>
      </c>
      <c r="P6" s="24">
        <f t="shared" si="3"/>
        <v>5.0699999999999995E-2</v>
      </c>
      <c r="Q6" s="24">
        <f t="shared" si="3"/>
        <v>5.0599999999999999E-2</v>
      </c>
      <c r="R6" s="24">
        <f t="shared" si="3"/>
        <v>5.0599999999999999E-2</v>
      </c>
      <c r="S6" s="24">
        <f t="shared" si="3"/>
        <v>5.0499999999999996E-2</v>
      </c>
      <c r="T6" s="24">
        <f t="shared" si="3"/>
        <v>5.04E-2</v>
      </c>
      <c r="U6" s="24">
        <f t="shared" si="3"/>
        <v>5.0299999999999997E-2</v>
      </c>
      <c r="V6" s="24">
        <f t="shared" si="3"/>
        <v>5.0099999999999999E-2</v>
      </c>
      <c r="W6" s="24">
        <f t="shared" si="3"/>
        <v>0.05</v>
      </c>
      <c r="X6" s="24">
        <f t="shared" si="3"/>
        <v>4.9799999999999997E-2</v>
      </c>
      <c r="Y6" s="24">
        <f t="shared" si="3"/>
        <v>4.9599999999999998E-2</v>
      </c>
      <c r="Z6" s="24">
        <f t="shared" si="3"/>
        <v>4.9399999999999999E-2</v>
      </c>
      <c r="AA6" s="24">
        <f t="shared" si="3"/>
        <v>4.9200000000000001E-2</v>
      </c>
      <c r="AB6" s="24">
        <f t="shared" si="3"/>
        <v>4.9099999999999998E-2</v>
      </c>
      <c r="AC6" s="24">
        <f t="shared" si="3"/>
        <v>4.8899999999999999E-2</v>
      </c>
      <c r="AD6" s="24">
        <f t="shared" si="3"/>
        <v>4.87E-2</v>
      </c>
    </row>
    <row r="7" spans="1:30" ht="15.6" x14ac:dyDescent="0.3">
      <c r="A7" s="7" t="s">
        <v>26</v>
      </c>
      <c r="B7" s="10">
        <f t="shared" ref="B7:AD7" si="4">B44</f>
        <v>4.0000000000000001E-3</v>
      </c>
      <c r="C7" s="10">
        <f t="shared" si="4"/>
        <v>3.0000000000000001E-3</v>
      </c>
      <c r="D7" s="10">
        <f t="shared" si="4"/>
        <v>8.0000000000000002E-3</v>
      </c>
      <c r="E7" s="10">
        <f t="shared" si="4"/>
        <v>1.9E-2</v>
      </c>
      <c r="F7" s="10">
        <f t="shared" si="4"/>
        <v>0.02</v>
      </c>
      <c r="G7" s="10">
        <f t="shared" si="4"/>
        <v>1.7999999999999999E-2</v>
      </c>
      <c r="H7" s="10">
        <f t="shared" si="4"/>
        <v>1.7000000000000001E-2</v>
      </c>
      <c r="I7" s="10">
        <f t="shared" si="4"/>
        <v>1.4999999999999999E-2</v>
      </c>
      <c r="J7" s="10">
        <f t="shared" si="4"/>
        <v>1.4999999999999999E-2</v>
      </c>
      <c r="K7" s="10">
        <f t="shared" si="4"/>
        <v>1.4999999999999999E-2</v>
      </c>
      <c r="L7" s="10">
        <f t="shared" si="4"/>
        <v>1.4999999999999999E-2</v>
      </c>
      <c r="M7" s="10">
        <f t="shared" si="4"/>
        <v>1.4999999999999999E-2</v>
      </c>
      <c r="N7" s="10">
        <f t="shared" si="4"/>
        <v>1.4999999999999999E-2</v>
      </c>
      <c r="O7" s="10">
        <f t="shared" si="4"/>
        <v>1.4999999999999999E-2</v>
      </c>
      <c r="P7" s="10">
        <f t="shared" si="4"/>
        <v>1.4999999999999999E-2</v>
      </c>
      <c r="Q7" s="10">
        <f t="shared" si="4"/>
        <v>1.4999999999999999E-2</v>
      </c>
      <c r="R7" s="10">
        <f t="shared" si="4"/>
        <v>1.4999999999999999E-2</v>
      </c>
      <c r="S7" s="10">
        <f t="shared" si="4"/>
        <v>1.4999999999999999E-2</v>
      </c>
      <c r="T7" s="10">
        <f t="shared" si="4"/>
        <v>1.4999999999999999E-2</v>
      </c>
      <c r="U7" s="10">
        <f t="shared" si="4"/>
        <v>1.4999999999999999E-2</v>
      </c>
      <c r="V7" s="10">
        <f t="shared" si="4"/>
        <v>1.4999999999999999E-2</v>
      </c>
      <c r="W7" s="10">
        <f t="shared" si="4"/>
        <v>1.4999999999999999E-2</v>
      </c>
      <c r="X7" s="10">
        <f t="shared" si="4"/>
        <v>1.4999999999999999E-2</v>
      </c>
      <c r="Y7" s="10">
        <f t="shared" si="4"/>
        <v>1.4999999999999999E-2</v>
      </c>
      <c r="Z7" s="10">
        <f t="shared" si="4"/>
        <v>1.4999999999999999E-2</v>
      </c>
      <c r="AA7" s="10">
        <f t="shared" si="4"/>
        <v>1.4999999999999999E-2</v>
      </c>
      <c r="AB7" s="10">
        <f t="shared" si="4"/>
        <v>1.4999999999999999E-2</v>
      </c>
      <c r="AC7" s="10">
        <f t="shared" si="4"/>
        <v>1.4999999999999999E-2</v>
      </c>
      <c r="AD7" s="10">
        <f t="shared" si="4"/>
        <v>1.4999999999999999E-2</v>
      </c>
    </row>
    <row r="8" spans="1:30" ht="15.6" x14ac:dyDescent="0.3">
      <c r="A8" s="7" t="s">
        <v>27</v>
      </c>
      <c r="B8" s="10">
        <f t="shared" ref="B8:AD8" si="5">B47/B11</f>
        <v>0.93531598513011149</v>
      </c>
      <c r="C8" s="10">
        <f t="shared" si="5"/>
        <v>0.94382388696065833</v>
      </c>
      <c r="D8" s="10">
        <f t="shared" si="5"/>
        <v>0.94236089959637204</v>
      </c>
      <c r="E8" s="10">
        <f t="shared" si="5"/>
        <v>0.95810155626066318</v>
      </c>
      <c r="F8" s="10">
        <f t="shared" si="5"/>
        <v>0.97778233139380299</v>
      </c>
      <c r="G8" s="10">
        <f t="shared" si="5"/>
        <v>0.99949830815471608</v>
      </c>
      <c r="H8" s="10">
        <f t="shared" si="5"/>
        <v>1.0198292462398997</v>
      </c>
      <c r="I8" s="10">
        <f t="shared" si="5"/>
        <v>1.0406836008383407</v>
      </c>
      <c r="J8" s="10">
        <f t="shared" si="5"/>
        <v>1.0593377090011136</v>
      </c>
      <c r="K8" s="10">
        <f t="shared" si="5"/>
        <v>1.0776010496587074</v>
      </c>
      <c r="L8" s="10">
        <f t="shared" si="5"/>
        <v>1.0982474680976095</v>
      </c>
      <c r="M8" s="10">
        <f t="shared" si="5"/>
        <v>1.1178208622425456</v>
      </c>
      <c r="N8" s="10">
        <f t="shared" si="5"/>
        <v>1.1395233432634349</v>
      </c>
      <c r="O8" s="10">
        <f t="shared" si="5"/>
        <v>1.1630400539228656</v>
      </c>
      <c r="P8" s="10">
        <f t="shared" si="5"/>
        <v>1.1884751956439266</v>
      </c>
      <c r="Q8" s="10">
        <f t="shared" si="5"/>
        <v>1.2158189382681901</v>
      </c>
      <c r="R8" s="10">
        <f t="shared" si="5"/>
        <v>1.2449477259625639</v>
      </c>
      <c r="S8" s="10">
        <f t="shared" si="5"/>
        <v>1.2760817644772762</v>
      </c>
      <c r="T8" s="10">
        <f t="shared" si="5"/>
        <v>1.3091019401039108</v>
      </c>
      <c r="U8" s="10">
        <f t="shared" si="5"/>
        <v>1.3526197648198566</v>
      </c>
      <c r="V8" s="10">
        <f t="shared" si="5"/>
        <v>1.3973249579837406</v>
      </c>
      <c r="W8" s="10">
        <f t="shared" si="5"/>
        <v>1.4434127020513277</v>
      </c>
      <c r="X8" s="10">
        <f t="shared" si="5"/>
        <v>1.4911416249485239</v>
      </c>
      <c r="Y8" s="10">
        <f t="shared" si="5"/>
        <v>1.5403961172053617</v>
      </c>
      <c r="Z8" s="10">
        <f t="shared" si="5"/>
        <v>1.5911931798745571</v>
      </c>
      <c r="AA8" s="10">
        <f t="shared" si="5"/>
        <v>1.6435425106953392</v>
      </c>
      <c r="AB8" s="10">
        <f t="shared" si="5"/>
        <v>1.6972911363051544</v>
      </c>
      <c r="AC8" s="10">
        <f t="shared" si="5"/>
        <v>1.7527525716467018</v>
      </c>
      <c r="AD8" s="10">
        <f t="shared" si="5"/>
        <v>1.8097819771843888</v>
      </c>
    </row>
    <row r="9" spans="1:30" ht="15.6" x14ac:dyDescent="0.3">
      <c r="A9" s="7" t="s">
        <v>28</v>
      </c>
      <c r="B9" s="10">
        <f t="shared" ref="B9:AD9" si="6">B51</f>
        <v>6.0418215613382932E-2</v>
      </c>
      <c r="C9" s="10">
        <f t="shared" si="6"/>
        <v>4.5655057615532429E-2</v>
      </c>
      <c r="D9" s="10">
        <f t="shared" si="6"/>
        <v>7.3705800818061329E-2</v>
      </c>
      <c r="E9" s="10">
        <f t="shared" si="6"/>
        <v>7.9325497348161661E-2</v>
      </c>
      <c r="F9" s="10">
        <f t="shared" si="6"/>
        <v>7.9586928803071236E-2</v>
      </c>
      <c r="G9" s="10">
        <f t="shared" si="6"/>
        <v>7.7237410025370296E-2</v>
      </c>
      <c r="H9" s="10">
        <f t="shared" si="6"/>
        <v>7.5906517082789088E-2</v>
      </c>
      <c r="I9" s="10">
        <f t="shared" si="6"/>
        <v>7.3951536572631149E-2</v>
      </c>
      <c r="J9" s="10">
        <f t="shared" si="6"/>
        <v>7.3975314924949229E-2</v>
      </c>
      <c r="K9" s="10">
        <f t="shared" si="6"/>
        <v>7.6986513552309288E-2</v>
      </c>
      <c r="L9" s="10">
        <f t="shared" si="6"/>
        <v>7.6694040205529973E-2</v>
      </c>
      <c r="M9" s="10">
        <f t="shared" si="6"/>
        <v>7.9704219192998138E-2</v>
      </c>
      <c r="N9" s="10">
        <f t="shared" si="6"/>
        <v>8.2599145398712173E-2</v>
      </c>
      <c r="O9" s="10">
        <f t="shared" si="6"/>
        <v>8.5690834140207978E-2</v>
      </c>
      <c r="P9" s="10">
        <f t="shared" si="6"/>
        <v>8.8864180900634124E-2</v>
      </c>
      <c r="Q9" s="10">
        <f t="shared" si="6"/>
        <v>9.212314262807958E-2</v>
      </c>
      <c r="R9" s="10">
        <f t="shared" si="6"/>
        <v>9.557616762081482E-2</v>
      </c>
      <c r="S9" s="10">
        <f t="shared" si="6"/>
        <v>9.89989134078718E-2</v>
      </c>
      <c r="T9" s="10">
        <f t="shared" si="6"/>
        <v>0.11155459888638448</v>
      </c>
      <c r="U9" s="10">
        <f t="shared" si="6"/>
        <v>0.11471117355886956</v>
      </c>
      <c r="V9" s="10">
        <f t="shared" si="6"/>
        <v>0.11825837917015355</v>
      </c>
      <c r="W9" s="10">
        <f t="shared" si="6"/>
        <v>0.12198777581963305</v>
      </c>
      <c r="X9" s="10">
        <f t="shared" si="6"/>
        <v>0.12565813967022407</v>
      </c>
      <c r="Y9" s="10">
        <f t="shared" si="6"/>
        <v>0.12940200575499822</v>
      </c>
      <c r="Z9" s="10">
        <f t="shared" si="6"/>
        <v>0.13321162234699271</v>
      </c>
      <c r="AA9" s="10">
        <f t="shared" si="6"/>
        <v>0.13708562040239808</v>
      </c>
      <c r="AB9" s="10">
        <f t="shared" si="6"/>
        <v>0.14117103609507084</v>
      </c>
      <c r="AC9" s="10">
        <f t="shared" si="6"/>
        <v>0.14516578782656661</v>
      </c>
      <c r="AD9" s="10">
        <f t="shared" si="6"/>
        <v>0.14922698919360911</v>
      </c>
    </row>
    <row r="10" spans="1:30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5.6" x14ac:dyDescent="0.3">
      <c r="A11" s="7" t="s">
        <v>29</v>
      </c>
      <c r="B11" s="6">
        <v>2690</v>
      </c>
      <c r="C11" s="11">
        <f t="shared" ref="C11:AD11" si="7">B11*(1+C13)</f>
        <v>2837.95</v>
      </c>
      <c r="D11" s="11">
        <f t="shared" si="7"/>
        <v>2979.8474999999999</v>
      </c>
      <c r="E11" s="11">
        <f t="shared" si="7"/>
        <v>3160.1282737500001</v>
      </c>
      <c r="F11" s="11">
        <f t="shared" si="7"/>
        <v>3352.8960984487499</v>
      </c>
      <c r="G11" s="11">
        <f t="shared" si="7"/>
        <v>3547.0287825489327</v>
      </c>
      <c r="H11" s="11">
        <f t="shared" si="7"/>
        <v>3744.9529886151636</v>
      </c>
      <c r="I11" s="11">
        <f t="shared" si="7"/>
        <v>3943.0610017129056</v>
      </c>
      <c r="J11" s="11">
        <f t="shared" si="7"/>
        <v>4148.8887860023196</v>
      </c>
      <c r="K11" s="11">
        <f t="shared" si="7"/>
        <v>4363.3863362386401</v>
      </c>
      <c r="L11" s="11">
        <f t="shared" si="7"/>
        <v>4587.2280552876819</v>
      </c>
      <c r="M11" s="11">
        <f t="shared" si="7"/>
        <v>4821.6354089128818</v>
      </c>
      <c r="N11" s="11">
        <f t="shared" si="7"/>
        <v>5067.0566512265468</v>
      </c>
      <c r="O11" s="11">
        <f t="shared" si="7"/>
        <v>5324.4631291088554</v>
      </c>
      <c r="P11" s="11">
        <f t="shared" si="7"/>
        <v>5594.4134097546739</v>
      </c>
      <c r="Q11" s="11">
        <f t="shared" si="7"/>
        <v>5877.4907282882605</v>
      </c>
      <c r="R11" s="11">
        <f t="shared" si="7"/>
        <v>6174.8917591396466</v>
      </c>
      <c r="S11" s="11">
        <f t="shared" si="7"/>
        <v>6486.7237929761986</v>
      </c>
      <c r="T11" s="11">
        <f t="shared" si="7"/>
        <v>6813.6546721421992</v>
      </c>
      <c r="U11" s="11">
        <f t="shared" si="7"/>
        <v>7156.3815021509517</v>
      </c>
      <c r="V11" s="11">
        <f t="shared" si="7"/>
        <v>7514.9162154087144</v>
      </c>
      <c r="W11" s="11">
        <f t="shared" si="7"/>
        <v>7890.6620261791504</v>
      </c>
      <c r="X11" s="11">
        <f t="shared" si="7"/>
        <v>8283.6169950828735</v>
      </c>
      <c r="Y11" s="11">
        <f t="shared" si="7"/>
        <v>8694.4843980389851</v>
      </c>
      <c r="Z11" s="11">
        <f t="shared" si="7"/>
        <v>9123.9919273021096</v>
      </c>
      <c r="AA11" s="11">
        <f t="shared" si="7"/>
        <v>9572.8923301253726</v>
      </c>
      <c r="AB11" s="11">
        <f t="shared" si="7"/>
        <v>10042.921343534528</v>
      </c>
      <c r="AC11" s="11">
        <f t="shared" si="7"/>
        <v>10534.020197233365</v>
      </c>
      <c r="AD11" s="11">
        <f t="shared" si="7"/>
        <v>11047.026980838629</v>
      </c>
    </row>
    <row r="12" spans="1:30" ht="15.6" x14ac:dyDescent="0.3">
      <c r="A12" s="7" t="s">
        <v>26</v>
      </c>
      <c r="B12" s="8">
        <v>4.0000000000000001E-3</v>
      </c>
      <c r="C12" s="10">
        <f t="shared" ref="C12:L12" si="8">C44</f>
        <v>3.0000000000000001E-3</v>
      </c>
      <c r="D12" s="10">
        <f t="shared" si="8"/>
        <v>8.0000000000000002E-3</v>
      </c>
      <c r="E12" s="10">
        <f t="shared" si="8"/>
        <v>1.9E-2</v>
      </c>
      <c r="F12" s="10">
        <f t="shared" si="8"/>
        <v>0.02</v>
      </c>
      <c r="G12" s="10">
        <f t="shared" si="8"/>
        <v>1.7999999999999999E-2</v>
      </c>
      <c r="H12" s="10">
        <f t="shared" si="8"/>
        <v>1.7000000000000001E-2</v>
      </c>
      <c r="I12" s="10">
        <f t="shared" si="8"/>
        <v>1.4999999999999999E-2</v>
      </c>
      <c r="J12" s="10">
        <f t="shared" si="8"/>
        <v>1.4999999999999999E-2</v>
      </c>
      <c r="K12" s="10">
        <f t="shared" si="8"/>
        <v>1.4999999999999999E-2</v>
      </c>
      <c r="L12" s="10">
        <f t="shared" si="8"/>
        <v>1.4999999999999999E-2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5.6" x14ac:dyDescent="0.3">
      <c r="A13" s="7" t="s">
        <v>30</v>
      </c>
      <c r="B13" s="8">
        <f t="shared" ref="B13:L13" si="9">(B38+B12)</f>
        <v>8.3000000000000004E-2</v>
      </c>
      <c r="C13" s="8">
        <f t="shared" si="9"/>
        <v>5.5E-2</v>
      </c>
      <c r="D13" s="8">
        <f t="shared" si="9"/>
        <v>0.05</v>
      </c>
      <c r="E13" s="8">
        <f t="shared" si="9"/>
        <v>6.0499999999999998E-2</v>
      </c>
      <c r="F13" s="8">
        <f t="shared" si="9"/>
        <v>6.0999999999999999E-2</v>
      </c>
      <c r="G13" s="8">
        <f t="shared" si="9"/>
        <v>5.7899999999999993E-2</v>
      </c>
      <c r="H13" s="8">
        <f t="shared" si="9"/>
        <v>5.5800000000000002E-2</v>
      </c>
      <c r="I13" s="8">
        <f t="shared" si="9"/>
        <v>5.2900000000000003E-2</v>
      </c>
      <c r="J13" s="8">
        <f t="shared" si="9"/>
        <v>5.2199999999999996E-2</v>
      </c>
      <c r="K13" s="8">
        <f t="shared" si="9"/>
        <v>5.1700000000000003E-2</v>
      </c>
      <c r="L13" s="8">
        <f t="shared" si="9"/>
        <v>5.1299999999999998E-2</v>
      </c>
      <c r="M13" s="24">
        <f t="shared" ref="M13:AD13" si="10">M7+M5</f>
        <v>5.11E-2</v>
      </c>
      <c r="N13" s="24">
        <f t="shared" si="10"/>
        <v>5.0900000000000001E-2</v>
      </c>
      <c r="O13" s="24">
        <f t="shared" si="10"/>
        <v>5.0799999999999998E-2</v>
      </c>
      <c r="P13" s="24">
        <f t="shared" si="10"/>
        <v>5.0699999999999995E-2</v>
      </c>
      <c r="Q13" s="24">
        <f t="shared" si="10"/>
        <v>5.0599999999999999E-2</v>
      </c>
      <c r="R13" s="24">
        <f t="shared" si="10"/>
        <v>5.0599999999999999E-2</v>
      </c>
      <c r="S13" s="24">
        <f t="shared" si="10"/>
        <v>5.0499999999999996E-2</v>
      </c>
      <c r="T13" s="24">
        <f t="shared" si="10"/>
        <v>5.04E-2</v>
      </c>
      <c r="U13" s="24">
        <f t="shared" si="10"/>
        <v>5.0299999999999997E-2</v>
      </c>
      <c r="V13" s="24">
        <f t="shared" si="10"/>
        <v>5.0099999999999999E-2</v>
      </c>
      <c r="W13" s="24">
        <f t="shared" si="10"/>
        <v>0.05</v>
      </c>
      <c r="X13" s="24">
        <f t="shared" si="10"/>
        <v>4.9799999999999997E-2</v>
      </c>
      <c r="Y13" s="24">
        <f t="shared" si="10"/>
        <v>4.9599999999999998E-2</v>
      </c>
      <c r="Z13" s="24">
        <f t="shared" si="10"/>
        <v>4.9399999999999999E-2</v>
      </c>
      <c r="AA13" s="24">
        <f t="shared" si="10"/>
        <v>4.9200000000000001E-2</v>
      </c>
      <c r="AB13" s="24">
        <f t="shared" si="10"/>
        <v>4.9099999999999998E-2</v>
      </c>
      <c r="AC13" s="24">
        <f t="shared" si="10"/>
        <v>4.8899999999999999E-2</v>
      </c>
      <c r="AD13" s="24">
        <f t="shared" si="10"/>
        <v>4.87E-2</v>
      </c>
    </row>
    <row r="14" spans="1:30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5.6" x14ac:dyDescent="0.3">
      <c r="A16" s="6" t="s">
        <v>32</v>
      </c>
      <c r="B16" s="11">
        <v>380.78800000000001</v>
      </c>
      <c r="C16" s="11">
        <f t="shared" ref="C16:L16" si="11">B16*1.01*(1+C5)</f>
        <v>404.59486576000006</v>
      </c>
      <c r="D16" s="11">
        <f t="shared" si="11"/>
        <v>425.80372862313925</v>
      </c>
      <c r="E16" s="11">
        <f t="shared" si="11"/>
        <v>447.9093291946096</v>
      </c>
      <c r="F16" s="11">
        <f t="shared" si="11"/>
        <v>470.93634780850442</v>
      </c>
      <c r="G16" s="11">
        <f t="shared" si="11"/>
        <v>494.62397516692442</v>
      </c>
      <c r="H16" s="11">
        <f t="shared" si="11"/>
        <v>518.95353925743507</v>
      </c>
      <c r="I16" s="11">
        <f t="shared" si="11"/>
        <v>544.00809717924483</v>
      </c>
      <c r="J16" s="11">
        <f t="shared" si="11"/>
        <v>569.88765037825578</v>
      </c>
      <c r="K16" s="11">
        <f t="shared" si="11"/>
        <v>596.71055241860915</v>
      </c>
      <c r="L16" s="11">
        <f t="shared" si="11"/>
        <v>624.55485692611865</v>
      </c>
      <c r="M16" s="11">
        <f t="shared" ref="M16:AD16" si="12">L16*1.0116*(1+M5)</f>
        <v>654.60766219338097</v>
      </c>
      <c r="N16" s="11">
        <f t="shared" si="12"/>
        <v>685.97413096241041</v>
      </c>
      <c r="O16" s="11">
        <f t="shared" si="12"/>
        <v>718.77417610713485</v>
      </c>
      <c r="P16" s="11">
        <f t="shared" si="12"/>
        <v>753.06985339881192</v>
      </c>
      <c r="Q16" s="11">
        <f t="shared" si="12"/>
        <v>788.92573820589553</v>
      </c>
      <c r="R16" s="11">
        <f t="shared" si="12"/>
        <v>826.4888278220634</v>
      </c>
      <c r="S16" s="11">
        <f t="shared" si="12"/>
        <v>865.75679971177976</v>
      </c>
      <c r="T16" s="11">
        <f t="shared" si="12"/>
        <v>906.80288367046717</v>
      </c>
      <c r="U16" s="11">
        <f t="shared" si="12"/>
        <v>949.70325655941735</v>
      </c>
      <c r="V16" s="11">
        <f t="shared" si="12"/>
        <v>994.44107981868285</v>
      </c>
      <c r="W16" s="11">
        <f t="shared" si="12"/>
        <v>1041.18577721664</v>
      </c>
      <c r="X16" s="11">
        <f t="shared" si="12"/>
        <v>1089.9171031540388</v>
      </c>
      <c r="Y16" s="11">
        <f t="shared" si="12"/>
        <v>1140.7087224482773</v>
      </c>
      <c r="Z16" s="11">
        <f t="shared" si="12"/>
        <v>1193.6365120895039</v>
      </c>
      <c r="AA16" s="11">
        <f t="shared" si="12"/>
        <v>1248.7786038202794</v>
      </c>
      <c r="AB16" s="11">
        <f t="shared" si="12"/>
        <v>1306.3417528793934</v>
      </c>
      <c r="AC16" s="11">
        <f t="shared" si="12"/>
        <v>1366.2940084663082</v>
      </c>
      <c r="AD16" s="11">
        <f t="shared" si="12"/>
        <v>1428.7212387036218</v>
      </c>
    </row>
    <row r="17" spans="1:30" ht="15.6" x14ac:dyDescent="0.3">
      <c r="A17" s="6" t="s">
        <v>33</v>
      </c>
      <c r="B17" s="11">
        <v>224</v>
      </c>
      <c r="C17" s="11">
        <f t="shared" ref="C17:L17" si="13">C11*(0.083)+(B17*0.0109)</f>
        <v>237.99144999999999</v>
      </c>
      <c r="D17" s="11">
        <f t="shared" si="13"/>
        <v>249.92144930500001</v>
      </c>
      <c r="E17" s="11">
        <f t="shared" si="13"/>
        <v>265.01479051867454</v>
      </c>
      <c r="F17" s="11">
        <f t="shared" si="13"/>
        <v>281.17903738789977</v>
      </c>
      <c r="G17" s="11">
        <f t="shared" si="13"/>
        <v>297.46824045908954</v>
      </c>
      <c r="H17" s="11">
        <f t="shared" si="13"/>
        <v>314.07350187606266</v>
      </c>
      <c r="I17" s="11">
        <f t="shared" si="13"/>
        <v>330.6974643126203</v>
      </c>
      <c r="J17" s="11">
        <f t="shared" si="13"/>
        <v>347.96237159920008</v>
      </c>
      <c r="K17" s="11">
        <f t="shared" si="13"/>
        <v>365.95385575823843</v>
      </c>
      <c r="L17" s="11">
        <f t="shared" si="13"/>
        <v>384.72882561664238</v>
      </c>
      <c r="M17" s="11">
        <f t="shared" ref="M17:AD17" si="14">M11*(0.083)+(L17*0.0116)</f>
        <v>404.65859331692229</v>
      </c>
      <c r="N17" s="11">
        <f t="shared" si="14"/>
        <v>425.25974173427966</v>
      </c>
      <c r="O17" s="11">
        <f t="shared" si="14"/>
        <v>446.86345272015268</v>
      </c>
      <c r="P17" s="11">
        <f t="shared" si="14"/>
        <v>469.5199290611917</v>
      </c>
      <c r="Q17" s="11">
        <f t="shared" si="14"/>
        <v>493.27816162503547</v>
      </c>
      <c r="R17" s="11">
        <f t="shared" si="14"/>
        <v>518.23804268344111</v>
      </c>
      <c r="S17" s="11">
        <f t="shared" si="14"/>
        <v>544.40963611215238</v>
      </c>
      <c r="T17" s="11">
        <f t="shared" si="14"/>
        <v>571.84848956670351</v>
      </c>
      <c r="U17" s="11">
        <f t="shared" si="14"/>
        <v>600.61310715750278</v>
      </c>
      <c r="V17" s="11">
        <f t="shared" si="14"/>
        <v>630.70515792195033</v>
      </c>
      <c r="W17" s="11">
        <f t="shared" si="14"/>
        <v>662.24112800476416</v>
      </c>
      <c r="X17" s="11">
        <f t="shared" si="14"/>
        <v>695.22220767673389</v>
      </c>
      <c r="Y17" s="11">
        <f t="shared" si="14"/>
        <v>729.706782646286</v>
      </c>
      <c r="Z17" s="11">
        <f t="shared" si="14"/>
        <v>765.7559286447721</v>
      </c>
      <c r="AA17" s="11">
        <f t="shared" si="14"/>
        <v>803.43283217268538</v>
      </c>
      <c r="AB17" s="11">
        <f t="shared" si="14"/>
        <v>842.882292366569</v>
      </c>
      <c r="AC17" s="11">
        <f t="shared" si="14"/>
        <v>884.10111096182163</v>
      </c>
      <c r="AD17" s="11">
        <f t="shared" si="14"/>
        <v>927.15881229676336</v>
      </c>
    </row>
    <row r="18" spans="1:30" ht="15.6" x14ac:dyDescent="0.3">
      <c r="A18" s="6" t="s">
        <v>34</v>
      </c>
      <c r="B18" s="11">
        <v>124.276</v>
      </c>
      <c r="C18" s="11">
        <v>130.46700000000001</v>
      </c>
      <c r="D18" s="11">
        <f t="shared" ref="D18:AD18" si="15">D11*0.0547</f>
        <v>162.99765825</v>
      </c>
      <c r="E18" s="11">
        <f t="shared" si="15"/>
        <v>172.85901657412501</v>
      </c>
      <c r="F18" s="11">
        <f t="shared" si="15"/>
        <v>183.4034165851466</v>
      </c>
      <c r="G18" s="11">
        <f t="shared" si="15"/>
        <v>194.02247440542661</v>
      </c>
      <c r="H18" s="11">
        <f t="shared" si="15"/>
        <v>204.84892847724944</v>
      </c>
      <c r="I18" s="11">
        <f t="shared" si="15"/>
        <v>215.68543679369594</v>
      </c>
      <c r="J18" s="11">
        <f t="shared" si="15"/>
        <v>226.94421659432689</v>
      </c>
      <c r="K18" s="11">
        <f t="shared" si="15"/>
        <v>238.6772325922536</v>
      </c>
      <c r="L18" s="11">
        <f t="shared" si="15"/>
        <v>250.92137462423619</v>
      </c>
      <c r="M18" s="11">
        <f t="shared" si="15"/>
        <v>263.74345686753463</v>
      </c>
      <c r="N18" s="11">
        <f t="shared" si="15"/>
        <v>277.1679988220921</v>
      </c>
      <c r="O18" s="11">
        <f t="shared" si="15"/>
        <v>291.24813316225436</v>
      </c>
      <c r="P18" s="11">
        <f t="shared" si="15"/>
        <v>306.01441351358068</v>
      </c>
      <c r="Q18" s="11">
        <f t="shared" si="15"/>
        <v>321.49874283736784</v>
      </c>
      <c r="R18" s="11">
        <f t="shared" si="15"/>
        <v>337.76657922493865</v>
      </c>
      <c r="S18" s="11">
        <f t="shared" si="15"/>
        <v>354.82379147579803</v>
      </c>
      <c r="T18" s="11">
        <f t="shared" si="15"/>
        <v>372.70691056617829</v>
      </c>
      <c r="U18" s="11">
        <f t="shared" si="15"/>
        <v>391.45406816765706</v>
      </c>
      <c r="V18" s="11">
        <f t="shared" si="15"/>
        <v>411.06591698285666</v>
      </c>
      <c r="W18" s="11">
        <f t="shared" si="15"/>
        <v>431.6192128319995</v>
      </c>
      <c r="X18" s="11">
        <f t="shared" si="15"/>
        <v>453.11384963103319</v>
      </c>
      <c r="Y18" s="11">
        <f t="shared" si="15"/>
        <v>475.58829657273247</v>
      </c>
      <c r="Z18" s="11">
        <f t="shared" si="15"/>
        <v>499.08235842342538</v>
      </c>
      <c r="AA18" s="11">
        <f t="shared" si="15"/>
        <v>523.63721045785792</v>
      </c>
      <c r="AB18" s="11">
        <f t="shared" si="15"/>
        <v>549.34779749133872</v>
      </c>
      <c r="AC18" s="11">
        <f t="shared" si="15"/>
        <v>576.21090478866506</v>
      </c>
      <c r="AD18" s="11">
        <f t="shared" si="15"/>
        <v>604.27237585187299</v>
      </c>
    </row>
    <row r="19" spans="1:30" ht="15.6" x14ac:dyDescent="0.3">
      <c r="A19" s="6" t="s">
        <v>35</v>
      </c>
      <c r="B19" s="11">
        <f>168-B32</f>
        <v>61</v>
      </c>
      <c r="C19" s="34">
        <f>B19*(1+C13)</f>
        <v>64.35499999999999</v>
      </c>
      <c r="D19" s="34">
        <f t="shared" ref="D19:AD19" si="16">C19*(1+D13)</f>
        <v>67.572749999999999</v>
      </c>
      <c r="E19" s="34">
        <f t="shared" si="16"/>
        <v>71.660901374999995</v>
      </c>
      <c r="F19" s="34">
        <f t="shared" si="16"/>
        <v>76.03221635887499</v>
      </c>
      <c r="G19" s="34">
        <f t="shared" si="16"/>
        <v>80.434481686053857</v>
      </c>
      <c r="H19" s="34">
        <f t="shared" si="16"/>
        <v>84.922725764135663</v>
      </c>
      <c r="I19" s="34">
        <f t="shared" si="16"/>
        <v>89.415137957058434</v>
      </c>
      <c r="J19" s="34">
        <f t="shared" si="16"/>
        <v>94.082608158416889</v>
      </c>
      <c r="K19" s="34">
        <f t="shared" si="16"/>
        <v>98.946679000207055</v>
      </c>
      <c r="L19" s="34">
        <f t="shared" si="16"/>
        <v>104.02264363291766</v>
      </c>
      <c r="M19" s="34">
        <f t="shared" si="16"/>
        <v>109.33820072255975</v>
      </c>
      <c r="N19" s="34">
        <f t="shared" si="16"/>
        <v>114.90351513933803</v>
      </c>
      <c r="O19" s="34">
        <f t="shared" si="16"/>
        <v>120.74061370841639</v>
      </c>
      <c r="P19" s="34">
        <f t="shared" si="16"/>
        <v>126.8621628234331</v>
      </c>
      <c r="Q19" s="34">
        <f t="shared" si="16"/>
        <v>133.2813882622988</v>
      </c>
      <c r="R19" s="34">
        <f t="shared" si="16"/>
        <v>140.02542650837111</v>
      </c>
      <c r="S19" s="34">
        <f t="shared" si="16"/>
        <v>147.09671054704384</v>
      </c>
      <c r="T19" s="34">
        <f t="shared" si="16"/>
        <v>154.51038475861486</v>
      </c>
      <c r="U19" s="34">
        <f t="shared" si="16"/>
        <v>162.28225711197319</v>
      </c>
      <c r="V19" s="34">
        <f t="shared" si="16"/>
        <v>170.41259819328306</v>
      </c>
      <c r="W19" s="34">
        <f t="shared" si="16"/>
        <v>178.93322810294723</v>
      </c>
      <c r="X19" s="34">
        <f t="shared" si="16"/>
        <v>187.84410286247402</v>
      </c>
      <c r="Y19" s="34">
        <f t="shared" si="16"/>
        <v>197.16117036445274</v>
      </c>
      <c r="Z19" s="34">
        <f t="shared" si="16"/>
        <v>206.90093218045669</v>
      </c>
      <c r="AA19" s="34">
        <f t="shared" si="16"/>
        <v>217.08045804373515</v>
      </c>
      <c r="AB19" s="34">
        <f t="shared" si="16"/>
        <v>227.73910853368253</v>
      </c>
      <c r="AC19" s="34">
        <f t="shared" si="16"/>
        <v>238.87555094097959</v>
      </c>
      <c r="AD19" s="34">
        <f t="shared" si="16"/>
        <v>250.50879027180528</v>
      </c>
    </row>
    <row r="20" spans="1:30" ht="15.6" x14ac:dyDescent="0.3">
      <c r="A20" s="6" t="s">
        <v>36</v>
      </c>
      <c r="B20" s="11">
        <v>128</v>
      </c>
      <c r="C20" s="11">
        <v>79.760000000000005</v>
      </c>
      <c r="D20" s="11">
        <f t="shared" ref="D20:AD20" si="17">((D11*0.011)/27.8)*100</f>
        <v>117.90763489208631</v>
      </c>
      <c r="E20" s="11">
        <f t="shared" si="17"/>
        <v>125.04104680305754</v>
      </c>
      <c r="F20" s="11">
        <f t="shared" si="17"/>
        <v>132.66855065804404</v>
      </c>
      <c r="G20" s="11">
        <f t="shared" si="17"/>
        <v>140.3500597411448</v>
      </c>
      <c r="H20" s="11">
        <f t="shared" si="17"/>
        <v>148.18159307470071</v>
      </c>
      <c r="I20" s="11">
        <f t="shared" si="17"/>
        <v>156.02039934835236</v>
      </c>
      <c r="J20" s="11">
        <f t="shared" si="17"/>
        <v>164.16466419433638</v>
      </c>
      <c r="K20" s="11">
        <f t="shared" si="17"/>
        <v>172.65197733318359</v>
      </c>
      <c r="L20" s="11">
        <f t="shared" si="17"/>
        <v>181.50902377037588</v>
      </c>
      <c r="M20" s="11">
        <f t="shared" si="17"/>
        <v>190.78413488504208</v>
      </c>
      <c r="N20" s="11">
        <f t="shared" si="17"/>
        <v>200.49504735069067</v>
      </c>
      <c r="O20" s="11">
        <f t="shared" si="17"/>
        <v>210.68019575610575</v>
      </c>
      <c r="P20" s="11">
        <f t="shared" si="17"/>
        <v>221.36168168094034</v>
      </c>
      <c r="Q20" s="11">
        <f t="shared" si="17"/>
        <v>232.56258277399587</v>
      </c>
      <c r="R20" s="11">
        <f t="shared" si="17"/>
        <v>244.33024946236009</v>
      </c>
      <c r="S20" s="11">
        <f t="shared" si="17"/>
        <v>256.66892706020923</v>
      </c>
      <c r="T20" s="11">
        <f t="shared" si="17"/>
        <v>269.6050409840438</v>
      </c>
      <c r="U20" s="11">
        <f t="shared" si="17"/>
        <v>283.1661745455412</v>
      </c>
      <c r="V20" s="11">
        <f t="shared" si="17"/>
        <v>297.35279989027282</v>
      </c>
      <c r="W20" s="11">
        <f t="shared" si="17"/>
        <v>312.22043988478651</v>
      </c>
      <c r="X20" s="11">
        <f t="shared" si="17"/>
        <v>327.7690177910489</v>
      </c>
      <c r="Y20" s="11">
        <f t="shared" si="17"/>
        <v>344.02636107348496</v>
      </c>
      <c r="Z20" s="11">
        <f t="shared" si="17"/>
        <v>361.02126331051511</v>
      </c>
      <c r="AA20" s="11">
        <f t="shared" si="17"/>
        <v>378.78350946539246</v>
      </c>
      <c r="AB20" s="11">
        <f t="shared" si="17"/>
        <v>397.38177978014318</v>
      </c>
      <c r="AC20" s="11">
        <f t="shared" si="17"/>
        <v>416.81374881139209</v>
      </c>
      <c r="AD20" s="11">
        <f t="shared" si="17"/>
        <v>437.1125783785069</v>
      </c>
    </row>
    <row r="21" spans="1:30" ht="15.6" x14ac:dyDescent="0.3">
      <c r="A21" s="6" t="s">
        <v>37</v>
      </c>
      <c r="B21" s="10">
        <v>2.2700000000000001E-2</v>
      </c>
      <c r="C21" s="54">
        <v>2.3E-2</v>
      </c>
      <c r="D21" s="54">
        <v>2.3285714279999998E-2</v>
      </c>
      <c r="E21" s="54">
        <v>2.3571428559999996E-2</v>
      </c>
      <c r="F21" s="54">
        <v>2.3857142839999994E-2</v>
      </c>
      <c r="G21" s="54">
        <v>2.4142857119999993E-2</v>
      </c>
      <c r="H21" s="54">
        <v>2.4428571399999991E-2</v>
      </c>
      <c r="I21" s="54">
        <v>2.4714285679999989E-2</v>
      </c>
      <c r="J21" s="54">
        <v>2.4999999959999988E-2</v>
      </c>
      <c r="K21" s="54">
        <v>2.5000000000000001E-2</v>
      </c>
      <c r="L21" s="54">
        <v>2.5000000000000001E-2</v>
      </c>
      <c r="M21" s="54">
        <v>2.5000000000000001E-2</v>
      </c>
      <c r="N21" s="54">
        <v>2.5000000000000001E-2</v>
      </c>
      <c r="O21" s="54">
        <v>2.5000000000000001E-2</v>
      </c>
      <c r="P21" s="54">
        <v>2.5000000000000001E-2</v>
      </c>
      <c r="Q21" s="54">
        <v>2.5000000000000001E-2</v>
      </c>
      <c r="R21" s="54">
        <v>2.5000000000000001E-2</v>
      </c>
      <c r="S21" s="54">
        <v>2.5000000000000001E-2</v>
      </c>
      <c r="T21" s="54">
        <v>2.5000000000000001E-2</v>
      </c>
      <c r="U21" s="54">
        <v>2.5000000000000001E-2</v>
      </c>
      <c r="V21" s="54">
        <v>2.5000000000000001E-2</v>
      </c>
      <c r="W21" s="54">
        <v>2.5000000000000001E-2</v>
      </c>
      <c r="X21" s="54">
        <v>2.5000000000000001E-2</v>
      </c>
      <c r="Y21" s="54">
        <v>2.5000000000000001E-2</v>
      </c>
      <c r="Z21" s="54">
        <v>2.5000000000000001E-2</v>
      </c>
      <c r="AA21" s="54">
        <v>2.5000000000000001E-2</v>
      </c>
      <c r="AB21" s="54">
        <v>2.5000000000000001E-2</v>
      </c>
      <c r="AC21" s="54">
        <v>2.5000000000000001E-2</v>
      </c>
      <c r="AD21" s="54">
        <v>2.5000000000000001E-2</v>
      </c>
    </row>
    <row r="22" spans="1:30" ht="15.6" x14ac:dyDescent="0.3">
      <c r="A22" s="6" t="s">
        <v>38</v>
      </c>
      <c r="B22" s="11">
        <v>53</v>
      </c>
      <c r="C22" s="11">
        <f t="shared" ref="C22:AD22" si="18">C11*C21</f>
        <v>65.272849999999991</v>
      </c>
      <c r="D22" s="11">
        <f t="shared" si="18"/>
        <v>69.387877482972286</v>
      </c>
      <c r="E22" s="11">
        <f t="shared" si="18"/>
        <v>74.488737845134239</v>
      </c>
      <c r="F22" s="11">
        <f t="shared" si="18"/>
        <v>79.990521148370505</v>
      </c>
      <c r="G22" s="11">
        <f t="shared" si="18"/>
        <v>85.635409097606399</v>
      </c>
      <c r="H22" s="11">
        <f t="shared" si="18"/>
        <v>91.483851472028874</v>
      </c>
      <c r="I22" s="11">
        <f t="shared" si="18"/>
        <v>97.449936049999678</v>
      </c>
      <c r="J22" s="11">
        <f t="shared" si="18"/>
        <v>103.72221948410238</v>
      </c>
      <c r="K22" s="11">
        <f t="shared" si="18"/>
        <v>109.08465840596601</v>
      </c>
      <c r="L22" s="11">
        <f t="shared" si="18"/>
        <v>114.68070138219205</v>
      </c>
      <c r="M22" s="11">
        <f t="shared" si="18"/>
        <v>120.54088522282206</v>
      </c>
      <c r="N22" s="11">
        <f t="shared" si="18"/>
        <v>126.67641628066367</v>
      </c>
      <c r="O22" s="11">
        <f t="shared" si="18"/>
        <v>133.1115782277214</v>
      </c>
      <c r="P22" s="11">
        <f t="shared" si="18"/>
        <v>139.86033524386684</v>
      </c>
      <c r="Q22" s="11">
        <f t="shared" si="18"/>
        <v>146.93726820720653</v>
      </c>
      <c r="R22" s="11">
        <f t="shared" si="18"/>
        <v>154.37229397849117</v>
      </c>
      <c r="S22" s="11">
        <f t="shared" si="18"/>
        <v>162.16809482440499</v>
      </c>
      <c r="T22" s="11">
        <f t="shared" si="18"/>
        <v>170.34136680355499</v>
      </c>
      <c r="U22" s="11">
        <f t="shared" si="18"/>
        <v>178.90953755377382</v>
      </c>
      <c r="V22" s="11">
        <f t="shared" si="18"/>
        <v>187.87290538521788</v>
      </c>
      <c r="W22" s="11">
        <f t="shared" si="18"/>
        <v>197.26655065447878</v>
      </c>
      <c r="X22" s="11">
        <f t="shared" si="18"/>
        <v>207.09042487707185</v>
      </c>
      <c r="Y22" s="11">
        <f t="shared" si="18"/>
        <v>217.36210995097463</v>
      </c>
      <c r="Z22" s="11">
        <f t="shared" si="18"/>
        <v>228.09979818255275</v>
      </c>
      <c r="AA22" s="11">
        <f t="shared" si="18"/>
        <v>239.32230825313434</v>
      </c>
      <c r="AB22" s="11">
        <f t="shared" si="18"/>
        <v>251.07303358836322</v>
      </c>
      <c r="AC22" s="11">
        <f t="shared" si="18"/>
        <v>263.35050493083412</v>
      </c>
      <c r="AD22" s="11">
        <f t="shared" si="18"/>
        <v>276.17567452096574</v>
      </c>
    </row>
    <row r="23" spans="1:30" ht="15.6" x14ac:dyDescent="0.3">
      <c r="A23" s="6" t="s">
        <v>39</v>
      </c>
      <c r="B23" s="50">
        <v>107.81100000000001</v>
      </c>
      <c r="C23" s="11">
        <f>B23*(1+C13)</f>
        <v>113.740605</v>
      </c>
      <c r="D23" s="11">
        <f t="shared" ref="D23:AD23" si="19">C23*(1+D13)</f>
        <v>119.42763525000001</v>
      </c>
      <c r="E23" s="11">
        <f t="shared" si="19"/>
        <v>126.653007182625</v>
      </c>
      <c r="F23" s="11">
        <f t="shared" si="19"/>
        <v>134.37884062076512</v>
      </c>
      <c r="G23" s="11">
        <f t="shared" si="19"/>
        <v>142.15937549270743</v>
      </c>
      <c r="H23" s="11">
        <f t="shared" si="19"/>
        <v>150.09186864520052</v>
      </c>
      <c r="I23" s="11">
        <f t="shared" si="19"/>
        <v>158.03172849653163</v>
      </c>
      <c r="J23" s="11">
        <f t="shared" si="19"/>
        <v>166.28098472405057</v>
      </c>
      <c r="K23" s="11">
        <f t="shared" si="19"/>
        <v>174.877711634284</v>
      </c>
      <c r="L23" s="11">
        <f t="shared" si="19"/>
        <v>183.84893824112274</v>
      </c>
      <c r="M23" s="11">
        <f t="shared" si="19"/>
        <v>193.2436189852441</v>
      </c>
      <c r="N23" s="11">
        <f t="shared" si="19"/>
        <v>203.079719191593</v>
      </c>
      <c r="O23" s="11">
        <f t="shared" si="19"/>
        <v>213.39616892652592</v>
      </c>
      <c r="P23" s="11">
        <f t="shared" si="19"/>
        <v>224.21535469110077</v>
      </c>
      <c r="Q23" s="11">
        <f t="shared" si="19"/>
        <v>235.56065163847046</v>
      </c>
      <c r="R23" s="11">
        <f t="shared" si="19"/>
        <v>247.48002061137706</v>
      </c>
      <c r="S23" s="11">
        <f t="shared" si="19"/>
        <v>259.97776165225162</v>
      </c>
      <c r="T23" s="11">
        <f t="shared" si="19"/>
        <v>273.08064083952507</v>
      </c>
      <c r="U23" s="11">
        <f t="shared" si="19"/>
        <v>286.8165970737532</v>
      </c>
      <c r="V23" s="11">
        <f t="shared" si="19"/>
        <v>301.18610858714823</v>
      </c>
      <c r="W23" s="11">
        <f t="shared" si="19"/>
        <v>316.24541401650566</v>
      </c>
      <c r="X23" s="11">
        <f t="shared" si="19"/>
        <v>331.99443563452769</v>
      </c>
      <c r="Y23" s="11">
        <f t="shared" si="19"/>
        <v>348.46135964200028</v>
      </c>
      <c r="Z23" s="11">
        <f t="shared" si="19"/>
        <v>365.67535080831505</v>
      </c>
      <c r="AA23" s="11">
        <f t="shared" si="19"/>
        <v>383.66657806808411</v>
      </c>
      <c r="AB23" s="11">
        <f t="shared" si="19"/>
        <v>402.50460705122703</v>
      </c>
      <c r="AC23" s="11">
        <f t="shared" si="19"/>
        <v>422.18708233603201</v>
      </c>
      <c r="AD23" s="11">
        <f t="shared" si="19"/>
        <v>442.74759324579674</v>
      </c>
    </row>
    <row r="24" spans="1:30" ht="15.6" x14ac:dyDescent="0.3">
      <c r="A24" s="6" t="s">
        <v>86</v>
      </c>
      <c r="B24" s="50">
        <f t="shared" ref="B24:J24" si="20">4.38/1.2</f>
        <v>3.65</v>
      </c>
      <c r="C24" s="50">
        <f t="shared" si="20"/>
        <v>3.65</v>
      </c>
      <c r="D24" s="50">
        <f t="shared" si="20"/>
        <v>3.65</v>
      </c>
      <c r="E24" s="50">
        <f t="shared" si="20"/>
        <v>3.65</v>
      </c>
      <c r="F24" s="50">
        <f t="shared" si="20"/>
        <v>3.65</v>
      </c>
      <c r="G24" s="50">
        <f t="shared" si="20"/>
        <v>3.65</v>
      </c>
      <c r="H24" s="50">
        <f t="shared" si="20"/>
        <v>3.65</v>
      </c>
      <c r="I24" s="50">
        <f t="shared" si="20"/>
        <v>3.65</v>
      </c>
      <c r="J24" s="50">
        <f t="shared" si="20"/>
        <v>3.65</v>
      </c>
      <c r="K24" s="50">
        <f t="shared" ref="K24:S24" si="21">21.2/1.2</f>
        <v>17.666666666666668</v>
      </c>
      <c r="L24" s="50">
        <f t="shared" si="21"/>
        <v>17.666666666666668</v>
      </c>
      <c r="M24" s="50">
        <f t="shared" si="21"/>
        <v>17.666666666666668</v>
      </c>
      <c r="N24" s="50">
        <f t="shared" si="21"/>
        <v>17.666666666666668</v>
      </c>
      <c r="O24" s="50">
        <f t="shared" si="21"/>
        <v>17.666666666666668</v>
      </c>
      <c r="P24" s="50">
        <f t="shared" si="21"/>
        <v>17.666666666666668</v>
      </c>
      <c r="Q24" s="50">
        <f t="shared" si="21"/>
        <v>17.666666666666668</v>
      </c>
      <c r="R24" s="50">
        <f t="shared" si="21"/>
        <v>17.666666666666668</v>
      </c>
      <c r="S24" s="50">
        <f t="shared" si="21"/>
        <v>17.666666666666668</v>
      </c>
      <c r="T24" s="50">
        <f t="shared" ref="T24:AD24" si="22">(951.6402/10)/1.2</f>
        <v>79.303350000000009</v>
      </c>
      <c r="U24" s="50">
        <f t="shared" si="22"/>
        <v>79.303350000000009</v>
      </c>
      <c r="V24" s="50">
        <f t="shared" si="22"/>
        <v>79.303350000000009</v>
      </c>
      <c r="W24" s="50">
        <f t="shared" si="22"/>
        <v>79.303350000000009</v>
      </c>
      <c r="X24" s="50">
        <f t="shared" si="22"/>
        <v>79.303350000000009</v>
      </c>
      <c r="Y24" s="50">
        <f t="shared" si="22"/>
        <v>79.303350000000009</v>
      </c>
      <c r="Z24" s="50">
        <f t="shared" si="22"/>
        <v>79.303350000000009</v>
      </c>
      <c r="AA24" s="50">
        <f t="shared" si="22"/>
        <v>79.303350000000009</v>
      </c>
      <c r="AB24" s="50">
        <f t="shared" si="22"/>
        <v>79.303350000000009</v>
      </c>
      <c r="AC24" s="50">
        <f t="shared" si="22"/>
        <v>79.303350000000009</v>
      </c>
      <c r="AD24" s="50">
        <f t="shared" si="22"/>
        <v>79.303350000000009</v>
      </c>
    </row>
    <row r="25" spans="1:30" ht="15.6" x14ac:dyDescent="0.3">
      <c r="A25" s="7" t="s">
        <v>40</v>
      </c>
      <c r="B25" s="16">
        <f t="shared" ref="B25:AD25" si="23">SUM(B16:B24) -B21</f>
        <v>1082.5250000000001</v>
      </c>
      <c r="C25" s="16">
        <f t="shared" si="23"/>
        <v>1099.8317707600002</v>
      </c>
      <c r="D25" s="16">
        <f t="shared" si="23"/>
        <v>1216.6687338031979</v>
      </c>
      <c r="E25" s="16">
        <f t="shared" si="23"/>
        <v>1287.2768294932262</v>
      </c>
      <c r="F25" s="16">
        <f t="shared" si="23"/>
        <v>1362.2389305676056</v>
      </c>
      <c r="G25" s="16">
        <f t="shared" si="23"/>
        <v>1438.3440160489531</v>
      </c>
      <c r="H25" s="16">
        <f t="shared" si="23"/>
        <v>1516.2060085668131</v>
      </c>
      <c r="I25" s="16">
        <f t="shared" si="23"/>
        <v>1594.9582001375036</v>
      </c>
      <c r="J25" s="16">
        <f t="shared" si="23"/>
        <v>1676.694715132689</v>
      </c>
      <c r="K25" s="16">
        <f t="shared" si="23"/>
        <v>1774.5693338094084</v>
      </c>
      <c r="L25" s="16">
        <f t="shared" si="23"/>
        <v>1861.9330308602723</v>
      </c>
      <c r="M25" s="16">
        <f t="shared" si="23"/>
        <v>1954.5832188601728</v>
      </c>
      <c r="N25" s="16">
        <f t="shared" si="23"/>
        <v>2051.223236147734</v>
      </c>
      <c r="O25" s="16">
        <f t="shared" si="23"/>
        <v>2152.4809852749781</v>
      </c>
      <c r="P25" s="16">
        <f t="shared" si="23"/>
        <v>2258.5703970795917</v>
      </c>
      <c r="Q25" s="16">
        <f t="shared" si="23"/>
        <v>2369.7112002169374</v>
      </c>
      <c r="R25" s="16">
        <f t="shared" si="23"/>
        <v>2486.3681069577087</v>
      </c>
      <c r="S25" s="16">
        <f t="shared" si="23"/>
        <v>2608.5683880503066</v>
      </c>
      <c r="T25" s="16">
        <f t="shared" si="23"/>
        <v>2798.1990671890881</v>
      </c>
      <c r="U25" s="16">
        <f t="shared" si="23"/>
        <v>2932.248348169619</v>
      </c>
      <c r="V25" s="16">
        <f t="shared" si="23"/>
        <v>3072.3399167794123</v>
      </c>
      <c r="W25" s="16">
        <f t="shared" si="23"/>
        <v>3219.0151007121217</v>
      </c>
      <c r="X25" s="16">
        <f t="shared" si="23"/>
        <v>3372.2544916269285</v>
      </c>
      <c r="Y25" s="16">
        <f t="shared" si="23"/>
        <v>3532.3181526982085</v>
      </c>
      <c r="Z25" s="16">
        <f t="shared" si="23"/>
        <v>3699.4754936395411</v>
      </c>
      <c r="AA25" s="16">
        <f t="shared" si="23"/>
        <v>3874.0048502811687</v>
      </c>
      <c r="AB25" s="16">
        <f t="shared" si="23"/>
        <v>4056.5737216907173</v>
      </c>
      <c r="AC25" s="16">
        <f t="shared" si="23"/>
        <v>4247.1362612360335</v>
      </c>
      <c r="AD25" s="16">
        <f t="shared" si="23"/>
        <v>4446.000413269333</v>
      </c>
    </row>
    <row r="26" spans="1:30" ht="15.6" x14ac:dyDescent="0.3">
      <c r="A26" s="7"/>
      <c r="B26" s="17"/>
      <c r="C26" s="11"/>
      <c r="D26" s="18"/>
      <c r="E26" s="16"/>
      <c r="F26" s="16"/>
      <c r="G26" s="16"/>
      <c r="H26" s="16"/>
      <c r="I26" s="16"/>
      <c r="J26" s="16"/>
      <c r="K26" s="16"/>
      <c r="L26" s="16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spans="1:30" ht="15.6" x14ac:dyDescent="0.3">
      <c r="A27" s="19" t="s">
        <v>41</v>
      </c>
      <c r="B27" s="23">
        <v>1027</v>
      </c>
      <c r="C27" s="11">
        <f>B27*(1+C13)</f>
        <v>1083.4849999999999</v>
      </c>
      <c r="D27" s="18">
        <f>C27*(1+D13)</f>
        <v>1137.6592499999999</v>
      </c>
      <c r="E27" s="18">
        <f>D27*(1+E13)</f>
        <v>1206.4876346249998</v>
      </c>
      <c r="F27" s="18">
        <f t="shared" ref="F27:L27" si="24">E27*(1+F13)</f>
        <v>1280.0833803371247</v>
      </c>
      <c r="G27" s="18">
        <f t="shared" si="24"/>
        <v>1354.2002080586444</v>
      </c>
      <c r="H27" s="18">
        <f t="shared" si="24"/>
        <v>1429.7645796683169</v>
      </c>
      <c r="I27" s="18">
        <f t="shared" si="24"/>
        <v>1505.3991259327706</v>
      </c>
      <c r="J27" s="18">
        <f t="shared" si="24"/>
        <v>1583.9809603064614</v>
      </c>
      <c r="K27" s="18">
        <f t="shared" si="24"/>
        <v>1665.8727759543056</v>
      </c>
      <c r="L27" s="18">
        <f t="shared" si="24"/>
        <v>1751.3320493607612</v>
      </c>
      <c r="M27" s="11">
        <f>(L27*(1+M13)*(1-(0.0116-(M29/M30))))+0.119</f>
        <v>1827.7158159817968</v>
      </c>
      <c r="N27" s="11">
        <f t="shared" ref="N27:AD27" si="25">(M27*(1+N13)*(1-(0.0116-(N29/N30))))+0.119</f>
        <v>1907.0256717652594</v>
      </c>
      <c r="O27" s="11">
        <f t="shared" si="25"/>
        <v>1989.5439886469721</v>
      </c>
      <c r="P27" s="11">
        <f t="shared" si="25"/>
        <v>2075.3904207610249</v>
      </c>
      <c r="Q27" s="11">
        <f t="shared" si="25"/>
        <v>2164.688655086185</v>
      </c>
      <c r="R27" s="11">
        <f t="shared" si="25"/>
        <v>2257.7814227153872</v>
      </c>
      <c r="S27" s="11">
        <f t="shared" si="25"/>
        <v>2354.604362375771</v>
      </c>
      <c r="T27" s="11">
        <f t="shared" si="25"/>
        <v>2455.2950864361824</v>
      </c>
      <c r="U27" s="11">
        <f t="shared" si="25"/>
        <v>2559.9957857130189</v>
      </c>
      <c r="V27" s="11">
        <f t="shared" si="25"/>
        <v>2668.5992450721428</v>
      </c>
      <c r="W27" s="11">
        <f t="shared" si="25"/>
        <v>2781.4897896414536</v>
      </c>
      <c r="X27" s="11">
        <f t="shared" si="25"/>
        <v>2898.5467837339793</v>
      </c>
      <c r="Y27" s="11">
        <f t="shared" si="25"/>
        <v>3019.89591946878</v>
      </c>
      <c r="Z27" s="11">
        <f t="shared" si="25"/>
        <v>3145.6654571101499</v>
      </c>
      <c r="AA27" s="11">
        <f t="shared" si="25"/>
        <v>3275.9862255758926</v>
      </c>
      <c r="AB27" s="11">
        <f t="shared" si="25"/>
        <v>3411.3167750007842</v>
      </c>
      <c r="AC27" s="11">
        <f t="shared" si="25"/>
        <v>3551.4946517563476</v>
      </c>
      <c r="AD27" s="11">
        <f t="shared" si="25"/>
        <v>3696.6597966145496</v>
      </c>
    </row>
    <row r="28" spans="1:30" ht="15.6" x14ac:dyDescent="0.3">
      <c r="A28" s="7" t="s">
        <v>42</v>
      </c>
      <c r="B28" s="17">
        <f t="shared" ref="B28:AD28" si="26">B27</f>
        <v>1027</v>
      </c>
      <c r="C28" s="17">
        <f t="shared" si="26"/>
        <v>1083.4849999999999</v>
      </c>
      <c r="D28" s="11">
        <f t="shared" si="26"/>
        <v>1137.6592499999999</v>
      </c>
      <c r="E28" s="11">
        <f t="shared" si="26"/>
        <v>1206.4876346249998</v>
      </c>
      <c r="F28" s="11">
        <f t="shared" si="26"/>
        <v>1280.0833803371247</v>
      </c>
      <c r="G28" s="51">
        <f t="shared" si="26"/>
        <v>1354.2002080586444</v>
      </c>
      <c r="H28" s="11">
        <f t="shared" si="26"/>
        <v>1429.7645796683169</v>
      </c>
      <c r="I28" s="11">
        <f t="shared" si="26"/>
        <v>1505.3991259327706</v>
      </c>
      <c r="J28" s="11">
        <f t="shared" si="26"/>
        <v>1583.9809603064614</v>
      </c>
      <c r="K28" s="11">
        <f t="shared" si="26"/>
        <v>1665.8727759543056</v>
      </c>
      <c r="L28" s="11">
        <f t="shared" si="26"/>
        <v>1751.3320493607612</v>
      </c>
      <c r="M28" s="11">
        <f t="shared" si="26"/>
        <v>1827.7158159817968</v>
      </c>
      <c r="N28" s="11">
        <f t="shared" si="26"/>
        <v>1907.0256717652594</v>
      </c>
      <c r="O28" s="11">
        <f t="shared" si="26"/>
        <v>1989.5439886469721</v>
      </c>
      <c r="P28" s="11">
        <f t="shared" si="26"/>
        <v>2075.3904207610249</v>
      </c>
      <c r="Q28" s="11">
        <f t="shared" si="26"/>
        <v>2164.688655086185</v>
      </c>
      <c r="R28" s="11">
        <f t="shared" si="26"/>
        <v>2257.7814227153872</v>
      </c>
      <c r="S28" s="11">
        <f t="shared" si="26"/>
        <v>2354.604362375771</v>
      </c>
      <c r="T28" s="11">
        <f t="shared" si="26"/>
        <v>2455.2950864361824</v>
      </c>
      <c r="U28" s="11">
        <f t="shared" si="26"/>
        <v>2559.9957857130189</v>
      </c>
      <c r="V28" s="11">
        <f t="shared" si="26"/>
        <v>2668.5992450721428</v>
      </c>
      <c r="W28" s="11">
        <f t="shared" si="26"/>
        <v>2781.4897896414536</v>
      </c>
      <c r="X28" s="11">
        <f t="shared" si="26"/>
        <v>2898.5467837339793</v>
      </c>
      <c r="Y28" s="11">
        <f t="shared" si="26"/>
        <v>3019.89591946878</v>
      </c>
      <c r="Z28" s="11">
        <f t="shared" si="26"/>
        <v>3145.6654571101499</v>
      </c>
      <c r="AA28" s="11">
        <f t="shared" si="26"/>
        <v>3275.9862255758926</v>
      </c>
      <c r="AB28" s="11">
        <f t="shared" si="26"/>
        <v>3411.3167750007842</v>
      </c>
      <c r="AC28" s="11">
        <f t="shared" si="26"/>
        <v>3551.4946517563476</v>
      </c>
      <c r="AD28" s="11">
        <f t="shared" si="26"/>
        <v>3696.6597966145496</v>
      </c>
    </row>
    <row r="29" spans="1:30" ht="15.6" x14ac:dyDescent="0.3">
      <c r="A29" s="7" t="s">
        <v>81</v>
      </c>
      <c r="B29" s="53">
        <v>0.315</v>
      </c>
      <c r="C29" s="53">
        <v>0.315</v>
      </c>
      <c r="D29" s="53">
        <v>0.315</v>
      </c>
      <c r="E29" s="53">
        <v>0.315</v>
      </c>
      <c r="F29" s="53">
        <v>0.315</v>
      </c>
      <c r="G29" s="53">
        <v>0.315</v>
      </c>
      <c r="H29" s="53">
        <v>0.315</v>
      </c>
      <c r="I29" s="53">
        <v>0.315</v>
      </c>
      <c r="J29" s="53">
        <v>0.315</v>
      </c>
      <c r="K29" s="53">
        <v>0.315</v>
      </c>
      <c r="L29" s="53">
        <v>0.315</v>
      </c>
      <c r="M29" s="53">
        <v>0.315</v>
      </c>
      <c r="N29" s="53">
        <v>0.315</v>
      </c>
      <c r="O29" s="53">
        <v>0.315</v>
      </c>
      <c r="P29" s="53">
        <v>0.315</v>
      </c>
      <c r="Q29" s="53">
        <v>0.315</v>
      </c>
      <c r="R29" s="53">
        <v>0.315</v>
      </c>
      <c r="S29" s="53">
        <v>0.315</v>
      </c>
      <c r="T29" s="53">
        <v>0.315</v>
      </c>
      <c r="U29" s="53">
        <v>0.315</v>
      </c>
      <c r="V29" s="53">
        <v>0.315</v>
      </c>
      <c r="W29" s="53">
        <v>0.315</v>
      </c>
      <c r="X29" s="53">
        <v>0.315</v>
      </c>
      <c r="Y29" s="53">
        <v>0.315</v>
      </c>
      <c r="Z29" s="53">
        <v>0.315</v>
      </c>
      <c r="AA29" s="53">
        <v>0.315</v>
      </c>
      <c r="AB29" s="53">
        <v>0.315</v>
      </c>
      <c r="AC29" s="53">
        <v>0.315</v>
      </c>
      <c r="AD29" s="53">
        <v>0.315</v>
      </c>
    </row>
    <row r="30" spans="1:30" ht="15.6" x14ac:dyDescent="0.3">
      <c r="A30" s="7" t="s">
        <v>82</v>
      </c>
      <c r="B30" s="17">
        <v>67.900000000000006</v>
      </c>
      <c r="C30" s="17">
        <f t="shared" ref="C30:AD30" si="27">B30+B29</f>
        <v>68.215000000000003</v>
      </c>
      <c r="D30" s="17">
        <f t="shared" si="27"/>
        <v>68.53</v>
      </c>
      <c r="E30" s="17">
        <f t="shared" si="27"/>
        <v>68.844999999999999</v>
      </c>
      <c r="F30" s="17">
        <f t="shared" si="27"/>
        <v>69.16</v>
      </c>
      <c r="G30" s="17">
        <f t="shared" si="27"/>
        <v>69.474999999999994</v>
      </c>
      <c r="H30" s="17">
        <f t="shared" si="27"/>
        <v>69.789999999999992</v>
      </c>
      <c r="I30" s="17">
        <f t="shared" si="27"/>
        <v>70.10499999999999</v>
      </c>
      <c r="J30" s="17">
        <f t="shared" si="27"/>
        <v>70.419999999999987</v>
      </c>
      <c r="K30" s="17">
        <f t="shared" si="27"/>
        <v>70.734999999999985</v>
      </c>
      <c r="L30" s="17">
        <f t="shared" si="27"/>
        <v>71.049999999999983</v>
      </c>
      <c r="M30" s="17">
        <f t="shared" si="27"/>
        <v>71.364999999999981</v>
      </c>
      <c r="N30" s="17">
        <f t="shared" si="27"/>
        <v>71.679999999999978</v>
      </c>
      <c r="O30" s="17">
        <f t="shared" si="27"/>
        <v>71.994999999999976</v>
      </c>
      <c r="P30" s="17">
        <f t="shared" si="27"/>
        <v>72.309999999999974</v>
      </c>
      <c r="Q30" s="17">
        <f t="shared" si="27"/>
        <v>72.624999999999972</v>
      </c>
      <c r="R30" s="17">
        <f t="shared" si="27"/>
        <v>72.939999999999969</v>
      </c>
      <c r="S30" s="17">
        <f t="shared" si="27"/>
        <v>73.254999999999967</v>
      </c>
      <c r="T30" s="17">
        <f t="shared" si="27"/>
        <v>73.569999999999965</v>
      </c>
      <c r="U30" s="17">
        <f t="shared" si="27"/>
        <v>73.884999999999962</v>
      </c>
      <c r="V30" s="17">
        <f t="shared" si="27"/>
        <v>74.19999999999996</v>
      </c>
      <c r="W30" s="17">
        <f t="shared" si="27"/>
        <v>74.514999999999958</v>
      </c>
      <c r="X30" s="17">
        <f t="shared" si="27"/>
        <v>74.829999999999956</v>
      </c>
      <c r="Y30" s="17">
        <f t="shared" si="27"/>
        <v>75.144999999999953</v>
      </c>
      <c r="Z30" s="17">
        <f t="shared" si="27"/>
        <v>75.459999999999951</v>
      </c>
      <c r="AA30" s="17">
        <f t="shared" si="27"/>
        <v>75.774999999999949</v>
      </c>
      <c r="AB30" s="17">
        <f t="shared" si="27"/>
        <v>76.089999999999947</v>
      </c>
      <c r="AC30" s="17">
        <f t="shared" si="27"/>
        <v>76.404999999999944</v>
      </c>
      <c r="AD30" s="17">
        <f t="shared" si="27"/>
        <v>76.719999999999942</v>
      </c>
    </row>
    <row r="31" spans="1:30" ht="15.6" x14ac:dyDescent="0.3">
      <c r="A31" s="6" t="s">
        <v>43</v>
      </c>
      <c r="B31" s="23">
        <v>107</v>
      </c>
      <c r="C31" s="23">
        <f t="shared" ref="C31:AD31" si="28">(B47*C41)</f>
        <v>113.22</v>
      </c>
      <c r="D31" s="23">
        <f t="shared" si="28"/>
        <v>140.62256249999999</v>
      </c>
      <c r="E31" s="23">
        <f t="shared" si="28"/>
        <v>169.88955213098001</v>
      </c>
      <c r="F31" s="23">
        <f t="shared" si="28"/>
        <v>184.69115284085507</v>
      </c>
      <c r="G31" s="23">
        <f t="shared" si="28"/>
        <v>189.81950845921321</v>
      </c>
      <c r="H31" s="23">
        <f t="shared" si="28"/>
        <v>197.82490910606273</v>
      </c>
      <c r="I31" s="23">
        <f t="shared" si="28"/>
        <v>202.03634567155459</v>
      </c>
      <c r="J31" s="23">
        <f t="shared" si="28"/>
        <v>214.20159970688425</v>
      </c>
      <c r="K31" s="23">
        <f t="shared" si="28"/>
        <v>227.22534345369442</v>
      </c>
      <c r="L31" s="23">
        <f t="shared" si="28"/>
        <v>241.21207140465739</v>
      </c>
      <c r="M31" s="23">
        <f t="shared" si="28"/>
        <v>257.43728262233753</v>
      </c>
      <c r="N31" s="23">
        <f t="shared" si="28"/>
        <v>274.3369846956985</v>
      </c>
      <c r="O31" s="23">
        <f t="shared" si="28"/>
        <v>293.32069025411369</v>
      </c>
      <c r="P31" s="23">
        <f t="shared" si="28"/>
        <v>313.96298895880591</v>
      </c>
      <c r="Q31" s="23">
        <f t="shared" si="28"/>
        <v>336.43037152656234</v>
      </c>
      <c r="R31" s="23">
        <f t="shared" si="28"/>
        <v>361.58580556959737</v>
      </c>
      <c r="S31" s="23">
        <f t="shared" si="28"/>
        <v>388.21458140709689</v>
      </c>
      <c r="T31" s="23">
        <f t="shared" si="28"/>
        <v>417.19053314825697</v>
      </c>
      <c r="U31" s="23">
        <f t="shared" si="28"/>
        <v>448.66435809012131</v>
      </c>
      <c r="V31" s="23">
        <f t="shared" si="28"/>
        <v>484.96113952646965</v>
      </c>
      <c r="W31" s="23">
        <f t="shared" si="28"/>
        <v>525.03899924736561</v>
      </c>
      <c r="X31" s="23">
        <f t="shared" si="28"/>
        <v>567.19619344981629</v>
      </c>
      <c r="Y31" s="23">
        <f t="shared" si="28"/>
        <v>612.66148688235455</v>
      </c>
      <c r="Z31" s="23">
        <f t="shared" si="28"/>
        <v>661.61173038738741</v>
      </c>
      <c r="AA31" s="23">
        <f t="shared" si="28"/>
        <v>714.28725941531877</v>
      </c>
      <c r="AB31" s="23">
        <f t="shared" si="28"/>
        <v>772.51266479813717</v>
      </c>
      <c r="AC31" s="23">
        <f t="shared" si="28"/>
        <v>833.53773143266017</v>
      </c>
      <c r="AD31" s="23">
        <f t="shared" si="28"/>
        <v>899.17395923633103</v>
      </c>
    </row>
    <row r="32" spans="1:30" ht="15.6" x14ac:dyDescent="0.3">
      <c r="A32" s="7" t="s">
        <v>44</v>
      </c>
      <c r="B32" s="23">
        <f t="shared" ref="B32:AD32" si="29">(B31)</f>
        <v>107</v>
      </c>
      <c r="C32" s="23">
        <f t="shared" si="29"/>
        <v>113.22</v>
      </c>
      <c r="D32" s="23">
        <f t="shared" si="29"/>
        <v>140.62256249999999</v>
      </c>
      <c r="E32" s="23">
        <f t="shared" si="29"/>
        <v>169.88955213098001</v>
      </c>
      <c r="F32" s="23">
        <f t="shared" si="29"/>
        <v>184.69115284085507</v>
      </c>
      <c r="G32" s="23">
        <f t="shared" si="29"/>
        <v>189.81950845921321</v>
      </c>
      <c r="H32" s="23">
        <f t="shared" si="29"/>
        <v>197.82490910606273</v>
      </c>
      <c r="I32" s="23">
        <f t="shared" si="29"/>
        <v>202.03634567155459</v>
      </c>
      <c r="J32" s="23">
        <f t="shared" si="29"/>
        <v>214.20159970688425</v>
      </c>
      <c r="K32" s="23">
        <f t="shared" si="29"/>
        <v>227.22534345369442</v>
      </c>
      <c r="L32" s="23">
        <f t="shared" si="29"/>
        <v>241.21207140465739</v>
      </c>
      <c r="M32" s="23">
        <f t="shared" si="29"/>
        <v>257.43728262233753</v>
      </c>
      <c r="N32" s="23">
        <f t="shared" si="29"/>
        <v>274.3369846956985</v>
      </c>
      <c r="O32" s="23">
        <f t="shared" si="29"/>
        <v>293.32069025411369</v>
      </c>
      <c r="P32" s="23">
        <f t="shared" si="29"/>
        <v>313.96298895880591</v>
      </c>
      <c r="Q32" s="23">
        <f t="shared" si="29"/>
        <v>336.43037152656234</v>
      </c>
      <c r="R32" s="23">
        <f t="shared" si="29"/>
        <v>361.58580556959737</v>
      </c>
      <c r="S32" s="23">
        <f t="shared" si="29"/>
        <v>388.21458140709689</v>
      </c>
      <c r="T32" s="23">
        <f t="shared" si="29"/>
        <v>417.19053314825697</v>
      </c>
      <c r="U32" s="23">
        <f t="shared" si="29"/>
        <v>448.66435809012131</v>
      </c>
      <c r="V32" s="23">
        <f t="shared" si="29"/>
        <v>484.96113952646965</v>
      </c>
      <c r="W32" s="23">
        <f t="shared" si="29"/>
        <v>525.03899924736561</v>
      </c>
      <c r="X32" s="23">
        <f t="shared" si="29"/>
        <v>567.19619344981629</v>
      </c>
      <c r="Y32" s="23">
        <f t="shared" si="29"/>
        <v>612.66148688235455</v>
      </c>
      <c r="Z32" s="23">
        <f t="shared" si="29"/>
        <v>661.61173038738741</v>
      </c>
      <c r="AA32" s="23">
        <f t="shared" si="29"/>
        <v>714.28725941531877</v>
      </c>
      <c r="AB32" s="23">
        <f t="shared" si="29"/>
        <v>772.51266479813717</v>
      </c>
      <c r="AC32" s="23">
        <f t="shared" si="29"/>
        <v>833.53773143266017</v>
      </c>
      <c r="AD32" s="23">
        <f t="shared" si="29"/>
        <v>899.17395923633103</v>
      </c>
    </row>
    <row r="33" spans="1:30" ht="15.6" x14ac:dyDescent="0.3">
      <c r="A33" s="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spans="1:30" ht="15.6" x14ac:dyDescent="0.3">
      <c r="A34" s="6" t="s">
        <v>45</v>
      </c>
      <c r="B34" s="17">
        <f t="shared" ref="B34:AD34" si="30">B25-B28</f>
        <v>55.525000000000091</v>
      </c>
      <c r="C34" s="17">
        <f t="shared" si="30"/>
        <v>16.346770760000254</v>
      </c>
      <c r="D34" s="17">
        <f t="shared" si="30"/>
        <v>79.009483803198009</v>
      </c>
      <c r="E34" s="17">
        <f t="shared" si="30"/>
        <v>80.789194868226332</v>
      </c>
      <c r="F34" s="17">
        <f t="shared" si="30"/>
        <v>82.155550230480912</v>
      </c>
      <c r="G34" s="17">
        <f t="shared" si="30"/>
        <v>84.143807990308687</v>
      </c>
      <c r="H34" s="17">
        <f t="shared" si="30"/>
        <v>86.44142889849627</v>
      </c>
      <c r="I34" s="17">
        <f t="shared" si="30"/>
        <v>89.559074204732951</v>
      </c>
      <c r="J34" s="17">
        <f t="shared" si="30"/>
        <v>92.713754826227614</v>
      </c>
      <c r="K34" s="17">
        <f t="shared" si="30"/>
        <v>108.69655785510281</v>
      </c>
      <c r="L34" s="17">
        <f t="shared" si="30"/>
        <v>110.60098149951114</v>
      </c>
      <c r="M34" s="17">
        <f t="shared" si="30"/>
        <v>126.86740287837597</v>
      </c>
      <c r="N34" s="17">
        <f t="shared" si="30"/>
        <v>144.19756438247464</v>
      </c>
      <c r="O34" s="17">
        <f t="shared" si="30"/>
        <v>162.936996628006</v>
      </c>
      <c r="P34" s="17">
        <f t="shared" si="30"/>
        <v>183.17997631856679</v>
      </c>
      <c r="Q34" s="17">
        <f t="shared" si="30"/>
        <v>205.02254513075241</v>
      </c>
      <c r="R34" s="17">
        <f t="shared" si="30"/>
        <v>228.58668424232155</v>
      </c>
      <c r="S34" s="17">
        <f t="shared" si="30"/>
        <v>253.96402567453561</v>
      </c>
      <c r="T34" s="17">
        <f t="shared" si="30"/>
        <v>342.90398075290568</v>
      </c>
      <c r="U34" s="17">
        <f t="shared" si="30"/>
        <v>372.25256245660012</v>
      </c>
      <c r="V34" s="17">
        <f t="shared" si="30"/>
        <v>403.74067170726948</v>
      </c>
      <c r="W34" s="17">
        <f t="shared" si="30"/>
        <v>437.52531107066807</v>
      </c>
      <c r="X34" s="17">
        <f t="shared" si="30"/>
        <v>473.7077078929492</v>
      </c>
      <c r="Y34" s="17">
        <f t="shared" si="30"/>
        <v>512.42223322942846</v>
      </c>
      <c r="Z34" s="17">
        <f t="shared" si="30"/>
        <v>553.81003652939125</v>
      </c>
      <c r="AA34" s="17">
        <f t="shared" si="30"/>
        <v>598.01862470527612</v>
      </c>
      <c r="AB34" s="17">
        <f t="shared" si="30"/>
        <v>645.2569466899331</v>
      </c>
      <c r="AC34" s="17">
        <f t="shared" si="30"/>
        <v>695.64160947968594</v>
      </c>
      <c r="AD34" s="17">
        <f t="shared" si="30"/>
        <v>749.34061665478339</v>
      </c>
    </row>
    <row r="35" spans="1:30" ht="15.6" x14ac:dyDescent="0.3">
      <c r="A35" s="7" t="s">
        <v>46</v>
      </c>
      <c r="B35" s="24">
        <f t="shared" ref="B35:AD35" si="31">(B34/B11)</f>
        <v>2.0641263940520481E-2</v>
      </c>
      <c r="C35" s="24">
        <f t="shared" si="31"/>
        <v>5.7600629891295671E-3</v>
      </c>
      <c r="D35" s="24">
        <f t="shared" si="31"/>
        <v>2.6514606470028419E-2</v>
      </c>
      <c r="E35" s="24">
        <f t="shared" si="31"/>
        <v>2.5565163142050866E-2</v>
      </c>
      <c r="F35" s="24">
        <f t="shared" si="31"/>
        <v>2.4502861949253656E-2</v>
      </c>
      <c r="G35" s="24">
        <f t="shared" si="31"/>
        <v>2.3722335833385049E-2</v>
      </c>
      <c r="H35" s="24">
        <f t="shared" si="31"/>
        <v>2.308211322312519E-2</v>
      </c>
      <c r="I35" s="24">
        <f t="shared" si="31"/>
        <v>2.2713083608350868E-2</v>
      </c>
      <c r="J35" s="24">
        <f t="shared" si="31"/>
        <v>2.2346647405693025E-2</v>
      </c>
      <c r="K35" s="24">
        <f t="shared" si="31"/>
        <v>2.4911055194072558E-2</v>
      </c>
      <c r="L35" s="24">
        <f t="shared" si="31"/>
        <v>2.4110635042882109E-2</v>
      </c>
      <c r="M35" s="24">
        <f t="shared" si="31"/>
        <v>2.6312110335812461E-2</v>
      </c>
      <c r="N35" s="24">
        <f t="shared" si="31"/>
        <v>2.8457855182568315E-2</v>
      </c>
      <c r="O35" s="24">
        <f t="shared" si="31"/>
        <v>3.0601582296105868E-2</v>
      </c>
      <c r="P35" s="24">
        <f t="shared" si="31"/>
        <v>3.2743375024656893E-2</v>
      </c>
      <c r="Q35" s="24">
        <f t="shared" si="31"/>
        <v>3.4882665853300708E-2</v>
      </c>
      <c r="R35" s="24">
        <f t="shared" si="31"/>
        <v>3.7018735414103963E-2</v>
      </c>
      <c r="S35" s="24">
        <f t="shared" si="31"/>
        <v>3.9151354948938469E-2</v>
      </c>
      <c r="T35" s="24">
        <f t="shared" si="31"/>
        <v>5.0325999372242525E-2</v>
      </c>
      <c r="U35" s="24">
        <f t="shared" si="31"/>
        <v>5.2016869467441662E-2</v>
      </c>
      <c r="V35" s="24">
        <f t="shared" si="31"/>
        <v>5.3725239262073558E-2</v>
      </c>
      <c r="W35" s="24">
        <f t="shared" si="31"/>
        <v>5.54484921061216E-2</v>
      </c>
      <c r="X35" s="24">
        <f t="shared" si="31"/>
        <v>5.718609493584028E-2</v>
      </c>
      <c r="Y35" s="24">
        <f t="shared" si="31"/>
        <v>5.8936471649199088E-2</v>
      </c>
      <c r="Z35" s="24">
        <f t="shared" si="31"/>
        <v>6.0698216410319465E-2</v>
      </c>
      <c r="AA35" s="24">
        <f t="shared" si="31"/>
        <v>6.2470004266458108E-2</v>
      </c>
      <c r="AB35" s="24">
        <f t="shared" si="31"/>
        <v>6.4249925357161064E-2</v>
      </c>
      <c r="AC35" s="24">
        <f t="shared" si="31"/>
        <v>6.6037618730063558E-2</v>
      </c>
      <c r="AD35" s="24">
        <f t="shared" si="31"/>
        <v>6.7831880736286349E-2</v>
      </c>
    </row>
    <row r="36" spans="1:30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 ht="15.6" x14ac:dyDescent="0.3">
      <c r="A37" s="26" t="s">
        <v>47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spans="1:30" ht="15.6" x14ac:dyDescent="0.3">
      <c r="A38" s="23" t="s">
        <v>48</v>
      </c>
      <c r="B38" s="24">
        <v>7.9000000000000001E-2</v>
      </c>
      <c r="C38" s="10">
        <v>5.1999999999999998E-2</v>
      </c>
      <c r="D38" s="10">
        <v>4.2000000000000003E-2</v>
      </c>
      <c r="E38" s="10">
        <v>4.1500000000000002E-2</v>
      </c>
      <c r="F38" s="10">
        <v>4.1000000000000002E-2</v>
      </c>
      <c r="G38" s="10">
        <v>3.9899999999999998E-2</v>
      </c>
      <c r="H38" s="10">
        <v>3.8800000000000001E-2</v>
      </c>
      <c r="I38" s="10">
        <v>3.7900000000000003E-2</v>
      </c>
      <c r="J38" s="10">
        <v>3.7199999999999997E-2</v>
      </c>
      <c r="K38" s="10">
        <v>3.6700000000000003E-2</v>
      </c>
      <c r="L38" s="10">
        <v>3.6299999999999999E-2</v>
      </c>
      <c r="M38" s="24">
        <f t="shared" ref="M38:AD38" si="32">M5</f>
        <v>3.61E-2</v>
      </c>
      <c r="N38" s="24">
        <f t="shared" si="32"/>
        <v>3.5900000000000001E-2</v>
      </c>
      <c r="O38" s="24">
        <f t="shared" si="32"/>
        <v>3.5799999999999998E-2</v>
      </c>
      <c r="P38" s="24">
        <f t="shared" si="32"/>
        <v>3.5699999999999996E-2</v>
      </c>
      <c r="Q38" s="24">
        <f t="shared" si="32"/>
        <v>3.56E-2</v>
      </c>
      <c r="R38" s="24">
        <f t="shared" si="32"/>
        <v>3.56E-2</v>
      </c>
      <c r="S38" s="24">
        <f t="shared" si="32"/>
        <v>3.5499999999999997E-2</v>
      </c>
      <c r="T38" s="24">
        <f t="shared" si="32"/>
        <v>3.5400000000000001E-2</v>
      </c>
      <c r="U38" s="24">
        <f t="shared" si="32"/>
        <v>3.5299999999999998E-2</v>
      </c>
      <c r="V38" s="24">
        <f t="shared" si="32"/>
        <v>3.5099999999999999E-2</v>
      </c>
      <c r="W38" s="24">
        <f t="shared" si="32"/>
        <v>3.5000000000000003E-2</v>
      </c>
      <c r="X38" s="24">
        <f t="shared" si="32"/>
        <v>3.4799999999999998E-2</v>
      </c>
      <c r="Y38" s="24">
        <f t="shared" si="32"/>
        <v>3.4599999999999999E-2</v>
      </c>
      <c r="Z38" s="24">
        <f t="shared" si="32"/>
        <v>3.44E-2</v>
      </c>
      <c r="AA38" s="24">
        <f t="shared" si="32"/>
        <v>3.4200000000000001E-2</v>
      </c>
      <c r="AB38" s="24">
        <f t="shared" si="32"/>
        <v>3.4099999999999998E-2</v>
      </c>
      <c r="AC38" s="24">
        <f t="shared" si="32"/>
        <v>3.39E-2</v>
      </c>
      <c r="AD38" s="24">
        <f t="shared" si="32"/>
        <v>3.3700000000000001E-2</v>
      </c>
    </row>
    <row r="39" spans="1:30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spans="1:30" ht="15.6" x14ac:dyDescent="0.3">
      <c r="A40" s="26" t="s">
        <v>49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x14ac:dyDescent="0.3">
      <c r="A41" s="23" t="s">
        <v>25</v>
      </c>
      <c r="B41" s="24">
        <v>4.4499999999999998E-2</v>
      </c>
      <c r="C41" s="24">
        <v>4.4999999999999998E-2</v>
      </c>
      <c r="D41" s="24">
        <v>5.2499999999999998E-2</v>
      </c>
      <c r="E41" s="24">
        <v>6.0499999999999998E-2</v>
      </c>
      <c r="F41" s="24">
        <v>6.0999999999999999E-2</v>
      </c>
      <c r="G41" s="24">
        <v>5.79E-2</v>
      </c>
      <c r="H41" s="24">
        <v>5.5800000000000002E-2</v>
      </c>
      <c r="I41" s="24">
        <v>5.2900000000000003E-2</v>
      </c>
      <c r="J41" s="24">
        <v>5.2200000000000003E-2</v>
      </c>
      <c r="K41" s="24">
        <v>5.1700000000000003E-2</v>
      </c>
      <c r="L41" s="24">
        <v>5.1299999999999998E-2</v>
      </c>
      <c r="M41" s="24">
        <f t="shared" ref="M41:AD41" si="33">M6</f>
        <v>5.11E-2</v>
      </c>
      <c r="N41" s="24">
        <f t="shared" si="33"/>
        <v>5.0900000000000001E-2</v>
      </c>
      <c r="O41" s="24">
        <f t="shared" si="33"/>
        <v>5.0799999999999998E-2</v>
      </c>
      <c r="P41" s="24">
        <f t="shared" si="33"/>
        <v>5.0699999999999995E-2</v>
      </c>
      <c r="Q41" s="24">
        <f t="shared" si="33"/>
        <v>5.0599999999999999E-2</v>
      </c>
      <c r="R41" s="24">
        <f t="shared" si="33"/>
        <v>5.0599999999999999E-2</v>
      </c>
      <c r="S41" s="24">
        <f t="shared" si="33"/>
        <v>5.0499999999999996E-2</v>
      </c>
      <c r="T41" s="24">
        <f t="shared" si="33"/>
        <v>5.04E-2</v>
      </c>
      <c r="U41" s="24">
        <f t="shared" si="33"/>
        <v>5.0299999999999997E-2</v>
      </c>
      <c r="V41" s="24">
        <f t="shared" si="33"/>
        <v>5.0099999999999999E-2</v>
      </c>
      <c r="W41" s="24">
        <f t="shared" si="33"/>
        <v>0.05</v>
      </c>
      <c r="X41" s="24">
        <f t="shared" si="33"/>
        <v>4.9799999999999997E-2</v>
      </c>
      <c r="Y41" s="24">
        <f t="shared" si="33"/>
        <v>4.9599999999999998E-2</v>
      </c>
      <c r="Z41" s="24">
        <f t="shared" si="33"/>
        <v>4.9399999999999999E-2</v>
      </c>
      <c r="AA41" s="24">
        <f t="shared" si="33"/>
        <v>4.9200000000000001E-2</v>
      </c>
      <c r="AB41" s="24">
        <f t="shared" si="33"/>
        <v>4.9099999999999998E-2</v>
      </c>
      <c r="AC41" s="24">
        <f t="shared" si="33"/>
        <v>4.8899999999999999E-2</v>
      </c>
      <c r="AD41" s="24">
        <f t="shared" si="33"/>
        <v>4.87E-2</v>
      </c>
    </row>
    <row r="42" spans="1:30" x14ac:dyDescent="0.3">
      <c r="A42" s="28"/>
      <c r="B42" s="28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ht="15.6" x14ac:dyDescent="0.3">
      <c r="A43" s="26" t="s">
        <v>50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0" ht="15.6" x14ac:dyDescent="0.3">
      <c r="A44" s="23" t="s">
        <v>51</v>
      </c>
      <c r="B44" s="8">
        <v>4.0000000000000001E-3</v>
      </c>
      <c r="C44" s="10">
        <v>3.0000000000000001E-3</v>
      </c>
      <c r="D44" s="10">
        <v>8.0000000000000002E-3</v>
      </c>
      <c r="E44" s="10">
        <v>1.9E-2</v>
      </c>
      <c r="F44" s="10">
        <v>0.02</v>
      </c>
      <c r="G44" s="10">
        <v>1.7999999999999999E-2</v>
      </c>
      <c r="H44" s="10">
        <v>1.7000000000000001E-2</v>
      </c>
      <c r="I44" s="10">
        <v>1.4999999999999999E-2</v>
      </c>
      <c r="J44" s="10">
        <v>1.4999999999999999E-2</v>
      </c>
      <c r="K44" s="10">
        <v>1.4999999999999999E-2</v>
      </c>
      <c r="L44" s="10">
        <v>1.4999999999999999E-2</v>
      </c>
      <c r="M44" s="10">
        <v>1.4999999999999999E-2</v>
      </c>
      <c r="N44" s="10">
        <v>1.4999999999999999E-2</v>
      </c>
      <c r="O44" s="10">
        <v>1.4999999999999999E-2</v>
      </c>
      <c r="P44" s="10">
        <v>1.4999999999999999E-2</v>
      </c>
      <c r="Q44" s="10">
        <v>1.4999999999999999E-2</v>
      </c>
      <c r="R44" s="10">
        <v>1.4999999999999999E-2</v>
      </c>
      <c r="S44" s="10">
        <v>1.4999999999999999E-2</v>
      </c>
      <c r="T44" s="10">
        <v>1.4999999999999999E-2</v>
      </c>
      <c r="U44" s="10">
        <v>1.4999999999999999E-2</v>
      </c>
      <c r="V44" s="10">
        <v>1.4999999999999999E-2</v>
      </c>
      <c r="W44" s="10">
        <v>1.4999999999999999E-2</v>
      </c>
      <c r="X44" s="10">
        <v>1.4999999999999999E-2</v>
      </c>
      <c r="Y44" s="10">
        <v>1.4999999999999999E-2</v>
      </c>
      <c r="Z44" s="10">
        <v>1.4999999999999999E-2</v>
      </c>
      <c r="AA44" s="10">
        <v>1.4999999999999999E-2</v>
      </c>
      <c r="AB44" s="10">
        <v>1.4999999999999999E-2</v>
      </c>
      <c r="AC44" s="10">
        <v>1.4999999999999999E-2</v>
      </c>
      <c r="AD44" s="10">
        <v>1.4999999999999999E-2</v>
      </c>
    </row>
    <row r="45" spans="1:30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ht="15.6" x14ac:dyDescent="0.3">
      <c r="A46" s="26" t="s">
        <v>52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0" x14ac:dyDescent="0.3">
      <c r="A47" s="23" t="s">
        <v>53</v>
      </c>
      <c r="B47" s="17">
        <v>2516</v>
      </c>
      <c r="C47" s="17">
        <f t="shared" ref="C47:AD47" si="34">B47+B50</f>
        <v>2678.5250000000001</v>
      </c>
      <c r="D47" s="17">
        <f t="shared" si="34"/>
        <v>2808.0917707600001</v>
      </c>
      <c r="E47" s="17">
        <f t="shared" si="34"/>
        <v>3027.7238170631981</v>
      </c>
      <c r="F47" s="17">
        <f t="shared" si="34"/>
        <v>3278.4025640624045</v>
      </c>
      <c r="G47" s="17">
        <f t="shared" si="34"/>
        <v>3545.2492671337404</v>
      </c>
      <c r="H47" s="17">
        <f t="shared" si="34"/>
        <v>3819.2125835832621</v>
      </c>
      <c r="I47" s="17">
        <f t="shared" si="34"/>
        <v>4103.4789215878209</v>
      </c>
      <c r="J47" s="17">
        <f t="shared" si="34"/>
        <v>4395.0743414641083</v>
      </c>
      <c r="K47" s="17">
        <f t="shared" si="34"/>
        <v>4701.9896959972202</v>
      </c>
      <c r="L47" s="17">
        <f t="shared" si="34"/>
        <v>5037.9115973060179</v>
      </c>
      <c r="M47" s="17">
        <f t="shared" si="34"/>
        <v>5389.7246502101862</v>
      </c>
      <c r="N47" s="17">
        <f t="shared" si="34"/>
        <v>5774.0293357108994</v>
      </c>
      <c r="O47" s="17">
        <f t="shared" si="34"/>
        <v>6192.5638847890723</v>
      </c>
      <c r="P47" s="17">
        <f t="shared" si="34"/>
        <v>6648.821571671192</v>
      </c>
      <c r="Q47" s="17">
        <f t="shared" si="34"/>
        <v>7145.9645369485643</v>
      </c>
      <c r="R47" s="17">
        <f t="shared" si="34"/>
        <v>7687.417453605879</v>
      </c>
      <c r="S47" s="17">
        <f t="shared" si="34"/>
        <v>8277.5899434177973</v>
      </c>
      <c r="T47" s="17">
        <f t="shared" si="34"/>
        <v>8919.7685504994297</v>
      </c>
      <c r="U47" s="17">
        <f t="shared" si="34"/>
        <v>9679.8630644005916</v>
      </c>
      <c r="V47" s="17">
        <f t="shared" si="34"/>
        <v>10500.779984947312</v>
      </c>
      <c r="W47" s="17">
        <f t="shared" si="34"/>
        <v>11389.481796181051</v>
      </c>
      <c r="X47" s="17">
        <f t="shared" si="34"/>
        <v>12352.046106499085</v>
      </c>
      <c r="Y47" s="17">
        <f t="shared" si="34"/>
        <v>13392.95000784185</v>
      </c>
      <c r="Z47" s="17">
        <f t="shared" si="34"/>
        <v>14518.033727953632</v>
      </c>
      <c r="AA47" s="17">
        <f t="shared" si="34"/>
        <v>15733.455494870412</v>
      </c>
      <c r="AB47" s="17">
        <f t="shared" si="34"/>
        <v>17045.761378991006</v>
      </c>
      <c r="AC47" s="17">
        <f t="shared" si="34"/>
        <v>18463.530990479077</v>
      </c>
      <c r="AD47" s="17">
        <f t="shared" si="34"/>
        <v>19992.710331391423</v>
      </c>
    </row>
    <row r="48" spans="1:30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0" ht="15.6" x14ac:dyDescent="0.3">
      <c r="A49" s="26" t="s">
        <v>54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0" x14ac:dyDescent="0.3">
      <c r="A50" s="23" t="s">
        <v>55</v>
      </c>
      <c r="B50" s="17">
        <f t="shared" ref="B50:AD50" si="35">B25-B28+B32</f>
        <v>162.52500000000009</v>
      </c>
      <c r="C50" s="17">
        <f t="shared" si="35"/>
        <v>129.56677076000025</v>
      </c>
      <c r="D50" s="17">
        <f t="shared" si="35"/>
        <v>219.632046303198</v>
      </c>
      <c r="E50" s="17">
        <f t="shared" si="35"/>
        <v>250.67874699920634</v>
      </c>
      <c r="F50" s="17">
        <f t="shared" si="35"/>
        <v>266.84670307133598</v>
      </c>
      <c r="G50" s="17">
        <f t="shared" si="35"/>
        <v>273.96331644952193</v>
      </c>
      <c r="H50" s="17">
        <f t="shared" si="35"/>
        <v>284.26633800455897</v>
      </c>
      <c r="I50" s="17">
        <f t="shared" si="35"/>
        <v>291.59541987628756</v>
      </c>
      <c r="J50" s="17">
        <f t="shared" si="35"/>
        <v>306.91535453311189</v>
      </c>
      <c r="K50" s="17">
        <f t="shared" si="35"/>
        <v>335.92190130879726</v>
      </c>
      <c r="L50" s="17">
        <f t="shared" si="35"/>
        <v>351.81305290416856</v>
      </c>
      <c r="M50" s="17">
        <f t="shared" si="35"/>
        <v>384.3046855007135</v>
      </c>
      <c r="N50" s="17">
        <f t="shared" si="35"/>
        <v>418.53454907817314</v>
      </c>
      <c r="O50" s="17">
        <f t="shared" si="35"/>
        <v>456.25768688211969</v>
      </c>
      <c r="P50" s="17">
        <f t="shared" si="35"/>
        <v>497.1429652773727</v>
      </c>
      <c r="Q50" s="17">
        <f t="shared" si="35"/>
        <v>541.45291665731474</v>
      </c>
      <c r="R50" s="17">
        <f t="shared" si="35"/>
        <v>590.17248981191892</v>
      </c>
      <c r="S50" s="17">
        <f t="shared" si="35"/>
        <v>642.17860708163244</v>
      </c>
      <c r="T50" s="17">
        <f t="shared" si="35"/>
        <v>760.0945139011626</v>
      </c>
      <c r="U50" s="17">
        <f t="shared" si="35"/>
        <v>820.91692054672149</v>
      </c>
      <c r="V50" s="17">
        <f t="shared" si="35"/>
        <v>888.70181123373914</v>
      </c>
      <c r="W50" s="17">
        <f t="shared" si="35"/>
        <v>962.56431031803368</v>
      </c>
      <c r="X50" s="17">
        <f t="shared" si="35"/>
        <v>1040.9039013427655</v>
      </c>
      <c r="Y50" s="17">
        <f t="shared" si="35"/>
        <v>1125.0837201117829</v>
      </c>
      <c r="Z50" s="17">
        <f t="shared" si="35"/>
        <v>1215.4217669167788</v>
      </c>
      <c r="AA50" s="17">
        <f t="shared" si="35"/>
        <v>1312.3058841205948</v>
      </c>
      <c r="AB50" s="17">
        <f t="shared" si="35"/>
        <v>1417.7696114880703</v>
      </c>
      <c r="AC50" s="17">
        <f t="shared" si="35"/>
        <v>1529.1793409123461</v>
      </c>
      <c r="AD50" s="17">
        <f t="shared" si="35"/>
        <v>1648.5145758911144</v>
      </c>
    </row>
    <row r="51" spans="1:30" ht="15.6" x14ac:dyDescent="0.3">
      <c r="A51" s="26" t="s">
        <v>56</v>
      </c>
      <c r="B51" s="24">
        <f t="shared" ref="B51:AD51" si="36">B50/B11</f>
        <v>6.0418215613382932E-2</v>
      </c>
      <c r="C51" s="24">
        <f t="shared" si="36"/>
        <v>4.5655057615532429E-2</v>
      </c>
      <c r="D51" s="24">
        <f t="shared" si="36"/>
        <v>7.3705800818061329E-2</v>
      </c>
      <c r="E51" s="24">
        <f t="shared" si="36"/>
        <v>7.9325497348161661E-2</v>
      </c>
      <c r="F51" s="24">
        <f t="shared" si="36"/>
        <v>7.9586928803071236E-2</v>
      </c>
      <c r="G51" s="24">
        <f t="shared" si="36"/>
        <v>7.7237410025370296E-2</v>
      </c>
      <c r="H51" s="24">
        <f t="shared" si="36"/>
        <v>7.5906517082789088E-2</v>
      </c>
      <c r="I51" s="24">
        <f t="shared" si="36"/>
        <v>7.3951536572631149E-2</v>
      </c>
      <c r="J51" s="24">
        <f t="shared" si="36"/>
        <v>7.3975314924949229E-2</v>
      </c>
      <c r="K51" s="24">
        <f t="shared" si="36"/>
        <v>7.6986513552309288E-2</v>
      </c>
      <c r="L51" s="24">
        <f t="shared" si="36"/>
        <v>7.6694040205529973E-2</v>
      </c>
      <c r="M51" s="24">
        <f t="shared" si="36"/>
        <v>7.9704219192998138E-2</v>
      </c>
      <c r="N51" s="24">
        <f t="shared" si="36"/>
        <v>8.2599145398712173E-2</v>
      </c>
      <c r="O51" s="24">
        <f t="shared" si="36"/>
        <v>8.5690834140207978E-2</v>
      </c>
      <c r="P51" s="24">
        <f t="shared" si="36"/>
        <v>8.8864180900634124E-2</v>
      </c>
      <c r="Q51" s="24">
        <f t="shared" si="36"/>
        <v>9.212314262807958E-2</v>
      </c>
      <c r="R51" s="24">
        <f t="shared" si="36"/>
        <v>9.557616762081482E-2</v>
      </c>
      <c r="S51" s="24">
        <f t="shared" si="36"/>
        <v>9.89989134078718E-2</v>
      </c>
      <c r="T51" s="24">
        <f t="shared" si="36"/>
        <v>0.11155459888638448</v>
      </c>
      <c r="U51" s="24">
        <f t="shared" si="36"/>
        <v>0.11471117355886956</v>
      </c>
      <c r="V51" s="24">
        <f t="shared" si="36"/>
        <v>0.11825837917015355</v>
      </c>
      <c r="W51" s="24">
        <f t="shared" si="36"/>
        <v>0.12198777581963305</v>
      </c>
      <c r="X51" s="24">
        <f t="shared" si="36"/>
        <v>0.12565813967022407</v>
      </c>
      <c r="Y51" s="24">
        <f t="shared" si="36"/>
        <v>0.12940200575499822</v>
      </c>
      <c r="Z51" s="24">
        <f t="shared" si="36"/>
        <v>0.13321162234699271</v>
      </c>
      <c r="AA51" s="24">
        <f t="shared" si="36"/>
        <v>0.13708562040239808</v>
      </c>
      <c r="AB51" s="24">
        <f t="shared" si="36"/>
        <v>0.14117103609507084</v>
      </c>
      <c r="AC51" s="24">
        <f t="shared" si="36"/>
        <v>0.14516578782656661</v>
      </c>
      <c r="AD51" s="24">
        <f t="shared" si="36"/>
        <v>0.14922698919360911</v>
      </c>
    </row>
  </sheetData>
  <mergeCells count="1">
    <mergeCell ref="A1:AD1"/>
  </mergeCells>
  <pageMargins left="0.7" right="0.7" top="0.75" bottom="0.75" header="0.3" footer="0.3"/>
  <pageSetup scale="3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6654-6EC2-4BD5-AC94-80F42CC8E920}">
  <dimension ref="A2:AP5"/>
  <sheetViews>
    <sheetView topLeftCell="A25" zoomScale="40" zoomScaleNormal="40" workbookViewId="0">
      <selection activeCell="K65" sqref="K65"/>
    </sheetView>
  </sheetViews>
  <sheetFormatPr defaultColWidth="8.88671875" defaultRowHeight="14.4" x14ac:dyDescent="0.3"/>
  <sheetData>
    <row r="2" spans="1:42" ht="21" x14ac:dyDescent="0.4">
      <c r="A2" s="3" t="s">
        <v>21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  <c r="L2" s="4">
        <v>2020</v>
      </c>
      <c r="M2" s="4">
        <v>2021</v>
      </c>
      <c r="N2" s="4">
        <v>2022</v>
      </c>
      <c r="O2" s="4">
        <v>2023</v>
      </c>
      <c r="P2" s="4">
        <v>2024</v>
      </c>
      <c r="Q2" s="4">
        <v>2025</v>
      </c>
      <c r="R2" s="4">
        <v>2026</v>
      </c>
      <c r="S2" s="4">
        <v>2027</v>
      </c>
      <c r="T2" s="4">
        <v>2028</v>
      </c>
      <c r="U2" s="4">
        <v>2029</v>
      </c>
      <c r="V2" s="4">
        <v>2030</v>
      </c>
      <c r="W2" s="4">
        <v>2031</v>
      </c>
      <c r="X2" s="4">
        <v>2032</v>
      </c>
      <c r="Y2" s="4">
        <v>2033</v>
      </c>
      <c r="Z2" s="4">
        <v>2034</v>
      </c>
      <c r="AA2" s="4">
        <v>2035</v>
      </c>
      <c r="AB2" s="4">
        <v>2036</v>
      </c>
      <c r="AC2" s="4">
        <v>2037</v>
      </c>
      <c r="AD2" s="4">
        <v>2038</v>
      </c>
      <c r="AE2" s="4">
        <v>2039</v>
      </c>
      <c r="AF2" s="4">
        <v>2040</v>
      </c>
      <c r="AG2" s="4">
        <v>2041</v>
      </c>
      <c r="AH2" s="4">
        <v>2042</v>
      </c>
      <c r="AI2" s="4">
        <v>2043</v>
      </c>
      <c r="AJ2" s="4">
        <v>2044</v>
      </c>
      <c r="AK2" s="4">
        <v>2045</v>
      </c>
      <c r="AL2" s="4">
        <v>2046</v>
      </c>
      <c r="AM2" s="4">
        <v>2047</v>
      </c>
      <c r="AN2" s="4">
        <v>2048</v>
      </c>
      <c r="AO2" s="4">
        <v>2049</v>
      </c>
      <c r="AP2" s="4">
        <v>2050</v>
      </c>
    </row>
    <row r="3" spans="1:42" x14ac:dyDescent="0.3">
      <c r="A3" t="s">
        <v>87</v>
      </c>
      <c r="B3" s="29">
        <v>0.77897435897435896</v>
      </c>
      <c r="C3" s="29">
        <v>0.77939337085678539</v>
      </c>
      <c r="D3" s="29">
        <v>0.79989476563566519</v>
      </c>
      <c r="E3" s="29">
        <v>0.81739171149250078</v>
      </c>
      <c r="F3" s="29">
        <v>0.82743259494453048</v>
      </c>
      <c r="G3" s="29">
        <v>0.84971967509473634</v>
      </c>
      <c r="H3" s="29">
        <v>0.86635270565111644</v>
      </c>
      <c r="I3" s="29">
        <v>0.86091125153090642</v>
      </c>
      <c r="J3" s="29">
        <v>0.86508768408977932</v>
      </c>
      <c r="K3" s="29">
        <v>0.87057368592389439</v>
      </c>
      <c r="L3" s="29">
        <v>0.85939106369086826</v>
      </c>
      <c r="M3" s="29">
        <v>0.89</v>
      </c>
      <c r="N3" s="29">
        <v>0.93531598513011149</v>
      </c>
    </row>
    <row r="4" spans="1:42" x14ac:dyDescent="0.3">
      <c r="A4" t="s">
        <v>2</v>
      </c>
      <c r="N4" s="29">
        <v>0.93531598513011149</v>
      </c>
      <c r="O4" s="29">
        <v>0.94253774731760609</v>
      </c>
      <c r="P4" s="29">
        <v>0.93991110980008208</v>
      </c>
      <c r="Q4" s="29">
        <v>0.9545758686825514</v>
      </c>
      <c r="R4" s="29">
        <v>0.9732390128558237</v>
      </c>
      <c r="S4" s="29">
        <v>0.99398301202257067</v>
      </c>
      <c r="T4" s="29">
        <v>1.0133952747532748</v>
      </c>
      <c r="U4" s="29">
        <v>1.03337036593197</v>
      </c>
      <c r="V4" s="29">
        <v>1.0512003126030411</v>
      </c>
      <c r="W4" s="29">
        <v>1.068682192468186</v>
      </c>
      <c r="X4" s="29">
        <v>1.0855320466805067</v>
      </c>
    </row>
    <row r="5" spans="1:42" x14ac:dyDescent="0.3">
      <c r="A5" t="s">
        <v>14</v>
      </c>
      <c r="X5" s="29">
        <v>1.0855320466805067</v>
      </c>
      <c r="Y5" s="29">
        <v>1.1016455171081299</v>
      </c>
      <c r="Z5" s="29">
        <v>1.1200566432456074</v>
      </c>
      <c r="AA5" s="29">
        <v>1.1404508634541353</v>
      </c>
      <c r="AB5" s="29">
        <v>1.1629224124205488</v>
      </c>
      <c r="AC5" s="29">
        <v>1.1874535242161914</v>
      </c>
      <c r="AD5" s="29">
        <v>1.2139160017491522</v>
      </c>
      <c r="AE5" s="29">
        <v>1.2425178090643305</v>
      </c>
      <c r="AF5" s="29">
        <v>1.2731354181275203</v>
      </c>
      <c r="AG5" s="29">
        <v>1.3057609013207836</v>
      </c>
      <c r="AH5" s="29">
        <v>1.3405086297930786</v>
      </c>
      <c r="AI5" s="29">
        <v>1.3771224689285819</v>
      </c>
      <c r="AJ5" s="29">
        <v>1.4158453295162925</v>
      </c>
      <c r="AK5" s="29">
        <v>1.4565408745449662</v>
      </c>
      <c r="AL5" s="29">
        <v>1.4992029360154506</v>
      </c>
      <c r="AM5" s="29">
        <v>1.5438194575646076</v>
      </c>
      <c r="AN5" s="29">
        <v>1.5902270838053056</v>
      </c>
      <c r="AO5" s="29">
        <v>1.6387019135163181</v>
      </c>
      <c r="AP5" s="29">
        <v>1.6890893852299307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B85C-C3E3-4CDA-B44E-79B102FB3BA8}">
  <sheetPr>
    <pageSetUpPr fitToPage="1"/>
  </sheetPr>
  <dimension ref="A1:L49"/>
  <sheetViews>
    <sheetView topLeftCell="A8" zoomScaleNormal="100" workbookViewId="0">
      <selection activeCell="D13" sqref="D13"/>
    </sheetView>
  </sheetViews>
  <sheetFormatPr defaultColWidth="8.88671875" defaultRowHeight="14.4" x14ac:dyDescent="0.3"/>
  <cols>
    <col min="1" max="1" width="43.6640625" bestFit="1" customWidth="1"/>
    <col min="2" max="12" width="12.6640625" customWidth="1"/>
  </cols>
  <sheetData>
    <row r="1" spans="1:12" ht="36.6" x14ac:dyDescent="0.7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</row>
    <row r="3" spans="1:12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6" x14ac:dyDescent="0.3">
      <c r="A4" s="7" t="s">
        <v>23</v>
      </c>
      <c r="B4" s="8">
        <f t="shared" ref="B4:L4" si="0">B33</f>
        <v>1.9284386617100371E-2</v>
      </c>
      <c r="C4" s="8">
        <f t="shared" si="0"/>
        <v>4.473923346077332E-3</v>
      </c>
      <c r="D4" s="8">
        <f t="shared" si="0"/>
        <v>2.5289711571883436E-2</v>
      </c>
      <c r="E4" s="8">
        <f t="shared" si="0"/>
        <v>2.4410146736445034E-2</v>
      </c>
      <c r="F4" s="8">
        <f t="shared" si="0"/>
        <v>2.3414250822386708E-2</v>
      </c>
      <c r="G4" s="8">
        <f t="shared" si="0"/>
        <v>2.2693305559382829E-2</v>
      </c>
      <c r="H4" s="8">
        <f t="shared" si="0"/>
        <v>2.2107468144509715E-2</v>
      </c>
      <c r="I4" s="8">
        <f t="shared" si="0"/>
        <v>2.178740683124427E-2</v>
      </c>
      <c r="J4" s="8">
        <f t="shared" si="0"/>
        <v>2.146689376845054E-2</v>
      </c>
      <c r="K4" s="8">
        <f t="shared" si="0"/>
        <v>2.0862212092570824E-2</v>
      </c>
      <c r="L4" s="8">
        <f t="shared" si="0"/>
        <v>2.0259362236355206E-2</v>
      </c>
    </row>
    <row r="5" spans="1:12" ht="15.6" x14ac:dyDescent="0.3">
      <c r="A5" s="7" t="s">
        <v>24</v>
      </c>
      <c r="B5" s="9">
        <f t="shared" ref="B5:L5" si="1">B36</f>
        <v>7.9000000000000001E-2</v>
      </c>
      <c r="C5" s="9">
        <f t="shared" si="1"/>
        <v>5.1999999999999998E-2</v>
      </c>
      <c r="D5" s="9">
        <f t="shared" si="1"/>
        <v>4.2000000000000003E-2</v>
      </c>
      <c r="E5" s="9">
        <f t="shared" si="1"/>
        <v>4.1500000000000002E-2</v>
      </c>
      <c r="F5" s="9">
        <f t="shared" si="1"/>
        <v>4.1000000000000002E-2</v>
      </c>
      <c r="G5" s="9">
        <f t="shared" si="1"/>
        <v>3.9899999999999998E-2</v>
      </c>
      <c r="H5" s="9">
        <f t="shared" si="1"/>
        <v>3.8800000000000001E-2</v>
      </c>
      <c r="I5" s="9">
        <f t="shared" si="1"/>
        <v>3.7900000000000003E-2</v>
      </c>
      <c r="J5" s="9">
        <f t="shared" si="1"/>
        <v>3.7199999999999997E-2</v>
      </c>
      <c r="K5" s="9">
        <f t="shared" si="1"/>
        <v>3.6700000000000003E-2</v>
      </c>
      <c r="L5" s="9">
        <f t="shared" si="1"/>
        <v>3.6299999999999999E-2</v>
      </c>
    </row>
    <row r="6" spans="1:12" ht="15.6" x14ac:dyDescent="0.3">
      <c r="A6" s="7" t="s">
        <v>25</v>
      </c>
      <c r="B6" s="10">
        <f t="shared" ref="B6:L6" si="2">B39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</row>
    <row r="7" spans="1:12" ht="15.6" x14ac:dyDescent="0.3">
      <c r="A7" s="7" t="s">
        <v>26</v>
      </c>
      <c r="B7" s="10">
        <f t="shared" ref="B7:L7" si="3">B42</f>
        <v>4.0000000000000001E-3</v>
      </c>
      <c r="C7" s="10">
        <f t="shared" si="3"/>
        <v>3.0000000000000001E-3</v>
      </c>
      <c r="D7" s="10">
        <f t="shared" si="3"/>
        <v>8.0000000000000002E-3</v>
      </c>
      <c r="E7" s="10">
        <f t="shared" si="3"/>
        <v>1.9E-2</v>
      </c>
      <c r="F7" s="10">
        <f t="shared" si="3"/>
        <v>0.02</v>
      </c>
      <c r="G7" s="10">
        <f t="shared" si="3"/>
        <v>1.7999999999999999E-2</v>
      </c>
      <c r="H7" s="10">
        <f t="shared" si="3"/>
        <v>1.7000000000000001E-2</v>
      </c>
      <c r="I7" s="10">
        <f t="shared" si="3"/>
        <v>1.4999999999999999E-2</v>
      </c>
      <c r="J7" s="10">
        <f t="shared" si="3"/>
        <v>1.4999999999999999E-2</v>
      </c>
      <c r="K7" s="10">
        <f t="shared" si="3"/>
        <v>1.4999999999999999E-2</v>
      </c>
      <c r="L7" s="10">
        <f t="shared" si="3"/>
        <v>1.4999999999999999E-2</v>
      </c>
    </row>
    <row r="8" spans="1:12" ht="15.6" x14ac:dyDescent="0.3">
      <c r="A8" s="7" t="s">
        <v>27</v>
      </c>
      <c r="B8" s="10">
        <f t="shared" ref="B8:L8" si="4">B45/B11</f>
        <v>0.93531598513011149</v>
      </c>
      <c r="C8" s="10">
        <f t="shared" si="4"/>
        <v>0.94253774731760609</v>
      </c>
      <c r="D8" s="10">
        <f t="shared" si="4"/>
        <v>0.93991110980008208</v>
      </c>
      <c r="E8" s="10">
        <f t="shared" si="4"/>
        <v>0.9545758686825514</v>
      </c>
      <c r="F8" s="10">
        <f t="shared" si="4"/>
        <v>0.9732390128558237</v>
      </c>
      <c r="G8" s="10">
        <f t="shared" si="4"/>
        <v>0.99398301202257067</v>
      </c>
      <c r="H8" s="10">
        <f t="shared" si="4"/>
        <v>1.0133952747532748</v>
      </c>
      <c r="I8" s="10">
        <f t="shared" si="4"/>
        <v>1.03337036593197</v>
      </c>
      <c r="J8" s="10">
        <f t="shared" si="4"/>
        <v>1.0512003126030411</v>
      </c>
      <c r="K8" s="10">
        <f t="shared" si="4"/>
        <v>1.068682192468186</v>
      </c>
      <c r="L8" s="10">
        <f t="shared" si="4"/>
        <v>1.0855320466805067</v>
      </c>
    </row>
    <row r="9" spans="1:12" ht="15.6" x14ac:dyDescent="0.3">
      <c r="A9" s="7" t="s">
        <v>28</v>
      </c>
      <c r="B9" s="10">
        <f t="shared" ref="B9:L9" si="5">B49</f>
        <v>5.9061338289962823E-2</v>
      </c>
      <c r="C9" s="10">
        <f t="shared" si="5"/>
        <v>4.4368917972480194E-2</v>
      </c>
      <c r="D9" s="10">
        <f t="shared" si="5"/>
        <v>7.241659893776374E-2</v>
      </c>
      <c r="E9" s="10">
        <f t="shared" si="5"/>
        <v>7.8030723957477524E-2</v>
      </c>
      <c r="F9" s="10">
        <f t="shared" si="5"/>
        <v>7.8295615562853846E-2</v>
      </c>
      <c r="G9" s="10">
        <f t="shared" si="5"/>
        <v>7.5959719061937117E-2</v>
      </c>
      <c r="H9" s="10">
        <f t="shared" si="5"/>
        <v>7.4640383536496296E-2</v>
      </c>
      <c r="I9" s="10">
        <f t="shared" si="5"/>
        <v>7.2702602988949885E-2</v>
      </c>
      <c r="J9" s="10">
        <f t="shared" si="5"/>
        <v>7.2732749215750334E-2</v>
      </c>
      <c r="K9" s="10">
        <f t="shared" si="5"/>
        <v>7.2537648207030486E-2</v>
      </c>
      <c r="L9" s="10">
        <f t="shared" si="5"/>
        <v>7.2407556351848354E-2</v>
      </c>
    </row>
    <row r="10" spans="1:12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5.6" x14ac:dyDescent="0.3">
      <c r="A11" s="7" t="s">
        <v>29</v>
      </c>
      <c r="B11" s="6">
        <v>2690</v>
      </c>
      <c r="C11" s="11">
        <f t="shared" ref="C11:L11" si="6">B11*(1+C13)</f>
        <v>2837.95</v>
      </c>
      <c r="D11" s="11">
        <f t="shared" si="6"/>
        <v>2979.8474999999999</v>
      </c>
      <c r="E11" s="11">
        <f t="shared" si="6"/>
        <v>3160.1282737500001</v>
      </c>
      <c r="F11" s="11">
        <f t="shared" si="6"/>
        <v>3352.8960984487499</v>
      </c>
      <c r="G11" s="11">
        <f t="shared" si="6"/>
        <v>3547.0287825489327</v>
      </c>
      <c r="H11" s="11">
        <f t="shared" si="6"/>
        <v>3744.9529886151636</v>
      </c>
      <c r="I11" s="11">
        <f t="shared" si="6"/>
        <v>3943.0610017129056</v>
      </c>
      <c r="J11" s="11">
        <f t="shared" si="6"/>
        <v>4148.8887860023196</v>
      </c>
      <c r="K11" s="11">
        <f t="shared" si="6"/>
        <v>4363.3863362386401</v>
      </c>
      <c r="L11" s="11">
        <f t="shared" si="6"/>
        <v>4587.2280552876819</v>
      </c>
    </row>
    <row r="12" spans="1:12" ht="15.6" x14ac:dyDescent="0.3">
      <c r="A12" s="7" t="s">
        <v>26</v>
      </c>
      <c r="B12" s="12">
        <v>4.0000000000000001E-3</v>
      </c>
      <c r="C12" s="10">
        <f t="shared" ref="C12:L12" si="7">C42</f>
        <v>3.0000000000000001E-3</v>
      </c>
      <c r="D12" s="10">
        <f t="shared" si="7"/>
        <v>8.0000000000000002E-3</v>
      </c>
      <c r="E12" s="10">
        <f t="shared" si="7"/>
        <v>1.9E-2</v>
      </c>
      <c r="F12" s="10">
        <f t="shared" si="7"/>
        <v>0.02</v>
      </c>
      <c r="G12" s="10">
        <f t="shared" si="7"/>
        <v>1.7999999999999999E-2</v>
      </c>
      <c r="H12" s="10">
        <f t="shared" si="7"/>
        <v>1.7000000000000001E-2</v>
      </c>
      <c r="I12" s="10">
        <f t="shared" si="7"/>
        <v>1.4999999999999999E-2</v>
      </c>
      <c r="J12" s="10">
        <f t="shared" si="7"/>
        <v>1.4999999999999999E-2</v>
      </c>
      <c r="K12" s="10">
        <f t="shared" si="7"/>
        <v>1.4999999999999999E-2</v>
      </c>
      <c r="L12" s="10">
        <f t="shared" si="7"/>
        <v>1.4999999999999999E-2</v>
      </c>
    </row>
    <row r="13" spans="1:12" ht="15.6" x14ac:dyDescent="0.3">
      <c r="A13" s="7" t="s">
        <v>30</v>
      </c>
      <c r="B13" s="12">
        <f t="shared" ref="B13:L13" si="8">(B36+B12)</f>
        <v>8.3000000000000004E-2</v>
      </c>
      <c r="C13" s="12">
        <f t="shared" si="8"/>
        <v>5.5E-2</v>
      </c>
      <c r="D13" s="12">
        <f t="shared" si="8"/>
        <v>0.05</v>
      </c>
      <c r="E13" s="12">
        <f t="shared" si="8"/>
        <v>6.0499999999999998E-2</v>
      </c>
      <c r="F13" s="12">
        <f t="shared" si="8"/>
        <v>6.0999999999999999E-2</v>
      </c>
      <c r="G13" s="12">
        <f t="shared" si="8"/>
        <v>5.7899999999999993E-2</v>
      </c>
      <c r="H13" s="12">
        <f t="shared" si="8"/>
        <v>5.5800000000000002E-2</v>
      </c>
      <c r="I13" s="12">
        <f t="shared" si="8"/>
        <v>5.2900000000000003E-2</v>
      </c>
      <c r="J13" s="12">
        <f t="shared" si="8"/>
        <v>5.2199999999999996E-2</v>
      </c>
      <c r="K13" s="12">
        <f t="shared" si="8"/>
        <v>5.1700000000000003E-2</v>
      </c>
      <c r="L13" s="12">
        <f t="shared" si="8"/>
        <v>5.1299999999999998E-2</v>
      </c>
    </row>
    <row r="14" spans="1:12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.6" x14ac:dyDescent="0.3">
      <c r="A16" s="6" t="s">
        <v>32</v>
      </c>
      <c r="B16" s="11">
        <v>380.78800000000001</v>
      </c>
      <c r="C16" s="11">
        <f t="shared" ref="C16:L16" si="9">B16*1.01*(1+C5)</f>
        <v>404.59486576000006</v>
      </c>
      <c r="D16" s="11">
        <f t="shared" si="9"/>
        <v>425.80372862313925</v>
      </c>
      <c r="E16" s="11">
        <f t="shared" si="9"/>
        <v>447.9093291946096</v>
      </c>
      <c r="F16" s="11">
        <f t="shared" si="9"/>
        <v>470.93634780850442</v>
      </c>
      <c r="G16" s="11">
        <f t="shared" si="9"/>
        <v>494.62397516692442</v>
      </c>
      <c r="H16" s="11">
        <f t="shared" si="9"/>
        <v>518.95353925743507</v>
      </c>
      <c r="I16" s="11">
        <f t="shared" si="9"/>
        <v>544.00809717924483</v>
      </c>
      <c r="J16" s="11">
        <f t="shared" si="9"/>
        <v>569.88765037825578</v>
      </c>
      <c r="K16" s="11">
        <f t="shared" si="9"/>
        <v>596.71055241860915</v>
      </c>
      <c r="L16" s="11">
        <f t="shared" si="9"/>
        <v>624.55485692611865</v>
      </c>
    </row>
    <row r="17" spans="1:12" ht="15.6" x14ac:dyDescent="0.3">
      <c r="A17" s="6" t="s">
        <v>33</v>
      </c>
      <c r="B17" s="11">
        <v>224</v>
      </c>
      <c r="C17" s="11">
        <f t="shared" ref="C17:L17" si="10">C11*(0.083)+(B17*0.0109)</f>
        <v>237.99144999999999</v>
      </c>
      <c r="D17" s="11">
        <f>D11*(0.083)+(C17*0.0109)</f>
        <v>249.92144930500001</v>
      </c>
      <c r="E17" s="11">
        <f>E11*(0.083)+(D17*0.0109)</f>
        <v>265.01479051867454</v>
      </c>
      <c r="F17" s="11">
        <f t="shared" si="10"/>
        <v>281.17903738789977</v>
      </c>
      <c r="G17" s="11">
        <f t="shared" si="10"/>
        <v>297.46824045908954</v>
      </c>
      <c r="H17" s="11">
        <f t="shared" si="10"/>
        <v>314.07350187606266</v>
      </c>
      <c r="I17" s="11">
        <f t="shared" si="10"/>
        <v>330.6974643126203</v>
      </c>
      <c r="J17" s="11">
        <f t="shared" si="10"/>
        <v>347.96237159920008</v>
      </c>
      <c r="K17" s="11">
        <f t="shared" si="10"/>
        <v>365.95385575823843</v>
      </c>
      <c r="L17" s="11">
        <f t="shared" si="10"/>
        <v>384.72882561664238</v>
      </c>
    </row>
    <row r="18" spans="1:12" ht="15.6" x14ac:dyDescent="0.3">
      <c r="A18" s="6" t="s">
        <v>34</v>
      </c>
      <c r="B18" s="11">
        <v>124.276</v>
      </c>
      <c r="C18" s="11">
        <v>130.46700000000001</v>
      </c>
      <c r="D18" s="11">
        <f>D11*0.0547</f>
        <v>162.99765825</v>
      </c>
      <c r="E18" s="11">
        <f>E11*0.0547</f>
        <v>172.85901657412501</v>
      </c>
      <c r="F18" s="11">
        <f t="shared" ref="F18:L18" si="11">F11*0.0547</f>
        <v>183.4034165851466</v>
      </c>
      <c r="G18" s="11">
        <f t="shared" si="11"/>
        <v>194.02247440542661</v>
      </c>
      <c r="H18" s="11">
        <f t="shared" si="11"/>
        <v>204.84892847724944</v>
      </c>
      <c r="I18" s="11">
        <f t="shared" si="11"/>
        <v>215.68543679369594</v>
      </c>
      <c r="J18" s="11">
        <f t="shared" si="11"/>
        <v>226.94421659432689</v>
      </c>
      <c r="K18" s="11">
        <f t="shared" si="11"/>
        <v>238.6772325922536</v>
      </c>
      <c r="L18" s="11">
        <f t="shared" si="11"/>
        <v>250.92137462423619</v>
      </c>
    </row>
    <row r="19" spans="1:12" ht="15.6" x14ac:dyDescent="0.3">
      <c r="A19" s="6" t="s">
        <v>35</v>
      </c>
      <c r="B19" s="11">
        <f>168-B30</f>
        <v>61</v>
      </c>
      <c r="C19" s="34">
        <f>B19*(1+C13)</f>
        <v>64.35499999999999</v>
      </c>
      <c r="D19" s="34">
        <f t="shared" ref="D19:L19" si="12">C19*(1+D13)</f>
        <v>67.572749999999999</v>
      </c>
      <c r="E19" s="34">
        <f t="shared" si="12"/>
        <v>71.660901374999995</v>
      </c>
      <c r="F19" s="34">
        <f t="shared" si="12"/>
        <v>76.03221635887499</v>
      </c>
      <c r="G19" s="34">
        <f t="shared" si="12"/>
        <v>80.434481686053857</v>
      </c>
      <c r="H19" s="34">
        <f t="shared" si="12"/>
        <v>84.922725764135663</v>
      </c>
      <c r="I19" s="34">
        <f t="shared" si="12"/>
        <v>89.415137957058434</v>
      </c>
      <c r="J19" s="34">
        <f t="shared" si="12"/>
        <v>94.082608158416889</v>
      </c>
      <c r="K19" s="34">
        <f t="shared" si="12"/>
        <v>98.946679000207055</v>
      </c>
      <c r="L19" s="34">
        <f t="shared" si="12"/>
        <v>104.02264363291766</v>
      </c>
    </row>
    <row r="20" spans="1:12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13">((D11*0.011)/27.8)*100</f>
        <v>117.90763489208631</v>
      </c>
      <c r="E20" s="11">
        <f t="shared" si="13"/>
        <v>125.04104680305754</v>
      </c>
      <c r="F20" s="11">
        <f t="shared" si="13"/>
        <v>132.66855065804404</v>
      </c>
      <c r="G20" s="11">
        <f t="shared" si="13"/>
        <v>140.3500597411448</v>
      </c>
      <c r="H20" s="11">
        <f t="shared" si="13"/>
        <v>148.18159307470071</v>
      </c>
      <c r="I20" s="11">
        <f t="shared" si="13"/>
        <v>156.02039934835236</v>
      </c>
      <c r="J20" s="11">
        <f t="shared" si="13"/>
        <v>164.16466419433638</v>
      </c>
      <c r="K20" s="11">
        <f t="shared" si="13"/>
        <v>172.65197733318359</v>
      </c>
      <c r="L20" s="11">
        <f t="shared" si="13"/>
        <v>181.50902377037588</v>
      </c>
    </row>
    <row r="21" spans="1:12" ht="15.6" x14ac:dyDescent="0.3">
      <c r="A21" s="6" t="s">
        <v>37</v>
      </c>
      <c r="B21" s="10">
        <v>2.2700000000000001E-2</v>
      </c>
      <c r="C21" s="49">
        <v>2.3E-2</v>
      </c>
      <c r="D21" s="49">
        <v>2.3285714279999998E-2</v>
      </c>
      <c r="E21" s="49">
        <v>2.3571428559999996E-2</v>
      </c>
      <c r="F21" s="49">
        <v>2.3857142839999994E-2</v>
      </c>
      <c r="G21" s="49">
        <v>2.4142857119999993E-2</v>
      </c>
      <c r="H21" s="49">
        <v>2.4428571399999991E-2</v>
      </c>
      <c r="I21" s="49">
        <v>2.4714285679999989E-2</v>
      </c>
      <c r="J21" s="49">
        <v>2.4999999959999988E-2</v>
      </c>
      <c r="K21" s="49">
        <v>2.5000000000000001E-2</v>
      </c>
      <c r="L21" s="49">
        <v>2.5000000000000001E-2</v>
      </c>
    </row>
    <row r="22" spans="1:12" ht="15.6" x14ac:dyDescent="0.3">
      <c r="A22" s="6" t="s">
        <v>38</v>
      </c>
      <c r="B22" s="11">
        <v>53</v>
      </c>
      <c r="C22" s="11">
        <f t="shared" ref="C22:L22" si="14">C11*C21</f>
        <v>65.272849999999991</v>
      </c>
      <c r="D22" s="11">
        <f t="shared" si="14"/>
        <v>69.387877482972286</v>
      </c>
      <c r="E22" s="11">
        <f t="shared" si="14"/>
        <v>74.488737845134239</v>
      </c>
      <c r="F22" s="11">
        <f t="shared" si="14"/>
        <v>79.990521148370505</v>
      </c>
      <c r="G22" s="11">
        <f t="shared" si="14"/>
        <v>85.635409097606399</v>
      </c>
      <c r="H22" s="11">
        <f t="shared" si="14"/>
        <v>91.483851472028874</v>
      </c>
      <c r="I22" s="11">
        <f t="shared" si="14"/>
        <v>97.449936049999678</v>
      </c>
      <c r="J22" s="11">
        <f t="shared" si="14"/>
        <v>103.72221948410238</v>
      </c>
      <c r="K22" s="11">
        <f t="shared" si="14"/>
        <v>109.08465840596601</v>
      </c>
      <c r="L22" s="11">
        <f t="shared" si="14"/>
        <v>114.68070138219205</v>
      </c>
    </row>
    <row r="23" spans="1:12" ht="15.6" x14ac:dyDescent="0.3">
      <c r="A23" s="6" t="s">
        <v>39</v>
      </c>
      <c r="B23" s="50">
        <v>107.81100000000001</v>
      </c>
      <c r="C23" s="11">
        <f>B23*(1+C13)</f>
        <v>113.740605</v>
      </c>
      <c r="D23" s="11">
        <f t="shared" ref="D23:L23" si="15">C23*(1+D13)</f>
        <v>119.42763525000001</v>
      </c>
      <c r="E23" s="11">
        <f t="shared" si="15"/>
        <v>126.653007182625</v>
      </c>
      <c r="F23" s="11">
        <f t="shared" si="15"/>
        <v>134.37884062076512</v>
      </c>
      <c r="G23" s="11">
        <f t="shared" si="15"/>
        <v>142.15937549270743</v>
      </c>
      <c r="H23" s="11">
        <f t="shared" si="15"/>
        <v>150.09186864520052</v>
      </c>
      <c r="I23" s="11">
        <f t="shared" si="15"/>
        <v>158.03172849653163</v>
      </c>
      <c r="J23" s="11">
        <f t="shared" si="15"/>
        <v>166.28098472405057</v>
      </c>
      <c r="K23" s="11">
        <f t="shared" si="15"/>
        <v>174.877711634284</v>
      </c>
      <c r="L23" s="11">
        <f t="shared" si="15"/>
        <v>183.84893824112274</v>
      </c>
    </row>
    <row r="24" spans="1:12" ht="15.6" x14ac:dyDescent="0.3">
      <c r="A24" s="7" t="s">
        <v>40</v>
      </c>
      <c r="B24" s="16">
        <f>SUM(B16:B20,B22,B23)</f>
        <v>1078.875</v>
      </c>
      <c r="C24" s="16">
        <f t="shared" ref="C24:L24" si="16">SUM(C16:C20,C22,C23)</f>
        <v>1096.1817707600001</v>
      </c>
      <c r="D24" s="16">
        <f t="shared" si="16"/>
        <v>1213.0187338031978</v>
      </c>
      <c r="E24" s="16">
        <f t="shared" si="16"/>
        <v>1283.6268294932261</v>
      </c>
      <c r="F24" s="16">
        <f t="shared" si="16"/>
        <v>1358.5889305676055</v>
      </c>
      <c r="G24" s="16">
        <f t="shared" si="16"/>
        <v>1434.694016048953</v>
      </c>
      <c r="H24" s="16">
        <f t="shared" si="16"/>
        <v>1512.556008566813</v>
      </c>
      <c r="I24" s="16">
        <f t="shared" si="16"/>
        <v>1591.3082001375033</v>
      </c>
      <c r="J24" s="16">
        <f t="shared" si="16"/>
        <v>1673.0447151326889</v>
      </c>
      <c r="K24" s="16">
        <f t="shared" si="16"/>
        <v>1756.9026671427416</v>
      </c>
      <c r="L24" s="16">
        <f t="shared" si="16"/>
        <v>1844.2663641936056</v>
      </c>
    </row>
    <row r="25" spans="1:12" ht="15.6" x14ac:dyDescent="0.3">
      <c r="A25" s="7"/>
      <c r="B25" s="17"/>
      <c r="C25" s="11"/>
      <c r="D25" s="18"/>
      <c r="E25" s="16"/>
      <c r="F25" s="16"/>
      <c r="G25" s="16"/>
      <c r="H25" s="16"/>
      <c r="I25" s="16"/>
      <c r="J25" s="16"/>
      <c r="K25" s="16"/>
      <c r="L25" s="16"/>
    </row>
    <row r="26" spans="1:12" ht="15.6" x14ac:dyDescent="0.3">
      <c r="A26" s="19" t="s">
        <v>41</v>
      </c>
      <c r="B26" s="23">
        <v>1027</v>
      </c>
      <c r="C26" s="11">
        <f>B26*(1+C13)</f>
        <v>1083.4849999999999</v>
      </c>
      <c r="D26" s="11">
        <f t="shared" ref="D26:L26" si="17">C26*(1+D13)</f>
        <v>1137.6592499999999</v>
      </c>
      <c r="E26" s="11">
        <f t="shared" si="17"/>
        <v>1206.4876346249998</v>
      </c>
      <c r="F26" s="11">
        <f t="shared" si="17"/>
        <v>1280.0833803371247</v>
      </c>
      <c r="G26" s="11">
        <f t="shared" si="17"/>
        <v>1354.2002080586444</v>
      </c>
      <c r="H26" s="11">
        <f t="shared" si="17"/>
        <v>1429.7645796683169</v>
      </c>
      <c r="I26" s="11">
        <f t="shared" si="17"/>
        <v>1505.3991259327706</v>
      </c>
      <c r="J26" s="11">
        <f t="shared" si="17"/>
        <v>1583.9809603064614</v>
      </c>
      <c r="K26" s="11">
        <f t="shared" si="17"/>
        <v>1665.8727759543056</v>
      </c>
      <c r="L26" s="11">
        <f t="shared" si="17"/>
        <v>1751.3320493607612</v>
      </c>
    </row>
    <row r="27" spans="1:12" ht="15.6" x14ac:dyDescent="0.3">
      <c r="A27" s="7" t="s">
        <v>42</v>
      </c>
      <c r="B27" s="17">
        <f t="shared" ref="B27:L27" si="18">B26</f>
        <v>1027</v>
      </c>
      <c r="C27" s="17">
        <f t="shared" si="18"/>
        <v>1083.4849999999999</v>
      </c>
      <c r="D27" s="11">
        <f t="shared" si="18"/>
        <v>1137.6592499999999</v>
      </c>
      <c r="E27" s="11">
        <f t="shared" si="18"/>
        <v>1206.4876346249998</v>
      </c>
      <c r="F27" s="11">
        <f t="shared" si="18"/>
        <v>1280.0833803371247</v>
      </c>
      <c r="G27" s="51">
        <f t="shared" si="18"/>
        <v>1354.2002080586444</v>
      </c>
      <c r="H27" s="11">
        <f t="shared" si="18"/>
        <v>1429.7645796683169</v>
      </c>
      <c r="I27" s="11">
        <f t="shared" si="18"/>
        <v>1505.3991259327706</v>
      </c>
      <c r="J27" s="11">
        <f t="shared" si="18"/>
        <v>1583.9809603064614</v>
      </c>
      <c r="K27" s="11">
        <f t="shared" si="18"/>
        <v>1665.8727759543056</v>
      </c>
      <c r="L27" s="11">
        <f t="shared" si="18"/>
        <v>1751.3320493607612</v>
      </c>
    </row>
    <row r="28" spans="1:12" ht="15.6" x14ac:dyDescent="0.3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ht="15.6" x14ac:dyDescent="0.3">
      <c r="A29" s="6" t="s">
        <v>43</v>
      </c>
      <c r="B29" s="23">
        <v>107</v>
      </c>
      <c r="C29" s="23">
        <f t="shared" ref="C29:L29" si="19">(B45*C39)</f>
        <v>113.22</v>
      </c>
      <c r="D29" s="23">
        <f>(C45*D39)</f>
        <v>140.4309375</v>
      </c>
      <c r="E29" s="23">
        <f t="shared" si="19"/>
        <v>169.44790213098</v>
      </c>
      <c r="F29" s="23">
        <f t="shared" si="19"/>
        <v>184.01151371585507</v>
      </c>
      <c r="G29" s="23">
        <f t="shared" si="19"/>
        <v>188.93750183671318</v>
      </c>
      <c r="H29" s="23">
        <f t="shared" si="19"/>
        <v>196.73329849788769</v>
      </c>
      <c r="I29" s="23">
        <f t="shared" si="19"/>
        <v>200.7617243640118</v>
      </c>
      <c r="J29" s="23">
        <f t="shared" si="19"/>
        <v>212.696332770118</v>
      </c>
      <c r="K29" s="23">
        <f t="shared" si="19"/>
        <v>225.47989186100602</v>
      </c>
      <c r="L29" s="23">
        <f t="shared" si="19"/>
        <v>239.21565907917818</v>
      </c>
    </row>
    <row r="30" spans="1:12" ht="15.6" x14ac:dyDescent="0.3">
      <c r="A30" s="7" t="s">
        <v>44</v>
      </c>
      <c r="B30" s="23">
        <f t="shared" ref="B30:L30" si="20">(B29)</f>
        <v>107</v>
      </c>
      <c r="C30" s="23">
        <f t="shared" si="20"/>
        <v>113.22</v>
      </c>
      <c r="D30" s="23">
        <f t="shared" si="20"/>
        <v>140.4309375</v>
      </c>
      <c r="E30" s="23">
        <f t="shared" si="20"/>
        <v>169.44790213098</v>
      </c>
      <c r="F30" s="23">
        <f t="shared" si="20"/>
        <v>184.01151371585507</v>
      </c>
      <c r="G30" s="23">
        <f t="shared" si="20"/>
        <v>188.93750183671318</v>
      </c>
      <c r="H30" s="23">
        <f t="shared" si="20"/>
        <v>196.73329849788769</v>
      </c>
      <c r="I30" s="23">
        <f t="shared" si="20"/>
        <v>200.7617243640118</v>
      </c>
      <c r="J30" s="23">
        <f t="shared" si="20"/>
        <v>212.696332770118</v>
      </c>
      <c r="K30" s="23">
        <f t="shared" si="20"/>
        <v>225.47989186100602</v>
      </c>
      <c r="L30" s="23">
        <f t="shared" si="20"/>
        <v>239.21565907917818</v>
      </c>
    </row>
    <row r="31" spans="1:12" ht="15.6" x14ac:dyDescent="0.3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6" x14ac:dyDescent="0.3">
      <c r="A32" s="6" t="s">
        <v>45</v>
      </c>
      <c r="B32" s="17">
        <f>B24-B27</f>
        <v>51.875</v>
      </c>
      <c r="C32" s="17">
        <f t="shared" ref="C32:L32" si="21">C24-C27</f>
        <v>12.696770760000163</v>
      </c>
      <c r="D32" s="17">
        <f>D24-D27</f>
        <v>75.359483803197918</v>
      </c>
      <c r="E32" s="17">
        <f t="shared" si="21"/>
        <v>77.139194868226241</v>
      </c>
      <c r="F32" s="17">
        <f t="shared" si="21"/>
        <v>78.505550230480821</v>
      </c>
      <c r="G32" s="17">
        <f t="shared" si="21"/>
        <v>80.493807990308596</v>
      </c>
      <c r="H32" s="17">
        <f t="shared" si="21"/>
        <v>82.791428898496179</v>
      </c>
      <c r="I32" s="17">
        <f t="shared" si="21"/>
        <v>85.909074204732633</v>
      </c>
      <c r="J32" s="17">
        <f t="shared" si="21"/>
        <v>89.063754826227523</v>
      </c>
      <c r="K32" s="17">
        <f t="shared" si="21"/>
        <v>91.029891188436068</v>
      </c>
      <c r="L32" s="17">
        <f t="shared" si="21"/>
        <v>92.934314832844393</v>
      </c>
    </row>
    <row r="33" spans="1:12" ht="15.6" x14ac:dyDescent="0.3">
      <c r="A33" s="7" t="s">
        <v>46</v>
      </c>
      <c r="B33" s="24">
        <f t="shared" ref="B33:L33" si="22">(B32/B11)</f>
        <v>1.9284386617100371E-2</v>
      </c>
      <c r="C33" s="24">
        <f t="shared" si="22"/>
        <v>4.473923346077332E-3</v>
      </c>
      <c r="D33" s="24">
        <f t="shared" si="22"/>
        <v>2.5289711571883436E-2</v>
      </c>
      <c r="E33" s="24">
        <f t="shared" si="22"/>
        <v>2.4410146736445034E-2</v>
      </c>
      <c r="F33" s="24">
        <f t="shared" si="22"/>
        <v>2.3414250822386708E-2</v>
      </c>
      <c r="G33" s="24">
        <f t="shared" si="22"/>
        <v>2.2693305559382829E-2</v>
      </c>
      <c r="H33" s="24">
        <f t="shared" si="22"/>
        <v>2.2107468144509715E-2</v>
      </c>
      <c r="I33" s="24">
        <f t="shared" si="22"/>
        <v>2.178740683124427E-2</v>
      </c>
      <c r="J33" s="24">
        <f t="shared" si="22"/>
        <v>2.146689376845054E-2</v>
      </c>
      <c r="K33" s="24">
        <f t="shared" si="22"/>
        <v>2.0862212092570824E-2</v>
      </c>
      <c r="L33" s="24">
        <f t="shared" si="22"/>
        <v>2.0259362236355206E-2</v>
      </c>
    </row>
    <row r="34" spans="1:12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6" x14ac:dyDescent="0.3">
      <c r="A35" s="26" t="s">
        <v>47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6" x14ac:dyDescent="0.3">
      <c r="A36" s="23" t="s">
        <v>48</v>
      </c>
      <c r="B36" s="24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4.1000000000000002E-2</v>
      </c>
      <c r="G36" s="10">
        <v>3.9899999999999998E-2</v>
      </c>
      <c r="H36" s="10">
        <v>3.8800000000000001E-2</v>
      </c>
      <c r="I36" s="10">
        <v>3.7900000000000003E-2</v>
      </c>
      <c r="J36" s="10">
        <v>3.7199999999999997E-2</v>
      </c>
      <c r="K36" s="10">
        <v>3.6700000000000003E-2</v>
      </c>
      <c r="L36" s="10">
        <v>3.6299999999999999E-2</v>
      </c>
    </row>
    <row r="37" spans="1:12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6" x14ac:dyDescent="0.3">
      <c r="A38" s="26" t="s">
        <v>49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3">
      <c r="A39" s="23" t="s">
        <v>25</v>
      </c>
      <c r="B39" s="24">
        <v>4.4499999999999998E-2</v>
      </c>
      <c r="C39" s="24">
        <v>4.4999999999999998E-2</v>
      </c>
      <c r="D39" s="24">
        <v>5.2499999999999998E-2</v>
      </c>
      <c r="E39" s="24">
        <v>6.0499999999999998E-2</v>
      </c>
      <c r="F39" s="24">
        <v>6.0999999999999999E-2</v>
      </c>
      <c r="G39" s="24">
        <v>5.79E-2</v>
      </c>
      <c r="H39" s="24">
        <v>5.5800000000000002E-2</v>
      </c>
      <c r="I39" s="24">
        <v>5.2900000000000003E-2</v>
      </c>
      <c r="J39" s="24">
        <v>5.2200000000000003E-2</v>
      </c>
      <c r="K39" s="24">
        <v>5.1700000000000003E-2</v>
      </c>
      <c r="L39" s="24">
        <v>5.1299999999999998E-2</v>
      </c>
    </row>
    <row r="40" spans="1:12" x14ac:dyDescent="0.3">
      <c r="A40" s="25"/>
      <c r="B40" s="25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6" x14ac:dyDescent="0.3">
      <c r="A41" s="26" t="s">
        <v>50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6" x14ac:dyDescent="0.3">
      <c r="A42" s="23" t="s">
        <v>51</v>
      </c>
      <c r="B42" s="12">
        <v>4.0000000000000001E-3</v>
      </c>
      <c r="C42" s="10">
        <v>3.0000000000000001E-3</v>
      </c>
      <c r="D42" s="10">
        <v>8.0000000000000002E-3</v>
      </c>
      <c r="E42" s="10">
        <v>1.9E-2</v>
      </c>
      <c r="F42" s="10">
        <v>0.02</v>
      </c>
      <c r="G42" s="10">
        <v>1.7999999999999999E-2</v>
      </c>
      <c r="H42" s="10">
        <v>1.7000000000000001E-2</v>
      </c>
      <c r="I42" s="10">
        <v>1.4999999999999999E-2</v>
      </c>
      <c r="J42" s="10">
        <v>1.4999999999999999E-2</v>
      </c>
      <c r="K42" s="10">
        <v>1.4999999999999999E-2</v>
      </c>
      <c r="L42" s="10">
        <v>1.4999999999999999E-2</v>
      </c>
    </row>
    <row r="43" spans="1:12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6" x14ac:dyDescent="0.3">
      <c r="A44" s="26" t="s">
        <v>52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 x14ac:dyDescent="0.3">
      <c r="A45" s="23" t="s">
        <v>53</v>
      </c>
      <c r="B45" s="17">
        <v>2516</v>
      </c>
      <c r="C45" s="17">
        <f>B45+B48</f>
        <v>2674.875</v>
      </c>
      <c r="D45" s="17">
        <f>C45+C48</f>
        <v>2800.79177076</v>
      </c>
      <c r="E45" s="17">
        <f t="shared" ref="E45:L45" si="23">D45+D48</f>
        <v>3016.5821920631979</v>
      </c>
      <c r="F45" s="17">
        <f t="shared" si="23"/>
        <v>3263.169289062404</v>
      </c>
      <c r="G45" s="17">
        <f t="shared" si="23"/>
        <v>3525.6863530087398</v>
      </c>
      <c r="H45" s="17">
        <f t="shared" si="23"/>
        <v>3795.1176628357616</v>
      </c>
      <c r="I45" s="17">
        <f t="shared" si="23"/>
        <v>4074.6423902321453</v>
      </c>
      <c r="J45" s="17">
        <f t="shared" si="23"/>
        <v>4361.3131888008902</v>
      </c>
      <c r="K45" s="17">
        <f t="shared" si="23"/>
        <v>4663.0732763972355</v>
      </c>
      <c r="L45" s="17">
        <f t="shared" si="23"/>
        <v>4979.5830594466779</v>
      </c>
    </row>
    <row r="46" spans="1:12" x14ac:dyDescent="0.3">
      <c r="A46" s="23"/>
      <c r="B46" s="17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6" x14ac:dyDescent="0.3">
      <c r="A47" s="26" t="s">
        <v>54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 x14ac:dyDescent="0.3">
      <c r="A48" s="23" t="s">
        <v>55</v>
      </c>
      <c r="B48" s="17">
        <f>B24-B27+B30</f>
        <v>158.875</v>
      </c>
      <c r="C48" s="17">
        <f>C24-C27+C30</f>
        <v>125.91677076000016</v>
      </c>
      <c r="D48" s="17">
        <f>D24-D27+D30</f>
        <v>215.79042130319792</v>
      </c>
      <c r="E48" s="17">
        <f t="shared" ref="E48:L48" si="24">E24-E27+E30</f>
        <v>246.58709699920624</v>
      </c>
      <c r="F48" s="17">
        <f t="shared" si="24"/>
        <v>262.5170639463359</v>
      </c>
      <c r="G48" s="17">
        <f t="shared" si="24"/>
        <v>269.43130982702178</v>
      </c>
      <c r="H48" s="17">
        <f t="shared" si="24"/>
        <v>279.52472739638387</v>
      </c>
      <c r="I48" s="17">
        <f t="shared" si="24"/>
        <v>286.67079856874443</v>
      </c>
      <c r="J48" s="17">
        <f t="shared" si="24"/>
        <v>301.76008759634556</v>
      </c>
      <c r="K48" s="17">
        <f t="shared" si="24"/>
        <v>316.50978304944209</v>
      </c>
      <c r="L48" s="17">
        <f t="shared" si="24"/>
        <v>332.14997391202257</v>
      </c>
    </row>
    <row r="49" spans="1:12" ht="15.6" x14ac:dyDescent="0.3">
      <c r="A49" s="26" t="s">
        <v>56</v>
      </c>
      <c r="B49" s="24">
        <f t="shared" ref="B49:L49" si="25">B48/B11</f>
        <v>5.9061338289962823E-2</v>
      </c>
      <c r="C49" s="24">
        <f t="shared" si="25"/>
        <v>4.4368917972480194E-2</v>
      </c>
      <c r="D49" s="24">
        <f t="shared" si="25"/>
        <v>7.241659893776374E-2</v>
      </c>
      <c r="E49" s="24">
        <f t="shared" si="25"/>
        <v>7.8030723957477524E-2</v>
      </c>
      <c r="F49" s="24">
        <f t="shared" si="25"/>
        <v>7.8295615562853846E-2</v>
      </c>
      <c r="G49" s="24">
        <f t="shared" si="25"/>
        <v>7.5959719061937117E-2</v>
      </c>
      <c r="H49" s="24">
        <f t="shared" si="25"/>
        <v>7.4640383536496296E-2</v>
      </c>
      <c r="I49" s="24">
        <f t="shared" si="25"/>
        <v>7.2702602988949885E-2</v>
      </c>
      <c r="J49" s="24">
        <f t="shared" si="25"/>
        <v>7.2732749215750334E-2</v>
      </c>
      <c r="K49" s="24">
        <f t="shared" si="25"/>
        <v>7.2537648207030486E-2</v>
      </c>
      <c r="L49" s="24">
        <f t="shared" si="25"/>
        <v>7.2407556351848354E-2</v>
      </c>
    </row>
  </sheetData>
  <mergeCells count="1">
    <mergeCell ref="A1:L1"/>
  </mergeCells>
  <pageMargins left="0.7" right="0.7" top="0.75" bottom="0.75" header="0.3" footer="0.3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1105-7A28-4B24-B515-00045C5A1CB1}">
  <sheetPr>
    <pageSetUpPr fitToPage="1"/>
  </sheetPr>
  <dimension ref="A1:T61"/>
  <sheetViews>
    <sheetView zoomScale="70" zoomScaleNormal="70" workbookViewId="0">
      <selection activeCell="E4" sqref="E4:E14"/>
    </sheetView>
  </sheetViews>
  <sheetFormatPr defaultColWidth="8.88671875" defaultRowHeight="14.4" x14ac:dyDescent="0.3"/>
  <cols>
    <col min="1" max="1" width="9.6640625" bestFit="1" customWidth="1"/>
    <col min="2" max="2" width="10.33203125" bestFit="1" customWidth="1"/>
    <col min="3" max="3" width="11.33203125" bestFit="1" customWidth="1"/>
    <col min="4" max="4" width="12.6640625" bestFit="1" customWidth="1"/>
    <col min="5" max="5" width="10.33203125" bestFit="1" customWidth="1"/>
    <col min="6" max="6" width="11.33203125" bestFit="1" customWidth="1"/>
    <col min="7" max="7" width="7.44140625" bestFit="1" customWidth="1"/>
    <col min="8" max="8" width="10.33203125" bestFit="1" customWidth="1"/>
    <col min="9" max="9" width="11.33203125" bestFit="1" customWidth="1"/>
    <col min="10" max="10" width="11.109375" bestFit="1" customWidth="1"/>
    <col min="11" max="11" width="10.33203125" bestFit="1" customWidth="1"/>
    <col min="12" max="12" width="11.33203125" bestFit="1" customWidth="1"/>
    <col min="13" max="13" width="14.44140625" bestFit="1" customWidth="1"/>
    <col min="14" max="14" width="10.33203125" bestFit="1" customWidth="1"/>
    <col min="15" max="15" width="11.33203125" bestFit="1" customWidth="1"/>
    <col min="16" max="16" width="14.6640625" bestFit="1" customWidth="1"/>
    <col min="17" max="17" width="10.33203125" bestFit="1" customWidth="1"/>
    <col min="18" max="18" width="11.33203125" bestFit="1" customWidth="1"/>
    <col min="19" max="19" width="10.6640625" bestFit="1" customWidth="1"/>
    <col min="20" max="20" width="10.33203125" bestFit="1" customWidth="1"/>
  </cols>
  <sheetData>
    <row r="1" spans="1:20" ht="36.6" x14ac:dyDescent="0.7">
      <c r="A1" s="78" t="s">
        <v>57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x14ac:dyDescent="0.3">
      <c r="A2" t="s">
        <v>2</v>
      </c>
      <c r="D2" t="s">
        <v>23</v>
      </c>
      <c r="G2" t="s">
        <v>24</v>
      </c>
      <c r="J2" t="s">
        <v>25</v>
      </c>
      <c r="M2" t="s">
        <v>26</v>
      </c>
      <c r="P2" t="s">
        <v>58</v>
      </c>
      <c r="S2" t="s">
        <v>28</v>
      </c>
    </row>
    <row r="3" spans="1:20" x14ac:dyDescent="0.3">
      <c r="A3" t="s">
        <v>21</v>
      </c>
      <c r="B3" t="s">
        <v>59</v>
      </c>
      <c r="C3" t="s">
        <v>60</v>
      </c>
      <c r="D3" t="s">
        <v>61</v>
      </c>
      <c r="E3" t="s">
        <v>62</v>
      </c>
      <c r="F3" t="s">
        <v>60</v>
      </c>
      <c r="G3" t="s">
        <v>61</v>
      </c>
      <c r="H3" t="s">
        <v>62</v>
      </c>
      <c r="I3" t="s">
        <v>60</v>
      </c>
      <c r="J3" t="s">
        <v>61</v>
      </c>
      <c r="K3" t="s">
        <v>62</v>
      </c>
      <c r="L3" t="s">
        <v>60</v>
      </c>
      <c r="M3" t="s">
        <v>61</v>
      </c>
      <c r="N3" t="s">
        <v>62</v>
      </c>
      <c r="O3" t="s">
        <v>60</v>
      </c>
      <c r="P3" t="s">
        <v>61</v>
      </c>
      <c r="Q3" t="s">
        <v>62</v>
      </c>
      <c r="R3" t="s">
        <v>60</v>
      </c>
      <c r="S3" t="s">
        <v>61</v>
      </c>
      <c r="T3" t="s">
        <v>62</v>
      </c>
    </row>
    <row r="4" spans="1:20" x14ac:dyDescent="0.3">
      <c r="A4">
        <v>2022</v>
      </c>
      <c r="B4" s="29">
        <v>0</v>
      </c>
      <c r="C4" s="29">
        <v>1.9284386617100371E-2</v>
      </c>
      <c r="D4" s="29">
        <v>1.9284386617100371E-2</v>
      </c>
      <c r="E4" s="29">
        <v>1.9284386617100371E-2</v>
      </c>
      <c r="F4" s="29">
        <v>7.9000000000000001E-2</v>
      </c>
      <c r="G4" s="29">
        <v>7.9000000000000001E-2</v>
      </c>
      <c r="H4" s="29">
        <v>7.9000000000000001E-2</v>
      </c>
      <c r="I4" s="29">
        <v>4.4499999999999998E-2</v>
      </c>
      <c r="J4" s="29">
        <v>4.4499999999999998E-2</v>
      </c>
      <c r="K4" s="29">
        <v>4.4499999999999998E-2</v>
      </c>
      <c r="L4" s="29">
        <v>4.0000000000000001E-3</v>
      </c>
      <c r="M4" s="29">
        <v>4.0000000000000001E-3</v>
      </c>
      <c r="N4" s="29">
        <v>4.0000000000000001E-3</v>
      </c>
      <c r="O4" s="29">
        <v>0.93531598513011149</v>
      </c>
      <c r="P4" s="29">
        <v>0.93531598513011149</v>
      </c>
      <c r="Q4" s="29">
        <v>0.93531598513011149</v>
      </c>
      <c r="R4" s="29">
        <v>5.9061338289962823E-2</v>
      </c>
      <c r="S4" s="29">
        <v>5.9061338289962823E-2</v>
      </c>
      <c r="T4" s="29">
        <v>5.9061338289962823E-2</v>
      </c>
    </row>
    <row r="5" spans="1:20" x14ac:dyDescent="0.3">
      <c r="A5">
        <v>2023</v>
      </c>
      <c r="B5" s="29">
        <v>0.1</v>
      </c>
      <c r="C5" s="29">
        <v>2.9928770189750278E-3</v>
      </c>
      <c r="D5" s="29">
        <v>4.473923346077332E-3</v>
      </c>
      <c r="E5" s="29">
        <v>5.9549696731796362E-3</v>
      </c>
      <c r="F5" s="29">
        <v>4.9299999999999997E-2</v>
      </c>
      <c r="G5" s="29">
        <v>5.1999999999999998E-2</v>
      </c>
      <c r="H5" s="29">
        <v>5.4699999999999999E-2</v>
      </c>
      <c r="I5" s="29">
        <v>4.4949999999999997E-2</v>
      </c>
      <c r="J5" s="29">
        <v>4.4999999999999998E-2</v>
      </c>
      <c r="K5" s="29">
        <v>4.505E-2</v>
      </c>
      <c r="L5" s="29">
        <v>2.9000000000000002E-3</v>
      </c>
      <c r="M5" s="29">
        <v>3.0000000000000001E-3</v>
      </c>
      <c r="N5" s="29">
        <v>3.0999999999999999E-3</v>
      </c>
      <c r="O5" s="29">
        <v>0.94181557109885661</v>
      </c>
      <c r="P5" s="29">
        <v>0.94253774731760609</v>
      </c>
      <c r="Q5" s="29">
        <v>0.94325992353635557</v>
      </c>
      <c r="R5" s="29">
        <v>4.2899675940731935E-2</v>
      </c>
      <c r="S5" s="29">
        <v>4.4368917972480194E-2</v>
      </c>
      <c r="T5" s="29">
        <v>4.5838160004228454E-2</v>
      </c>
    </row>
    <row r="6" spans="1:20" x14ac:dyDescent="0.3">
      <c r="A6">
        <v>2024</v>
      </c>
      <c r="B6" s="29">
        <v>0.11000000000000001</v>
      </c>
      <c r="C6" s="29">
        <v>2.3208132749302824E-2</v>
      </c>
      <c r="D6" s="29">
        <v>2.5289711571883436E-2</v>
      </c>
      <c r="E6" s="29">
        <v>2.7371290394464048E-2</v>
      </c>
      <c r="F6" s="29">
        <v>3.7930000000000005E-2</v>
      </c>
      <c r="G6" s="29">
        <v>4.2000000000000003E-2</v>
      </c>
      <c r="H6" s="29">
        <v>4.607E-2</v>
      </c>
      <c r="I6" s="29">
        <v>5.1619999999999999E-2</v>
      </c>
      <c r="J6" s="29">
        <v>5.2499999999999998E-2</v>
      </c>
      <c r="K6" s="29">
        <v>5.3379999999999997E-2</v>
      </c>
      <c r="L6" s="29">
        <v>7.5599999999999999E-3</v>
      </c>
      <c r="M6" s="29">
        <v>8.0000000000000002E-3</v>
      </c>
      <c r="N6" s="29">
        <v>8.4399999999999996E-3</v>
      </c>
      <c r="O6" s="29">
        <v>0.93861125224576092</v>
      </c>
      <c r="P6" s="29">
        <v>0.93991110980008208</v>
      </c>
      <c r="Q6" s="29">
        <v>0.94121096735440324</v>
      </c>
      <c r="R6" s="29">
        <v>7.0947520266505637E-2</v>
      </c>
      <c r="S6" s="29">
        <v>7.241659893776374E-2</v>
      </c>
      <c r="T6" s="29">
        <v>7.3885677609021844E-2</v>
      </c>
    </row>
    <row r="7" spans="1:20" x14ac:dyDescent="0.3">
      <c r="A7">
        <v>2025</v>
      </c>
      <c r="B7" s="29">
        <v>0.12100000000000002</v>
      </c>
      <c r="C7" s="29">
        <v>2.1815991901929958E-2</v>
      </c>
      <c r="D7" s="29">
        <v>2.4410146736445034E-2</v>
      </c>
      <c r="E7" s="29">
        <v>2.700430157096011E-2</v>
      </c>
      <c r="F7" s="29">
        <v>3.6962500000000002E-2</v>
      </c>
      <c r="G7" s="29">
        <v>4.1500000000000002E-2</v>
      </c>
      <c r="H7" s="29">
        <v>4.6037500000000002E-2</v>
      </c>
      <c r="I7" s="29">
        <v>5.8563999999999998E-2</v>
      </c>
      <c r="J7" s="29">
        <v>6.0499999999999998E-2</v>
      </c>
      <c r="K7" s="29">
        <v>6.2435999999999998E-2</v>
      </c>
      <c r="L7" s="29">
        <v>1.7184999999999999E-2</v>
      </c>
      <c r="M7" s="29">
        <v>1.9E-2</v>
      </c>
      <c r="N7" s="29">
        <v>2.0815E-2</v>
      </c>
      <c r="O7" s="29">
        <v>0.95081557946295292</v>
      </c>
      <c r="P7" s="29">
        <v>0.9545758686825514</v>
      </c>
      <c r="Q7" s="29">
        <v>0.95833615790214988</v>
      </c>
      <c r="R7" s="29">
        <v>7.5735428291708248E-2</v>
      </c>
      <c r="S7" s="29">
        <v>7.8030723957477524E-2</v>
      </c>
      <c r="T7" s="29">
        <v>8.03260196232468E-2</v>
      </c>
    </row>
    <row r="8" spans="1:20" x14ac:dyDescent="0.3">
      <c r="A8">
        <v>2026</v>
      </c>
      <c r="B8" s="29">
        <v>0.13310000000000002</v>
      </c>
      <c r="C8" s="29">
        <v>2.0407109567342999E-2</v>
      </c>
      <c r="D8" s="29">
        <v>2.3414250822386708E-2</v>
      </c>
      <c r="E8" s="29">
        <v>2.6421392077430418E-2</v>
      </c>
      <c r="F8" s="29">
        <v>3.5942200000000001E-2</v>
      </c>
      <c r="G8" s="29">
        <v>4.1000000000000002E-2</v>
      </c>
      <c r="H8" s="29">
        <v>4.6057800000000003E-2</v>
      </c>
      <c r="I8" s="29">
        <v>5.8803849999999998E-2</v>
      </c>
      <c r="J8" s="29">
        <v>6.0999999999999999E-2</v>
      </c>
      <c r="K8" s="29">
        <v>6.3196149999999993E-2</v>
      </c>
      <c r="L8" s="29">
        <v>1.7870400000000002E-2</v>
      </c>
      <c r="M8" s="29">
        <v>0.02</v>
      </c>
      <c r="N8" s="29">
        <v>2.2129599999999999E-2</v>
      </c>
      <c r="O8" s="29">
        <v>0.96405513972397305</v>
      </c>
      <c r="P8" s="29">
        <v>0.9732390128558237</v>
      </c>
      <c r="Q8" s="29">
        <v>0.98242288598767435</v>
      </c>
      <c r="R8" s="29">
        <v>7.5735533257832055E-2</v>
      </c>
      <c r="S8" s="29">
        <v>7.8295615562853846E-2</v>
      </c>
      <c r="T8" s="29">
        <v>8.0855697867875637E-2</v>
      </c>
    </row>
    <row r="9" spans="1:20" x14ac:dyDescent="0.3">
      <c r="A9">
        <v>2027</v>
      </c>
      <c r="B9" s="29">
        <v>0.14641000000000004</v>
      </c>
      <c r="C9" s="29">
        <v>1.9345272410110873E-2</v>
      </c>
      <c r="D9" s="29">
        <v>2.2693305559382829E-2</v>
      </c>
      <c r="E9" s="29">
        <v>2.6041338708654785E-2</v>
      </c>
      <c r="F9" s="29">
        <v>3.4175368999999997E-2</v>
      </c>
      <c r="G9" s="29">
        <v>3.9899999999999998E-2</v>
      </c>
      <c r="H9" s="29">
        <v>4.5624630999999999E-2</v>
      </c>
      <c r="I9" s="29">
        <v>5.5938106000000001E-2</v>
      </c>
      <c r="J9" s="29">
        <v>5.79E-2</v>
      </c>
      <c r="K9" s="29">
        <v>5.9861893999999999E-2</v>
      </c>
      <c r="L9" s="29">
        <v>1.5950259999999997E-2</v>
      </c>
      <c r="M9" s="29">
        <v>1.7999999999999999E-2</v>
      </c>
      <c r="N9" s="29">
        <v>2.004974E-2</v>
      </c>
      <c r="O9" s="29">
        <v>0.97529131217021003</v>
      </c>
      <c r="P9" s="29">
        <v>0.99398301202257067</v>
      </c>
      <c r="Q9" s="29">
        <v>1.0126747118749313</v>
      </c>
      <c r="R9" s="29">
        <v>7.3485627133112366E-2</v>
      </c>
      <c r="S9" s="29">
        <v>7.5959719061937117E-2</v>
      </c>
      <c r="T9" s="29">
        <v>7.8433810990761868E-2</v>
      </c>
    </row>
    <row r="10" spans="1:20" x14ac:dyDescent="0.3">
      <c r="A10">
        <v>2028</v>
      </c>
      <c r="B10" s="29">
        <v>0.16105100000000006</v>
      </c>
      <c r="C10" s="29">
        <v>1.8477126842496826E-2</v>
      </c>
      <c r="D10" s="29">
        <v>2.2107468144509715E-2</v>
      </c>
      <c r="E10" s="29">
        <v>2.5737809446522604E-2</v>
      </c>
      <c r="F10" s="29">
        <v>3.2325749799999998E-2</v>
      </c>
      <c r="G10" s="29">
        <v>3.8800000000000001E-2</v>
      </c>
      <c r="H10" s="29">
        <v>4.5274250200000005E-2</v>
      </c>
      <c r="I10" s="29">
        <v>5.39801237E-2</v>
      </c>
      <c r="J10" s="29">
        <v>5.5800000000000002E-2</v>
      </c>
      <c r="K10" s="29">
        <v>5.7619876300000004E-2</v>
      </c>
      <c r="L10" s="29">
        <v>1.4906337E-2</v>
      </c>
      <c r="M10" s="29">
        <v>1.7000000000000001E-2</v>
      </c>
      <c r="N10" s="29">
        <v>1.9093663000000004E-2</v>
      </c>
      <c r="O10" s="29">
        <v>0.98025965724257802</v>
      </c>
      <c r="P10" s="29">
        <v>1.0133952747532748</v>
      </c>
      <c r="Q10" s="29">
        <v>1.0465308922639718</v>
      </c>
      <c r="R10" s="29">
        <v>7.2131362720496833E-2</v>
      </c>
      <c r="S10" s="29">
        <v>7.4640383536496296E-2</v>
      </c>
      <c r="T10" s="29">
        <v>7.714940435249576E-2</v>
      </c>
    </row>
    <row r="11" spans="1:20" x14ac:dyDescent="0.3">
      <c r="A11">
        <v>2029</v>
      </c>
      <c r="B11" s="29">
        <v>0.17715610000000007</v>
      </c>
      <c r="C11" s="29">
        <v>1.7906763507817038E-2</v>
      </c>
      <c r="D11" s="29">
        <v>2.1787406831244326E-2</v>
      </c>
      <c r="E11" s="29">
        <v>2.5668050154671614E-2</v>
      </c>
      <c r="F11" s="29">
        <v>3.0618884290000002E-2</v>
      </c>
      <c r="G11" s="29">
        <v>3.7900000000000003E-2</v>
      </c>
      <c r="H11" s="29">
        <v>4.5181115710000004E-2</v>
      </c>
      <c r="I11" s="29">
        <v>5.1411888760000003E-2</v>
      </c>
      <c r="J11" s="29">
        <v>5.2900000000000003E-2</v>
      </c>
      <c r="K11" s="29">
        <v>5.4388111240000002E-2</v>
      </c>
      <c r="L11" s="29">
        <v>1.3051282899999999E-2</v>
      </c>
      <c r="M11" s="29">
        <v>1.4999999999999999E-2</v>
      </c>
      <c r="N11" s="29">
        <v>1.69487171E-2</v>
      </c>
      <c r="O11" s="29">
        <v>0.97955025497943127</v>
      </c>
      <c r="P11" s="29">
        <v>1.03337036593197</v>
      </c>
      <c r="Q11" s="29">
        <v>1.0871904768845086</v>
      </c>
      <c r="R11" s="29">
        <v>7.0285969735809709E-2</v>
      </c>
      <c r="S11" s="29">
        <v>7.2702602988949941E-2</v>
      </c>
      <c r="T11" s="29">
        <v>7.5119236242090173E-2</v>
      </c>
    </row>
    <row r="12" spans="1:20" x14ac:dyDescent="0.3">
      <c r="A12">
        <v>2030</v>
      </c>
      <c r="B12" s="29">
        <v>0.19487171000000009</v>
      </c>
      <c r="C12" s="29">
        <v>1.7367999729888235E-2</v>
      </c>
      <c r="D12" s="29">
        <v>2.146689376845054E-2</v>
      </c>
      <c r="E12" s="29">
        <v>2.5565787807012845E-2</v>
      </c>
      <c r="F12" s="29">
        <v>2.9054362521999992E-2</v>
      </c>
      <c r="G12" s="29">
        <v>3.7199999999999997E-2</v>
      </c>
      <c r="H12" s="29">
        <v>4.5345637478000002E-2</v>
      </c>
      <c r="I12" s="29">
        <v>5.0699487833000004E-2</v>
      </c>
      <c r="J12" s="29">
        <v>5.2200000000000003E-2</v>
      </c>
      <c r="K12" s="29">
        <v>5.3700512167000003E-2</v>
      </c>
      <c r="L12" s="29">
        <v>1.2856411189999998E-2</v>
      </c>
      <c r="M12" s="29">
        <v>1.4999999999999999E-2</v>
      </c>
      <c r="N12" s="29">
        <v>1.7143588809999999E-2</v>
      </c>
      <c r="O12" s="29">
        <v>0.96941561349839889</v>
      </c>
      <c r="P12" s="29">
        <v>1.0512003126030411</v>
      </c>
      <c r="Q12" s="29">
        <v>1.1329850117076834</v>
      </c>
      <c r="R12" s="29">
        <v>7.0068577990529443E-2</v>
      </c>
      <c r="S12" s="29">
        <v>7.2732749215750334E-2</v>
      </c>
      <c r="T12" s="29">
        <v>7.5396920440971224E-2</v>
      </c>
    </row>
    <row r="13" spans="1:20" x14ac:dyDescent="0.3">
      <c r="A13">
        <v>2031</v>
      </c>
      <c r="B13" s="29">
        <v>0.21435888100000011</v>
      </c>
      <c r="C13" s="29">
        <v>1.6605535506461475E-2</v>
      </c>
      <c r="D13" s="29">
        <v>2.0862212092570824E-2</v>
      </c>
      <c r="E13" s="29">
        <v>2.5118888678680173E-2</v>
      </c>
      <c r="F13" s="29">
        <v>2.7632619333699999E-2</v>
      </c>
      <c r="G13" s="29">
        <v>3.6700000000000003E-2</v>
      </c>
      <c r="H13" s="29">
        <v>4.5767380666300012E-2</v>
      </c>
      <c r="I13" s="29">
        <v>5.0156616056800003E-2</v>
      </c>
      <c r="J13" s="29">
        <v>5.1700000000000003E-2</v>
      </c>
      <c r="K13" s="29">
        <v>5.3243383943200003E-2</v>
      </c>
      <c r="L13" s="29">
        <v>1.2642052308999998E-2</v>
      </c>
      <c r="M13" s="29">
        <v>1.4999999999999999E-2</v>
      </c>
      <c r="N13" s="29">
        <v>1.7357947690999999E-2</v>
      </c>
      <c r="O13" s="29">
        <v>0.95013079248487575</v>
      </c>
      <c r="P13" s="29">
        <v>1.068682192468186</v>
      </c>
      <c r="Q13" s="29">
        <v>1.1872335924514961</v>
      </c>
      <c r="R13" s="29">
        <v>6.9648881493198658E-2</v>
      </c>
      <c r="S13" s="29">
        <v>7.2537648207030486E-2</v>
      </c>
      <c r="T13" s="29">
        <v>7.5426414920862314E-2</v>
      </c>
    </row>
    <row r="14" spans="1:20" x14ac:dyDescent="0.3">
      <c r="A14">
        <v>2032</v>
      </c>
      <c r="B14" s="29">
        <v>0.23579476910000013</v>
      </c>
      <c r="C14" s="29">
        <v>1.5905188088320373E-2</v>
      </c>
      <c r="D14" s="29">
        <v>2.0259362236355206E-2</v>
      </c>
      <c r="E14" s="29">
        <v>2.4613536384390039E-2</v>
      </c>
      <c r="F14" s="29">
        <v>2.6231563359429992E-2</v>
      </c>
      <c r="G14" s="29">
        <v>3.6299999999999999E-2</v>
      </c>
      <c r="H14" s="29">
        <v>4.6368436640570006E-2</v>
      </c>
      <c r="I14" s="29">
        <v>4.9696595570119996E-2</v>
      </c>
      <c r="J14" s="29">
        <v>5.1299999999999998E-2</v>
      </c>
      <c r="K14" s="29">
        <v>5.2903404429880001E-2</v>
      </c>
      <c r="L14" s="29">
        <v>1.2406257539899998E-2</v>
      </c>
      <c r="M14" s="29">
        <v>1.4999999999999999E-2</v>
      </c>
      <c r="N14" s="29">
        <v>1.7593742460100002E-2</v>
      </c>
      <c r="O14" s="29">
        <v>0.91970534515047864</v>
      </c>
      <c r="P14" s="29">
        <v>1.0855320466805067</v>
      </c>
      <c r="Q14" s="29">
        <v>1.2513587482105348</v>
      </c>
      <c r="R14" s="29">
        <v>6.9260587945587801E-2</v>
      </c>
      <c r="S14" s="29">
        <v>7.2407556351848354E-2</v>
      </c>
      <c r="T14" s="29">
        <v>7.5554524758108907E-2</v>
      </c>
    </row>
    <row r="49" spans="1:11" x14ac:dyDescent="0.3">
      <c r="A49" t="s">
        <v>23</v>
      </c>
      <c r="C49" t="s">
        <v>48</v>
      </c>
      <c r="E49" t="s">
        <v>25</v>
      </c>
      <c r="G49" t="s">
        <v>51</v>
      </c>
      <c r="I49" t="s">
        <v>63</v>
      </c>
      <c r="K49" t="s">
        <v>64</v>
      </c>
    </row>
    <row r="50" spans="1:11" x14ac:dyDescent="0.3">
      <c r="A50" t="s">
        <v>65</v>
      </c>
      <c r="C50" t="s">
        <v>65</v>
      </c>
      <c r="E50" t="s">
        <v>65</v>
      </c>
      <c r="G50" t="s">
        <v>65</v>
      </c>
      <c r="I50" t="s">
        <v>65</v>
      </c>
      <c r="K50" t="s">
        <v>65</v>
      </c>
    </row>
    <row r="51" spans="1:11" x14ac:dyDescent="0.3">
      <c r="A51" s="29">
        <f t="shared" ref="A51:A61" si="0">D4-C4</f>
        <v>0</v>
      </c>
      <c r="B51" s="29"/>
      <c r="C51" s="29">
        <f t="shared" ref="C51:C61" si="1">G4-F4</f>
        <v>0</v>
      </c>
      <c r="E51" s="29">
        <f t="shared" ref="E51:E61" si="2">J4-I4</f>
        <v>0</v>
      </c>
      <c r="F51" s="29"/>
      <c r="G51" s="29">
        <f t="shared" ref="G51:G61" si="3">M4-L4</f>
        <v>0</v>
      </c>
      <c r="I51" s="29">
        <f t="shared" ref="I51:I61" si="4">P4-O4</f>
        <v>0</v>
      </c>
      <c r="J51" s="29"/>
      <c r="K51" s="29">
        <f t="shared" ref="K51:K61" si="5">S4-R4</f>
        <v>0</v>
      </c>
    </row>
    <row r="52" spans="1:11" x14ac:dyDescent="0.3">
      <c r="A52" s="29">
        <f t="shared" si="0"/>
        <v>1.4810463271023042E-3</v>
      </c>
      <c r="B52" s="29"/>
      <c r="C52" s="29">
        <f t="shared" si="1"/>
        <v>2.700000000000001E-3</v>
      </c>
      <c r="E52" s="29">
        <f t="shared" si="2"/>
        <v>5.0000000000001432E-5</v>
      </c>
      <c r="F52" s="29"/>
      <c r="G52" s="29">
        <f t="shared" si="3"/>
        <v>9.9999999999999829E-5</v>
      </c>
      <c r="I52" s="29">
        <f t="shared" si="4"/>
        <v>7.2217621874948179E-4</v>
      </c>
      <c r="J52" s="29"/>
      <c r="K52" s="29">
        <f t="shared" si="5"/>
        <v>1.4692420317482593E-3</v>
      </c>
    </row>
    <row r="53" spans="1:11" x14ac:dyDescent="0.3">
      <c r="A53" s="29">
        <f t="shared" si="0"/>
        <v>2.0815788225806119E-3</v>
      </c>
      <c r="B53" s="29"/>
      <c r="C53" s="29">
        <f t="shared" si="1"/>
        <v>4.0699999999999972E-3</v>
      </c>
      <c r="E53" s="29">
        <f t="shared" si="2"/>
        <v>8.7999999999999884E-4</v>
      </c>
      <c r="F53" s="29"/>
      <c r="G53" s="29">
        <f t="shared" si="3"/>
        <v>4.4000000000000029E-4</v>
      </c>
      <c r="I53" s="29">
        <f t="shared" si="4"/>
        <v>1.2998575543211599E-3</v>
      </c>
      <c r="J53" s="29"/>
      <c r="K53" s="29">
        <f t="shared" si="5"/>
        <v>1.4690786712581033E-3</v>
      </c>
    </row>
    <row r="54" spans="1:11" x14ac:dyDescent="0.3">
      <c r="A54" s="29">
        <f t="shared" si="0"/>
        <v>2.5941548345150764E-3</v>
      </c>
      <c r="B54" s="29"/>
      <c r="C54" s="29">
        <f t="shared" si="1"/>
        <v>4.5374999999999999E-3</v>
      </c>
      <c r="E54" s="29">
        <f t="shared" si="2"/>
        <v>1.9360000000000002E-3</v>
      </c>
      <c r="F54" s="29"/>
      <c r="G54" s="29">
        <f t="shared" si="3"/>
        <v>1.8150000000000006E-3</v>
      </c>
      <c r="I54" s="29">
        <f t="shared" si="4"/>
        <v>3.7602892195984783E-3</v>
      </c>
      <c r="J54" s="29"/>
      <c r="K54" s="29">
        <f t="shared" si="5"/>
        <v>2.2952956657692758E-3</v>
      </c>
    </row>
    <row r="55" spans="1:11" x14ac:dyDescent="0.3">
      <c r="A55" s="29">
        <f t="shared" si="0"/>
        <v>3.0071412550437097E-3</v>
      </c>
      <c r="B55" s="29"/>
      <c r="C55" s="29">
        <f t="shared" si="1"/>
        <v>5.0578000000000012E-3</v>
      </c>
      <c r="E55" s="29">
        <f t="shared" si="2"/>
        <v>2.1961500000000009E-3</v>
      </c>
      <c r="F55" s="29"/>
      <c r="G55" s="29">
        <f t="shared" si="3"/>
        <v>2.1295999999999989E-3</v>
      </c>
      <c r="I55" s="29">
        <f t="shared" si="4"/>
        <v>9.1838731318506506E-3</v>
      </c>
      <c r="J55" s="29"/>
      <c r="K55" s="29">
        <f t="shared" si="5"/>
        <v>2.5600823050217908E-3</v>
      </c>
    </row>
    <row r="56" spans="1:11" x14ac:dyDescent="0.3">
      <c r="A56" s="29">
        <f t="shared" si="0"/>
        <v>3.3480331492719562E-3</v>
      </c>
      <c r="B56" s="29"/>
      <c r="C56" s="29">
        <f t="shared" si="1"/>
        <v>5.7246310000000009E-3</v>
      </c>
      <c r="E56" s="29">
        <f t="shared" si="2"/>
        <v>1.9618939999999988E-3</v>
      </c>
      <c r="F56" s="29"/>
      <c r="G56" s="29">
        <f t="shared" si="3"/>
        <v>2.0497400000000013E-3</v>
      </c>
      <c r="I56" s="29">
        <f t="shared" si="4"/>
        <v>1.8691699852360633E-2</v>
      </c>
      <c r="J56" s="29"/>
      <c r="K56" s="29">
        <f t="shared" si="5"/>
        <v>2.4740919288247509E-3</v>
      </c>
    </row>
    <row r="57" spans="1:11" x14ac:dyDescent="0.3">
      <c r="A57" s="29">
        <f t="shared" si="0"/>
        <v>3.6303413020128891E-3</v>
      </c>
      <c r="B57" s="29"/>
      <c r="C57" s="29">
        <f t="shared" si="1"/>
        <v>6.4742502000000035E-3</v>
      </c>
      <c r="E57" s="29">
        <f t="shared" si="2"/>
        <v>1.8198763000000021E-3</v>
      </c>
      <c r="F57" s="29"/>
      <c r="G57" s="29">
        <f t="shared" si="3"/>
        <v>2.0936630000000008E-3</v>
      </c>
      <c r="I57" s="29">
        <f t="shared" si="4"/>
        <v>3.3135617510696824E-2</v>
      </c>
      <c r="J57" s="29"/>
      <c r="K57" s="29">
        <f t="shared" si="5"/>
        <v>2.5090208159994631E-3</v>
      </c>
    </row>
    <row r="58" spans="1:11" x14ac:dyDescent="0.3">
      <c r="A58" s="29">
        <f t="shared" si="0"/>
        <v>3.880643323427288E-3</v>
      </c>
      <c r="B58" s="29"/>
      <c r="C58" s="29">
        <f t="shared" si="1"/>
        <v>7.281115710000001E-3</v>
      </c>
      <c r="E58" s="29">
        <f t="shared" si="2"/>
        <v>1.4881112399999993E-3</v>
      </c>
      <c r="F58" s="29"/>
      <c r="G58" s="29">
        <f t="shared" si="3"/>
        <v>1.9487171000000005E-3</v>
      </c>
      <c r="I58" s="29">
        <f t="shared" si="4"/>
        <v>5.3820110952538691E-2</v>
      </c>
      <c r="J58" s="29"/>
      <c r="K58" s="29">
        <f t="shared" si="5"/>
        <v>2.4166332531402324E-3</v>
      </c>
    </row>
    <row r="59" spans="1:11" x14ac:dyDescent="0.3">
      <c r="A59" s="29">
        <f t="shared" si="0"/>
        <v>4.0988940385623049E-3</v>
      </c>
      <c r="B59" s="29"/>
      <c r="C59" s="29">
        <f t="shared" si="1"/>
        <v>8.1456374780000049E-3</v>
      </c>
      <c r="E59" s="29">
        <f t="shared" si="2"/>
        <v>1.5005121669999996E-3</v>
      </c>
      <c r="F59" s="29"/>
      <c r="G59" s="29">
        <f t="shared" si="3"/>
        <v>2.1435888100000012E-3</v>
      </c>
      <c r="I59" s="29">
        <f t="shared" si="4"/>
        <v>8.1784699104642256E-2</v>
      </c>
      <c r="J59" s="29"/>
      <c r="K59" s="29">
        <f t="shared" si="5"/>
        <v>2.6641712252208904E-3</v>
      </c>
    </row>
    <row r="60" spans="1:11" x14ac:dyDescent="0.3">
      <c r="A60" s="29">
        <f t="shared" si="0"/>
        <v>4.2566765861093495E-3</v>
      </c>
      <c r="B60" s="29"/>
      <c r="C60" s="29">
        <f t="shared" si="1"/>
        <v>9.0673806663000046E-3</v>
      </c>
      <c r="E60" s="29">
        <f t="shared" si="2"/>
        <v>1.5433839431999996E-3</v>
      </c>
      <c r="F60" s="29"/>
      <c r="G60" s="29">
        <f t="shared" si="3"/>
        <v>2.3579476910000011E-3</v>
      </c>
      <c r="I60" s="29">
        <f t="shared" si="4"/>
        <v>0.11855139998331021</v>
      </c>
      <c r="J60" s="29"/>
      <c r="K60" s="29">
        <f t="shared" si="5"/>
        <v>2.8887667138318279E-3</v>
      </c>
    </row>
    <row r="61" spans="1:11" x14ac:dyDescent="0.3">
      <c r="A61" s="29">
        <f t="shared" si="0"/>
        <v>4.3541741480348332E-3</v>
      </c>
      <c r="B61" s="29"/>
      <c r="C61" s="29">
        <f t="shared" si="1"/>
        <v>1.0068436640570007E-2</v>
      </c>
      <c r="E61" s="29">
        <f t="shared" si="2"/>
        <v>1.6034044298800024E-3</v>
      </c>
      <c r="F61" s="29"/>
      <c r="G61" s="29">
        <f t="shared" si="3"/>
        <v>2.5937424601000011E-3</v>
      </c>
      <c r="I61" s="29">
        <f t="shared" si="4"/>
        <v>0.1658267015300281</v>
      </c>
      <c r="J61" s="29"/>
      <c r="K61" s="29">
        <f t="shared" si="5"/>
        <v>3.146968406260553E-3</v>
      </c>
    </row>
  </sheetData>
  <mergeCells count="1">
    <mergeCell ref="A1:T1"/>
  </mergeCells>
  <pageMargins left="0.7" right="0.7" top="0.75" bottom="0.75" header="0.3" footer="0.3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F6C5-E254-4F4D-A39E-53F7A9B7C10D}">
  <sheetPr>
    <pageSetUpPr fitToPage="1"/>
  </sheetPr>
  <dimension ref="A1:L49"/>
  <sheetViews>
    <sheetView topLeftCell="A36" zoomScale="55" zoomScaleNormal="55" workbookViewId="0">
      <selection activeCell="B2" sqref="B2:L2"/>
    </sheetView>
  </sheetViews>
  <sheetFormatPr defaultColWidth="8.88671875" defaultRowHeight="14.4" x14ac:dyDescent="0.3"/>
  <cols>
    <col min="1" max="1" width="43.6640625" bestFit="1" customWidth="1"/>
    <col min="2" max="3" width="8.33203125" bestFit="1" customWidth="1"/>
    <col min="4" max="5" width="12" bestFit="1" customWidth="1"/>
    <col min="6" max="8" width="13.33203125" bestFit="1" customWidth="1"/>
    <col min="9" max="10" width="12" bestFit="1" customWidth="1"/>
    <col min="11" max="11" width="11" bestFit="1" customWidth="1"/>
    <col min="12" max="12" width="12" bestFit="1" customWidth="1"/>
  </cols>
  <sheetData>
    <row r="1" spans="1:12" ht="36.6" x14ac:dyDescent="0.7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</row>
    <row r="3" spans="1:12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6" x14ac:dyDescent="0.3">
      <c r="A4" s="7" t="s">
        <v>23</v>
      </c>
      <c r="B4" s="8">
        <f t="shared" ref="B4:L4" si="0">B33</f>
        <v>1.9284386617100371E-2</v>
      </c>
      <c r="C4" s="8">
        <f t="shared" si="0"/>
        <v>4.473923346077332E-3</v>
      </c>
      <c r="D4" s="8">
        <f t="shared" si="0"/>
        <v>2.5289711571883436E-2</v>
      </c>
      <c r="E4" s="8">
        <f t="shared" si="0"/>
        <v>2.3342483725626417E-2</v>
      </c>
      <c r="F4" s="8">
        <f t="shared" si="0"/>
        <v>2.1443218194330888E-2</v>
      </c>
      <c r="G4" s="8">
        <f t="shared" si="0"/>
        <v>1.9574888574093764E-2</v>
      </c>
      <c r="H4" s="8">
        <f t="shared" si="0"/>
        <v>1.7736501478996289E-2</v>
      </c>
      <c r="I4" s="8">
        <f t="shared" si="0"/>
        <v>1.5928173891314387E-2</v>
      </c>
      <c r="J4" s="8">
        <f t="shared" si="0"/>
        <v>1.4150154403040289E-2</v>
      </c>
      <c r="K4" s="8">
        <f t="shared" si="0"/>
        <v>1.2116946202285308E-2</v>
      </c>
      <c r="L4" s="8">
        <f t="shared" si="0"/>
        <v>1.0114220712229576E-2</v>
      </c>
    </row>
    <row r="5" spans="1:12" ht="15.6" x14ac:dyDescent="0.3">
      <c r="A5" s="7" t="s">
        <v>24</v>
      </c>
      <c r="B5" s="9">
        <f t="shared" ref="B5:L5" si="1">B36</f>
        <v>7.9000000000000001E-2</v>
      </c>
      <c r="C5" s="9">
        <f t="shared" si="1"/>
        <v>5.1999999999999998E-2</v>
      </c>
      <c r="D5" s="9">
        <f t="shared" si="1"/>
        <v>4.2000000000000003E-2</v>
      </c>
      <c r="E5" s="9">
        <f t="shared" si="1"/>
        <v>4.1500000000000002E-2</v>
      </c>
      <c r="F5" s="9">
        <f t="shared" si="1"/>
        <v>4.1000000000000002E-2</v>
      </c>
      <c r="G5" s="9">
        <f t="shared" si="1"/>
        <v>3.9899999999999998E-2</v>
      </c>
      <c r="H5" s="9">
        <f t="shared" si="1"/>
        <v>3.8800000000000001E-2</v>
      </c>
      <c r="I5" s="9">
        <f t="shared" si="1"/>
        <v>3.7900000000000003E-2</v>
      </c>
      <c r="J5" s="9">
        <f t="shared" si="1"/>
        <v>3.7199999999999997E-2</v>
      </c>
      <c r="K5" s="9">
        <f t="shared" si="1"/>
        <v>3.6700000000000003E-2</v>
      </c>
      <c r="L5" s="9">
        <f t="shared" si="1"/>
        <v>3.6299999999999999E-2</v>
      </c>
    </row>
    <row r="6" spans="1:12" ht="15.6" x14ac:dyDescent="0.3">
      <c r="A6" s="7" t="s">
        <v>25</v>
      </c>
      <c r="B6" s="10">
        <f t="shared" ref="B6:L6" si="2">B39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</row>
    <row r="7" spans="1:12" ht="15.6" x14ac:dyDescent="0.3">
      <c r="A7" s="7" t="s">
        <v>26</v>
      </c>
      <c r="B7" s="10">
        <f t="shared" ref="B7:L7" si="3">B42</f>
        <v>4.0000000000000001E-3</v>
      </c>
      <c r="C7" s="10">
        <f t="shared" si="3"/>
        <v>3.0000000000000001E-3</v>
      </c>
      <c r="D7" s="10">
        <f t="shared" si="3"/>
        <v>8.0000000000000002E-3</v>
      </c>
      <c r="E7" s="10">
        <f t="shared" si="3"/>
        <v>2.7E-2</v>
      </c>
      <c r="F7" s="10">
        <f t="shared" si="3"/>
        <v>2.7E-2</v>
      </c>
      <c r="G7" s="10">
        <f t="shared" si="3"/>
        <v>2.7E-2</v>
      </c>
      <c r="H7" s="10">
        <f t="shared" si="3"/>
        <v>2.7E-2</v>
      </c>
      <c r="I7" s="10">
        <f t="shared" si="3"/>
        <v>2.7E-2</v>
      </c>
      <c r="J7" s="10">
        <f t="shared" si="3"/>
        <v>2.7E-2</v>
      </c>
      <c r="K7" s="10">
        <f t="shared" si="3"/>
        <v>2.7E-2</v>
      </c>
      <c r="L7" s="10">
        <f t="shared" si="3"/>
        <v>2.7E-2</v>
      </c>
    </row>
    <row r="8" spans="1:12" ht="15.6" x14ac:dyDescent="0.3">
      <c r="A8" s="7" t="s">
        <v>27</v>
      </c>
      <c r="B8" s="10">
        <f t="shared" ref="B8:L8" si="4">B45/B11</f>
        <v>0.93531598513011149</v>
      </c>
      <c r="C8" s="10">
        <f t="shared" si="4"/>
        <v>0.94253774731760609</v>
      </c>
      <c r="D8" s="10">
        <f t="shared" si="4"/>
        <v>0.93991110980008208</v>
      </c>
      <c r="E8" s="10">
        <f t="shared" si="4"/>
        <v>0.94742883363392227</v>
      </c>
      <c r="F8" s="10">
        <f t="shared" si="4"/>
        <v>0.95879253770431661</v>
      </c>
      <c r="G8" s="10">
        <f t="shared" si="4"/>
        <v>0.96949029948103427</v>
      </c>
      <c r="H8" s="10">
        <f t="shared" si="4"/>
        <v>0.97682329072733154</v>
      </c>
      <c r="I8" s="10">
        <f t="shared" si="4"/>
        <v>0.9816109438733619</v>
      </c>
      <c r="J8" s="10">
        <f t="shared" si="4"/>
        <v>0.98295791850411707</v>
      </c>
      <c r="K8" s="10">
        <f t="shared" si="4"/>
        <v>0.98266146740011961</v>
      </c>
      <c r="L8" s="10">
        <f t="shared" si="4"/>
        <v>0.98048907284041109</v>
      </c>
    </row>
    <row r="9" spans="1:12" ht="15.6" x14ac:dyDescent="0.3">
      <c r="A9" s="7" t="s">
        <v>28</v>
      </c>
      <c r="B9" s="10">
        <f t="shared" ref="B9:L9" si="5">B49</f>
        <v>5.9061338289962823E-2</v>
      </c>
      <c r="C9" s="10">
        <f t="shared" si="5"/>
        <v>4.4368917972480194E-2</v>
      </c>
      <c r="D9" s="10">
        <f t="shared" si="5"/>
        <v>7.241659893776374E-2</v>
      </c>
      <c r="E9" s="10">
        <f t="shared" si="5"/>
        <v>7.6561596634288062E-2</v>
      </c>
      <c r="F9" s="10">
        <f t="shared" si="5"/>
        <v>7.5556662811998729E-2</v>
      </c>
      <c r="G9" s="10">
        <f t="shared" si="5"/>
        <v>7.1607963776155747E-2</v>
      </c>
      <c r="H9" s="10">
        <f t="shared" si="5"/>
        <v>6.8494203403411488E-2</v>
      </c>
      <c r="I9" s="10">
        <f t="shared" si="5"/>
        <v>6.4452872998719643E-2</v>
      </c>
      <c r="J9" s="10">
        <f t="shared" si="5"/>
        <v>6.2299084369390113E-2</v>
      </c>
      <c r="K9" s="10">
        <f t="shared" si="5"/>
        <v>5.9892563751089339E-2</v>
      </c>
      <c r="L9" s="10">
        <f t="shared" si="5"/>
        <v>5.7523731929784487E-2</v>
      </c>
    </row>
    <row r="10" spans="1:12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5.6" x14ac:dyDescent="0.3">
      <c r="A11" s="7" t="s">
        <v>29</v>
      </c>
      <c r="B11" s="6">
        <v>2690</v>
      </c>
      <c r="C11" s="11">
        <f t="shared" ref="C11:L11" si="6">B11*(1+C13)</f>
        <v>2837.95</v>
      </c>
      <c r="D11" s="11">
        <f t="shared" si="6"/>
        <v>2979.8474999999999</v>
      </c>
      <c r="E11" s="11">
        <f t="shared" si="6"/>
        <v>3183.9670537499996</v>
      </c>
      <c r="F11" s="11">
        <f t="shared" si="6"/>
        <v>3400.476813405</v>
      </c>
      <c r="G11" s="11">
        <f t="shared" si="6"/>
        <v>3627.9687122217942</v>
      </c>
      <c r="H11" s="11">
        <f t="shared" si="6"/>
        <v>3866.6890534859886</v>
      </c>
      <c r="I11" s="11">
        <f t="shared" si="6"/>
        <v>4117.6371730572291</v>
      </c>
      <c r="J11" s="11">
        <f t="shared" si="6"/>
        <v>4381.9894795675036</v>
      </c>
      <c r="K11" s="11">
        <f t="shared" si="6"/>
        <v>4661.1222094159539</v>
      </c>
      <c r="L11" s="11">
        <f t="shared" si="6"/>
        <v>4956.171245271983</v>
      </c>
    </row>
    <row r="12" spans="1:12" ht="15.6" x14ac:dyDescent="0.3">
      <c r="A12" s="7" t="s">
        <v>26</v>
      </c>
      <c r="B12" s="12">
        <v>4.0000000000000001E-3</v>
      </c>
      <c r="C12" s="10">
        <f t="shared" ref="C12:L12" si="7">C42</f>
        <v>3.0000000000000001E-3</v>
      </c>
      <c r="D12" s="10">
        <f t="shared" si="7"/>
        <v>8.0000000000000002E-3</v>
      </c>
      <c r="E12" s="10">
        <f t="shared" si="7"/>
        <v>2.7E-2</v>
      </c>
      <c r="F12" s="10">
        <f t="shared" si="7"/>
        <v>2.7E-2</v>
      </c>
      <c r="G12" s="10">
        <f t="shared" si="7"/>
        <v>2.7E-2</v>
      </c>
      <c r="H12" s="10">
        <f t="shared" si="7"/>
        <v>2.7E-2</v>
      </c>
      <c r="I12" s="10">
        <f t="shared" si="7"/>
        <v>2.7E-2</v>
      </c>
      <c r="J12" s="10">
        <f t="shared" si="7"/>
        <v>2.7E-2</v>
      </c>
      <c r="K12" s="10">
        <f t="shared" si="7"/>
        <v>2.7E-2</v>
      </c>
      <c r="L12" s="10">
        <f t="shared" si="7"/>
        <v>2.7E-2</v>
      </c>
    </row>
    <row r="13" spans="1:12" ht="15.6" x14ac:dyDescent="0.3">
      <c r="A13" s="7" t="s">
        <v>30</v>
      </c>
      <c r="B13" s="12">
        <f t="shared" ref="B13:L13" si="8">(B36+B12)</f>
        <v>8.3000000000000004E-2</v>
      </c>
      <c r="C13" s="12">
        <f t="shared" si="8"/>
        <v>5.5E-2</v>
      </c>
      <c r="D13" s="12">
        <f t="shared" si="8"/>
        <v>0.05</v>
      </c>
      <c r="E13" s="12">
        <f t="shared" si="8"/>
        <v>6.8500000000000005E-2</v>
      </c>
      <c r="F13" s="12">
        <f t="shared" si="8"/>
        <v>6.8000000000000005E-2</v>
      </c>
      <c r="G13" s="12">
        <f t="shared" si="8"/>
        <v>6.6900000000000001E-2</v>
      </c>
      <c r="H13" s="12">
        <f t="shared" si="8"/>
        <v>6.5799999999999997E-2</v>
      </c>
      <c r="I13" s="12">
        <f t="shared" si="8"/>
        <v>6.4899999999999999E-2</v>
      </c>
      <c r="J13" s="12">
        <f t="shared" si="8"/>
        <v>6.4199999999999993E-2</v>
      </c>
      <c r="K13" s="12">
        <f t="shared" si="8"/>
        <v>6.3700000000000007E-2</v>
      </c>
      <c r="L13" s="12">
        <f t="shared" si="8"/>
        <v>6.3299999999999995E-2</v>
      </c>
    </row>
    <row r="14" spans="1:12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.6" x14ac:dyDescent="0.3">
      <c r="A16" s="6" t="s">
        <v>32</v>
      </c>
      <c r="B16" s="11">
        <v>380.78800000000001</v>
      </c>
      <c r="C16" s="11">
        <f t="shared" ref="C16:L16" si="9">B16*1.01*(1+C5)</f>
        <v>404.59486576000006</v>
      </c>
      <c r="D16" s="11">
        <f t="shared" si="9"/>
        <v>425.80372862313925</v>
      </c>
      <c r="E16" s="11">
        <f t="shared" si="9"/>
        <v>447.9093291946096</v>
      </c>
      <c r="F16" s="11">
        <f t="shared" si="9"/>
        <v>470.93634780850442</v>
      </c>
      <c r="G16" s="11">
        <f t="shared" si="9"/>
        <v>494.62397516692442</v>
      </c>
      <c r="H16" s="11">
        <f t="shared" si="9"/>
        <v>518.95353925743507</v>
      </c>
      <c r="I16" s="11">
        <f t="shared" si="9"/>
        <v>544.00809717924483</v>
      </c>
      <c r="J16" s="11">
        <f t="shared" si="9"/>
        <v>569.88765037825578</v>
      </c>
      <c r="K16" s="11">
        <f t="shared" si="9"/>
        <v>596.71055241860915</v>
      </c>
      <c r="L16" s="11">
        <f t="shared" si="9"/>
        <v>624.55485692611865</v>
      </c>
    </row>
    <row r="17" spans="1:12" ht="15.6" x14ac:dyDescent="0.3">
      <c r="A17" s="6" t="s">
        <v>33</v>
      </c>
      <c r="B17" s="11">
        <v>224</v>
      </c>
      <c r="C17" s="11">
        <f t="shared" ref="C17:L17" si="10">C11*(0.083)+(B17*0.0109)</f>
        <v>237.99144999999999</v>
      </c>
      <c r="D17" s="11">
        <f>D11*(0.083)+(C17*0.0109)</f>
        <v>249.92144930500001</v>
      </c>
      <c r="E17" s="11">
        <f>E11*(0.083)+(D17*0.0109)</f>
        <v>266.99340925867449</v>
      </c>
      <c r="F17" s="11">
        <f t="shared" si="10"/>
        <v>285.14980367353456</v>
      </c>
      <c r="G17" s="11">
        <f t="shared" si="10"/>
        <v>304.22953597445047</v>
      </c>
      <c r="H17" s="11">
        <f t="shared" si="10"/>
        <v>324.25129338145859</v>
      </c>
      <c r="I17" s="11">
        <f t="shared" si="10"/>
        <v>345.29822446160796</v>
      </c>
      <c r="J17" s="11">
        <f t="shared" si="10"/>
        <v>367.46887745073434</v>
      </c>
      <c r="K17" s="11">
        <f t="shared" si="10"/>
        <v>390.87855414573721</v>
      </c>
      <c r="L17" s="11">
        <f t="shared" si="10"/>
        <v>415.62278959776313</v>
      </c>
    </row>
    <row r="18" spans="1:12" ht="15.6" x14ac:dyDescent="0.3">
      <c r="A18" s="6" t="s">
        <v>34</v>
      </c>
      <c r="B18" s="11">
        <v>124.276</v>
      </c>
      <c r="C18" s="11">
        <v>130.46700000000001</v>
      </c>
      <c r="D18" s="11">
        <f t="shared" ref="D18:L18" si="11">D11*0.0547</f>
        <v>162.99765825</v>
      </c>
      <c r="E18" s="11">
        <f t="shared" si="11"/>
        <v>174.16299784012497</v>
      </c>
      <c r="F18" s="11">
        <f t="shared" si="11"/>
        <v>186.00608169325349</v>
      </c>
      <c r="G18" s="11">
        <f t="shared" si="11"/>
        <v>198.44988855853214</v>
      </c>
      <c r="H18" s="11">
        <f t="shared" si="11"/>
        <v>211.50789122568358</v>
      </c>
      <c r="I18" s="11">
        <f t="shared" si="11"/>
        <v>225.23475336623042</v>
      </c>
      <c r="J18" s="11">
        <f t="shared" si="11"/>
        <v>239.69482453234244</v>
      </c>
      <c r="K18" s="11">
        <f t="shared" si="11"/>
        <v>254.96338485505268</v>
      </c>
      <c r="L18" s="11">
        <f t="shared" si="11"/>
        <v>271.10256711637749</v>
      </c>
    </row>
    <row r="19" spans="1:12" ht="15.6" x14ac:dyDescent="0.3">
      <c r="A19" s="6" t="s">
        <v>35</v>
      </c>
      <c r="B19" s="11">
        <f>168-B30</f>
        <v>61</v>
      </c>
      <c r="C19" s="13">
        <f>B19*(1+C13)</f>
        <v>64.35499999999999</v>
      </c>
      <c r="D19" s="13">
        <f t="shared" ref="D19:L19" si="12">C19*(1+D13)</f>
        <v>67.572749999999999</v>
      </c>
      <c r="E19" s="13">
        <f t="shared" si="12"/>
        <v>72.201483374999995</v>
      </c>
      <c r="F19" s="13">
        <f t="shared" si="12"/>
        <v>77.111184244499995</v>
      </c>
      <c r="G19" s="13">
        <f t="shared" si="12"/>
        <v>82.269922470457047</v>
      </c>
      <c r="H19" s="13">
        <f t="shared" si="12"/>
        <v>87.683283369013125</v>
      </c>
      <c r="I19" s="13">
        <f t="shared" si="12"/>
        <v>93.373928459662068</v>
      </c>
      <c r="J19" s="13">
        <f t="shared" si="12"/>
        <v>99.368534666772376</v>
      </c>
      <c r="K19" s="13">
        <f t="shared" si="12"/>
        <v>105.69831032504578</v>
      </c>
      <c r="L19" s="13">
        <f t="shared" si="12"/>
        <v>112.38901336862116</v>
      </c>
    </row>
    <row r="20" spans="1:12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13">((D11*0.011)/27.8)*100</f>
        <v>117.90763489208631</v>
      </c>
      <c r="E20" s="11">
        <f t="shared" si="13"/>
        <v>125.98430788219422</v>
      </c>
      <c r="F20" s="11">
        <f t="shared" si="13"/>
        <v>134.55124081818343</v>
      </c>
      <c r="G20" s="11">
        <f t="shared" si="13"/>
        <v>143.55271882891992</v>
      </c>
      <c r="H20" s="11">
        <f t="shared" si="13"/>
        <v>152.99848772786285</v>
      </c>
      <c r="I20" s="11">
        <f t="shared" si="13"/>
        <v>162.92808958140114</v>
      </c>
      <c r="J20" s="11">
        <f t="shared" si="13"/>
        <v>173.38807293252708</v>
      </c>
      <c r="K20" s="11">
        <f t="shared" si="13"/>
        <v>184.4328931783291</v>
      </c>
      <c r="L20" s="11">
        <f t="shared" si="13"/>
        <v>196.10749531651729</v>
      </c>
    </row>
    <row r="21" spans="1:12" ht="15.6" x14ac:dyDescent="0.3">
      <c r="A21" s="6" t="s">
        <v>37</v>
      </c>
      <c r="B21" s="10">
        <v>2.2700000000000001E-2</v>
      </c>
      <c r="C21" s="14">
        <v>2.3E-2</v>
      </c>
      <c r="D21" s="14">
        <v>2.3285714279999998E-2</v>
      </c>
      <c r="E21" s="14">
        <v>2.3571428559999996E-2</v>
      </c>
      <c r="F21" s="14">
        <v>2.3857142839999994E-2</v>
      </c>
      <c r="G21" s="14">
        <v>2.4142857119999993E-2</v>
      </c>
      <c r="H21" s="14">
        <v>2.4428571399999991E-2</v>
      </c>
      <c r="I21" s="14">
        <v>2.4714285679999989E-2</v>
      </c>
      <c r="J21" s="14">
        <v>2.4999999959999988E-2</v>
      </c>
      <c r="K21" s="14">
        <v>2.5000000000000001E-2</v>
      </c>
      <c r="L21" s="14">
        <v>2.5000000000000001E-2</v>
      </c>
    </row>
    <row r="22" spans="1:12" ht="15.6" x14ac:dyDescent="0.3">
      <c r="A22" s="6" t="s">
        <v>38</v>
      </c>
      <c r="B22" s="11">
        <v>53</v>
      </c>
      <c r="C22" s="11">
        <f t="shared" ref="C22:L22" si="14">C11*C21</f>
        <v>65.272849999999991</v>
      </c>
      <c r="D22" s="11">
        <f t="shared" si="14"/>
        <v>69.387877482972286</v>
      </c>
      <c r="E22" s="11">
        <f t="shared" si="14"/>
        <v>75.050651944861784</v>
      </c>
      <c r="F22" s="11">
        <f t="shared" si="14"/>
        <v>81.125661061511096</v>
      </c>
      <c r="G22" s="11">
        <f t="shared" si="14"/>
        <v>87.589530255001151</v>
      </c>
      <c r="H22" s="11">
        <f t="shared" si="14"/>
        <v>94.457689624680853</v>
      </c>
      <c r="I22" s="11">
        <f t="shared" si="14"/>
        <v>101.76446142152392</v>
      </c>
      <c r="J22" s="11">
        <f t="shared" si="14"/>
        <v>109.54973681390796</v>
      </c>
      <c r="K22" s="11">
        <f t="shared" si="14"/>
        <v>116.52805523539885</v>
      </c>
      <c r="L22" s="11">
        <f t="shared" si="14"/>
        <v>123.90428113179958</v>
      </c>
    </row>
    <row r="23" spans="1:12" ht="15.6" x14ac:dyDescent="0.3">
      <c r="A23" s="6" t="s">
        <v>39</v>
      </c>
      <c r="B23" s="15">
        <v>107.81100000000001</v>
      </c>
      <c r="C23" s="11">
        <f>B23*(1+C13)</f>
        <v>113.740605</v>
      </c>
      <c r="D23" s="11">
        <f t="shared" ref="D23:L23" si="15">C23*(1+D13)</f>
        <v>119.42763525000001</v>
      </c>
      <c r="E23" s="11">
        <f t="shared" si="15"/>
        <v>127.608428264625</v>
      </c>
      <c r="F23" s="11">
        <f t="shared" si="15"/>
        <v>136.28580138661951</v>
      </c>
      <c r="G23" s="11">
        <f t="shared" si="15"/>
        <v>145.40332149938436</v>
      </c>
      <c r="H23" s="11">
        <f t="shared" si="15"/>
        <v>154.97086005404387</v>
      </c>
      <c r="I23" s="11">
        <f t="shared" si="15"/>
        <v>165.0284688715513</v>
      </c>
      <c r="J23" s="11">
        <f t="shared" si="15"/>
        <v>175.62329657310491</v>
      </c>
      <c r="K23" s="11">
        <f t="shared" si="15"/>
        <v>186.81050056481172</v>
      </c>
      <c r="L23" s="11">
        <f t="shared" si="15"/>
        <v>198.63560525056428</v>
      </c>
    </row>
    <row r="24" spans="1:12" ht="15.6" x14ac:dyDescent="0.3">
      <c r="A24" s="7" t="s">
        <v>40</v>
      </c>
      <c r="B24" s="16">
        <f t="shared" ref="B24:L24" si="16">SUM(B16:B23) -B21</f>
        <v>1078.875</v>
      </c>
      <c r="C24" s="16">
        <f t="shared" si="16"/>
        <v>1096.1817707600001</v>
      </c>
      <c r="D24" s="16">
        <f t="shared" si="16"/>
        <v>1213.0187338031978</v>
      </c>
      <c r="E24" s="16">
        <f t="shared" si="16"/>
        <v>1289.91060776009</v>
      </c>
      <c r="F24" s="16">
        <f t="shared" si="16"/>
        <v>1371.1661206861065</v>
      </c>
      <c r="G24" s="16">
        <f t="shared" si="16"/>
        <v>1456.1188927536696</v>
      </c>
      <c r="H24" s="16">
        <f t="shared" si="16"/>
        <v>1544.8230446401778</v>
      </c>
      <c r="I24" s="16">
        <f t="shared" si="16"/>
        <v>1637.6360233412215</v>
      </c>
      <c r="J24" s="16">
        <f t="shared" si="16"/>
        <v>1734.9809933476449</v>
      </c>
      <c r="K24" s="16">
        <f t="shared" si="16"/>
        <v>1836.0222507229844</v>
      </c>
      <c r="L24" s="16">
        <f t="shared" si="16"/>
        <v>1942.3166087077616</v>
      </c>
    </row>
    <row r="25" spans="1:12" ht="15.6" x14ac:dyDescent="0.3">
      <c r="A25" s="7"/>
      <c r="B25" s="17"/>
      <c r="C25" s="11"/>
      <c r="D25" s="18"/>
      <c r="E25" s="16"/>
      <c r="F25" s="16"/>
      <c r="G25" s="16"/>
      <c r="H25" s="16"/>
      <c r="I25" s="16"/>
      <c r="J25" s="16"/>
      <c r="K25" s="16"/>
      <c r="L25" s="16"/>
    </row>
    <row r="26" spans="1:12" ht="15.6" x14ac:dyDescent="0.3">
      <c r="A26" s="19" t="s">
        <v>41</v>
      </c>
      <c r="B26">
        <v>1027</v>
      </c>
      <c r="C26" s="11">
        <f>B26*(1+C13)</f>
        <v>1083.4849999999999</v>
      </c>
      <c r="D26" s="11">
        <f t="shared" ref="D26:L26" si="17">C26*(1+D13)</f>
        <v>1137.6592499999999</v>
      </c>
      <c r="E26" s="11">
        <f t="shared" si="17"/>
        <v>1215.5889086249999</v>
      </c>
      <c r="F26" s="11">
        <f t="shared" si="17"/>
        <v>1298.2489544115001</v>
      </c>
      <c r="G26" s="11">
        <f t="shared" si="17"/>
        <v>1385.1018094616295</v>
      </c>
      <c r="H26" s="11">
        <f t="shared" si="17"/>
        <v>1476.2415085242048</v>
      </c>
      <c r="I26" s="11">
        <f t="shared" si="17"/>
        <v>1572.0495824274258</v>
      </c>
      <c r="J26" s="11">
        <f t="shared" si="17"/>
        <v>1672.9751656192666</v>
      </c>
      <c r="K26" s="11">
        <f t="shared" si="17"/>
        <v>1779.543683669214</v>
      </c>
      <c r="L26" s="11">
        <f t="shared" si="17"/>
        <v>1892.188798845475</v>
      </c>
    </row>
    <row r="27" spans="1:12" ht="15.6" x14ac:dyDescent="0.3">
      <c r="A27" s="31" t="s">
        <v>42</v>
      </c>
      <c r="B27" s="20">
        <f t="shared" ref="B27:L27" si="18">B26</f>
        <v>1027</v>
      </c>
      <c r="C27" s="20">
        <f t="shared" si="18"/>
        <v>1083.4849999999999</v>
      </c>
      <c r="D27" s="21">
        <f t="shared" si="18"/>
        <v>1137.6592499999999</v>
      </c>
      <c r="E27" s="21">
        <f t="shared" si="18"/>
        <v>1215.5889086249999</v>
      </c>
      <c r="F27" s="21">
        <f t="shared" si="18"/>
        <v>1298.2489544115001</v>
      </c>
      <c r="G27" s="22">
        <f t="shared" si="18"/>
        <v>1385.1018094616295</v>
      </c>
      <c r="H27" s="21">
        <f t="shared" si="18"/>
        <v>1476.2415085242048</v>
      </c>
      <c r="I27" s="21">
        <f t="shared" si="18"/>
        <v>1572.0495824274258</v>
      </c>
      <c r="J27" s="21">
        <f t="shared" si="18"/>
        <v>1672.9751656192666</v>
      </c>
      <c r="K27" s="21">
        <f t="shared" si="18"/>
        <v>1779.543683669214</v>
      </c>
      <c r="L27" s="21">
        <f t="shared" si="18"/>
        <v>1892.188798845475</v>
      </c>
    </row>
    <row r="28" spans="1:12" ht="15.6" x14ac:dyDescent="0.3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ht="15.6" x14ac:dyDescent="0.3">
      <c r="A29" s="6" t="s">
        <v>43</v>
      </c>
      <c r="B29" s="23">
        <v>107</v>
      </c>
      <c r="C29" s="23">
        <f t="shared" ref="C29:L29" si="19">(B45*C39)</f>
        <v>113.22</v>
      </c>
      <c r="D29" s="23">
        <f>(C45*D39)</f>
        <v>140.4309375</v>
      </c>
      <c r="E29" s="23">
        <f t="shared" si="19"/>
        <v>169.44790213098</v>
      </c>
      <c r="F29" s="23">
        <f t="shared" si="19"/>
        <v>184.01151371585507</v>
      </c>
      <c r="G29" s="23">
        <f t="shared" si="19"/>
        <v>188.77436883376461</v>
      </c>
      <c r="H29" s="23">
        <f t="shared" si="19"/>
        <v>196.26425041124091</v>
      </c>
      <c r="I29" s="23">
        <f t="shared" si="19"/>
        <v>199.80710485606878</v>
      </c>
      <c r="J29" s="23">
        <f t="shared" si="19"/>
        <v>210.98810456497748</v>
      </c>
      <c r="K29" s="23">
        <f t="shared" si="19"/>
        <v>222.68799202529308</v>
      </c>
      <c r="L29" s="23">
        <f t="shared" si="19"/>
        <v>234.96965624884518</v>
      </c>
    </row>
    <row r="30" spans="1:12" ht="15.6" x14ac:dyDescent="0.3">
      <c r="A30" s="7" t="s">
        <v>44</v>
      </c>
      <c r="B30" s="23">
        <f t="shared" ref="B30:L30" si="20">(B29)</f>
        <v>107</v>
      </c>
      <c r="C30" s="23">
        <f t="shared" si="20"/>
        <v>113.22</v>
      </c>
      <c r="D30" s="23">
        <f t="shared" si="20"/>
        <v>140.4309375</v>
      </c>
      <c r="E30" s="23">
        <f t="shared" si="20"/>
        <v>169.44790213098</v>
      </c>
      <c r="F30" s="23">
        <f t="shared" si="20"/>
        <v>184.01151371585507</v>
      </c>
      <c r="G30" s="23">
        <f t="shared" si="20"/>
        <v>188.77436883376461</v>
      </c>
      <c r="H30" s="23">
        <f t="shared" si="20"/>
        <v>196.26425041124091</v>
      </c>
      <c r="I30" s="23">
        <f t="shared" si="20"/>
        <v>199.80710485606878</v>
      </c>
      <c r="J30" s="23">
        <f t="shared" si="20"/>
        <v>210.98810456497748</v>
      </c>
      <c r="K30" s="23">
        <f t="shared" si="20"/>
        <v>222.68799202529308</v>
      </c>
      <c r="L30" s="23">
        <f t="shared" si="20"/>
        <v>234.96965624884518</v>
      </c>
    </row>
    <row r="31" spans="1:12" ht="15.6" x14ac:dyDescent="0.3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6" x14ac:dyDescent="0.3">
      <c r="A32" s="6" t="s">
        <v>45</v>
      </c>
      <c r="B32" s="17">
        <f t="shared" ref="B32:L32" si="21">B24-B27</f>
        <v>51.875</v>
      </c>
      <c r="C32" s="17">
        <f t="shared" si="21"/>
        <v>12.696770760000163</v>
      </c>
      <c r="D32" s="17">
        <f>D24-D27</f>
        <v>75.359483803197918</v>
      </c>
      <c r="E32" s="17">
        <f t="shared" si="21"/>
        <v>74.321699135090057</v>
      </c>
      <c r="F32" s="17">
        <f t="shared" si="21"/>
        <v>72.917166274606416</v>
      </c>
      <c r="G32" s="17">
        <f t="shared" si="21"/>
        <v>71.01708329204007</v>
      </c>
      <c r="H32" s="17">
        <f t="shared" si="21"/>
        <v>68.581536115972995</v>
      </c>
      <c r="I32" s="17">
        <f t="shared" si="21"/>
        <v>65.586440913795741</v>
      </c>
      <c r="J32" s="17">
        <f t="shared" si="21"/>
        <v>62.005827728378335</v>
      </c>
      <c r="K32" s="17">
        <f t="shared" si="21"/>
        <v>56.478567053770348</v>
      </c>
      <c r="L32" s="17">
        <f t="shared" si="21"/>
        <v>50.12780986228654</v>
      </c>
    </row>
    <row r="33" spans="1:12" ht="15.6" x14ac:dyDescent="0.3">
      <c r="A33" s="7" t="s">
        <v>46</v>
      </c>
      <c r="B33" s="24">
        <f t="shared" ref="B33:L33" si="22">(B32/B11)</f>
        <v>1.9284386617100371E-2</v>
      </c>
      <c r="C33" s="24">
        <f t="shared" si="22"/>
        <v>4.473923346077332E-3</v>
      </c>
      <c r="D33" s="24">
        <f t="shared" si="22"/>
        <v>2.5289711571883436E-2</v>
      </c>
      <c r="E33" s="24">
        <f t="shared" si="22"/>
        <v>2.3342483725626417E-2</v>
      </c>
      <c r="F33" s="24">
        <f t="shared" si="22"/>
        <v>2.1443218194330888E-2</v>
      </c>
      <c r="G33" s="24">
        <f t="shared" si="22"/>
        <v>1.9574888574093764E-2</v>
      </c>
      <c r="H33" s="24">
        <f t="shared" si="22"/>
        <v>1.7736501478996289E-2</v>
      </c>
      <c r="I33" s="24">
        <f t="shared" si="22"/>
        <v>1.5928173891314387E-2</v>
      </c>
      <c r="J33" s="24">
        <f t="shared" si="22"/>
        <v>1.4150154403040289E-2</v>
      </c>
      <c r="K33" s="24">
        <f t="shared" si="22"/>
        <v>1.2116946202285308E-2</v>
      </c>
      <c r="L33" s="24">
        <f t="shared" si="22"/>
        <v>1.0114220712229576E-2</v>
      </c>
    </row>
    <row r="34" spans="1:12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6" x14ac:dyDescent="0.3">
      <c r="A35" s="26" t="s">
        <v>47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6" x14ac:dyDescent="0.3">
      <c r="A36" s="23" t="s">
        <v>48</v>
      </c>
      <c r="B36" s="24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4.1000000000000002E-2</v>
      </c>
      <c r="G36" s="10">
        <v>3.9899999999999998E-2</v>
      </c>
      <c r="H36" s="10">
        <v>3.8800000000000001E-2</v>
      </c>
      <c r="I36" s="10">
        <v>3.7900000000000003E-2</v>
      </c>
      <c r="J36" s="10">
        <v>3.7199999999999997E-2</v>
      </c>
      <c r="K36" s="10">
        <v>3.6700000000000003E-2</v>
      </c>
      <c r="L36" s="10">
        <v>3.6299999999999999E-2</v>
      </c>
    </row>
    <row r="37" spans="1:12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6" x14ac:dyDescent="0.3">
      <c r="A38" s="26" t="s">
        <v>49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3">
      <c r="A39" s="23" t="s">
        <v>25</v>
      </c>
      <c r="B39" s="24">
        <v>4.4499999999999998E-2</v>
      </c>
      <c r="C39" s="24">
        <v>4.4999999999999998E-2</v>
      </c>
      <c r="D39" s="24">
        <v>5.2499999999999998E-2</v>
      </c>
      <c r="E39" s="24">
        <v>6.0499999999999998E-2</v>
      </c>
      <c r="F39" s="24">
        <v>6.0999999999999999E-2</v>
      </c>
      <c r="G39" s="24">
        <v>5.79E-2</v>
      </c>
      <c r="H39" s="24">
        <v>5.5800000000000002E-2</v>
      </c>
      <c r="I39" s="24">
        <v>5.2900000000000003E-2</v>
      </c>
      <c r="J39" s="24">
        <v>5.2200000000000003E-2</v>
      </c>
      <c r="K39" s="24">
        <v>5.1700000000000003E-2</v>
      </c>
      <c r="L39" s="24">
        <v>5.1299999999999998E-2</v>
      </c>
    </row>
    <row r="40" spans="1:12" x14ac:dyDescent="0.3">
      <c r="A40" s="25"/>
      <c r="B40" s="25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6" x14ac:dyDescent="0.3">
      <c r="A41" s="26" t="s">
        <v>50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6" x14ac:dyDescent="0.3">
      <c r="A42" s="23" t="s">
        <v>51</v>
      </c>
      <c r="B42" s="12">
        <v>4.0000000000000001E-3</v>
      </c>
      <c r="C42" s="10">
        <v>3.0000000000000001E-3</v>
      </c>
      <c r="D42" s="10">
        <v>8.0000000000000002E-3</v>
      </c>
      <c r="E42" s="10">
        <v>2.7E-2</v>
      </c>
      <c r="F42" s="10">
        <v>2.7E-2</v>
      </c>
      <c r="G42" s="10">
        <v>2.7E-2</v>
      </c>
      <c r="H42" s="10">
        <v>2.7E-2</v>
      </c>
      <c r="I42" s="10">
        <v>2.7E-2</v>
      </c>
      <c r="J42" s="10">
        <v>2.7E-2</v>
      </c>
      <c r="K42" s="10">
        <v>2.7E-2</v>
      </c>
      <c r="L42" s="10">
        <v>2.7E-2</v>
      </c>
    </row>
    <row r="43" spans="1:12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6" x14ac:dyDescent="0.3">
      <c r="A44" s="26" t="s">
        <v>52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 x14ac:dyDescent="0.3">
      <c r="A45" s="23" t="s">
        <v>53</v>
      </c>
      <c r="B45" s="17">
        <v>2516</v>
      </c>
      <c r="C45" s="17">
        <f t="shared" ref="C45:L45" si="23">B45+B48</f>
        <v>2674.875</v>
      </c>
      <c r="D45" s="17">
        <f t="shared" si="23"/>
        <v>2800.79177076</v>
      </c>
      <c r="E45" s="17">
        <f t="shared" si="23"/>
        <v>3016.5821920631979</v>
      </c>
      <c r="F45" s="17">
        <f t="shared" si="23"/>
        <v>3260.3517933292678</v>
      </c>
      <c r="G45" s="17">
        <f t="shared" si="23"/>
        <v>3517.2804733197295</v>
      </c>
      <c r="H45" s="17">
        <f t="shared" si="23"/>
        <v>3777.0719254455344</v>
      </c>
      <c r="I45" s="17">
        <f t="shared" si="23"/>
        <v>4041.9177119727483</v>
      </c>
      <c r="J45" s="17">
        <f t="shared" si="23"/>
        <v>4307.3112577426127</v>
      </c>
      <c r="K45" s="17">
        <f t="shared" si="23"/>
        <v>4580.3051900359687</v>
      </c>
      <c r="L45" s="17">
        <f t="shared" si="23"/>
        <v>4859.4717491150323</v>
      </c>
    </row>
    <row r="46" spans="1:12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6" x14ac:dyDescent="0.3">
      <c r="A47" s="26" t="s">
        <v>54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 x14ac:dyDescent="0.3">
      <c r="A48" s="23" t="s">
        <v>55</v>
      </c>
      <c r="B48" s="17">
        <f t="shared" ref="B48:L48" si="24">B24-B27+B30</f>
        <v>158.875</v>
      </c>
      <c r="C48" s="17">
        <f t="shared" si="24"/>
        <v>125.91677076000016</v>
      </c>
      <c r="D48" s="17">
        <f>D24-D27+D30</f>
        <v>215.79042130319792</v>
      </c>
      <c r="E48" s="17">
        <f t="shared" si="24"/>
        <v>243.76960126607005</v>
      </c>
      <c r="F48" s="17">
        <f t="shared" si="24"/>
        <v>256.92867999046149</v>
      </c>
      <c r="G48" s="17">
        <f t="shared" si="24"/>
        <v>259.79145212580465</v>
      </c>
      <c r="H48" s="17">
        <f t="shared" si="24"/>
        <v>264.84578652721393</v>
      </c>
      <c r="I48" s="17">
        <f t="shared" si="24"/>
        <v>265.39354576986455</v>
      </c>
      <c r="J48" s="17">
        <f t="shared" si="24"/>
        <v>272.99393229335578</v>
      </c>
      <c r="K48" s="17">
        <f t="shared" si="24"/>
        <v>279.1665590790634</v>
      </c>
      <c r="L48" s="17">
        <f t="shared" si="24"/>
        <v>285.09746611113172</v>
      </c>
    </row>
    <row r="49" spans="1:12" ht="15.6" x14ac:dyDescent="0.3">
      <c r="A49" s="26" t="s">
        <v>56</v>
      </c>
      <c r="B49" s="24">
        <f t="shared" ref="B49:L49" si="25">B48/B11</f>
        <v>5.9061338289962823E-2</v>
      </c>
      <c r="C49" s="24">
        <f t="shared" si="25"/>
        <v>4.4368917972480194E-2</v>
      </c>
      <c r="D49" s="24">
        <f t="shared" si="25"/>
        <v>7.241659893776374E-2</v>
      </c>
      <c r="E49" s="24">
        <f t="shared" si="25"/>
        <v>7.6561596634288062E-2</v>
      </c>
      <c r="F49" s="24">
        <f t="shared" si="25"/>
        <v>7.5556662811998729E-2</v>
      </c>
      <c r="G49" s="24">
        <f t="shared" si="25"/>
        <v>7.1607963776155747E-2</v>
      </c>
      <c r="H49" s="24">
        <f t="shared" si="25"/>
        <v>6.8494203403411488E-2</v>
      </c>
      <c r="I49" s="24">
        <f t="shared" si="25"/>
        <v>6.4452872998719643E-2</v>
      </c>
      <c r="J49" s="24">
        <f t="shared" si="25"/>
        <v>6.2299084369390113E-2</v>
      </c>
      <c r="K49" s="24">
        <f t="shared" si="25"/>
        <v>5.9892563751089339E-2</v>
      </c>
      <c r="L49" s="24">
        <f t="shared" si="25"/>
        <v>5.7523731929784487E-2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D2BF-A413-4F43-966E-EB5DF6E1547D}">
  <sheetPr>
    <pageSetUpPr fitToPage="1"/>
  </sheetPr>
  <dimension ref="A1:L49"/>
  <sheetViews>
    <sheetView topLeftCell="A25" zoomScale="70" zoomScaleNormal="70" workbookViewId="0">
      <selection activeCell="N40" sqref="N40"/>
    </sheetView>
  </sheetViews>
  <sheetFormatPr defaultRowHeight="14.4" x14ac:dyDescent="0.3"/>
  <cols>
    <col min="1" max="1" width="43.77734375" bestFit="1" customWidth="1"/>
    <col min="2" max="2" width="10.5546875" customWidth="1"/>
    <col min="3" max="3" width="11.77734375" customWidth="1"/>
    <col min="4" max="12" width="13.33203125" bestFit="1" customWidth="1"/>
  </cols>
  <sheetData>
    <row r="1" spans="1:12" ht="36" customHeight="1" x14ac:dyDescent="0.7">
      <c r="A1" s="77" t="s">
        <v>88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1" x14ac:dyDescent="0.4">
      <c r="A2" s="58" t="s">
        <v>21</v>
      </c>
      <c r="B2" s="59">
        <v>2022</v>
      </c>
      <c r="C2" s="60">
        <v>2023</v>
      </c>
      <c r="D2" s="60">
        <v>2024</v>
      </c>
      <c r="E2" s="60">
        <v>2025</v>
      </c>
      <c r="F2" s="60">
        <v>2026</v>
      </c>
      <c r="G2" s="60">
        <v>2027</v>
      </c>
      <c r="H2" s="60">
        <v>2028</v>
      </c>
      <c r="I2" s="60">
        <v>2029</v>
      </c>
      <c r="J2" s="60">
        <v>2030</v>
      </c>
      <c r="K2" s="60">
        <v>2031</v>
      </c>
      <c r="L2" s="60">
        <v>2032</v>
      </c>
    </row>
    <row r="3" spans="1:12" ht="21" x14ac:dyDescent="0.4">
      <c r="A3" s="61" t="s">
        <v>22</v>
      </c>
      <c r="B3" s="59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15.6" x14ac:dyDescent="0.3">
      <c r="A4" s="62" t="s">
        <v>23</v>
      </c>
      <c r="B4" s="63">
        <f t="shared" ref="B4:L4" si="0">B33</f>
        <v>1.9284386617100371E-2</v>
      </c>
      <c r="C4" s="63">
        <f t="shared" si="0"/>
        <v>4.473923346077332E-3</v>
      </c>
      <c r="D4" s="63">
        <f t="shared" si="0"/>
        <v>2.5289711571883436E-2</v>
      </c>
      <c r="E4" s="63">
        <f t="shared" si="0"/>
        <v>2.5899969855885063E-2</v>
      </c>
      <c r="F4" s="63">
        <f t="shared" si="0"/>
        <v>2.649234255732294E-2</v>
      </c>
      <c r="G4" s="63">
        <f t="shared" si="0"/>
        <v>2.7085174524411063E-2</v>
      </c>
      <c r="H4" s="63">
        <f t="shared" si="0"/>
        <v>2.7678661658359693E-2</v>
      </c>
      <c r="I4" s="63">
        <f t="shared" si="0"/>
        <v>2.827280742801843E-2</v>
      </c>
      <c r="J4" s="63">
        <f t="shared" si="0"/>
        <v>2.8867613264832479E-2</v>
      </c>
      <c r="K4" s="63">
        <f t="shared" si="0"/>
        <v>2.9177366341629568E-2</v>
      </c>
      <c r="L4" s="63">
        <f t="shared" si="0"/>
        <v>2.9487782274030452E-2</v>
      </c>
    </row>
    <row r="5" spans="1:12" ht="15.6" x14ac:dyDescent="0.3">
      <c r="A5" s="62" t="s">
        <v>24</v>
      </c>
      <c r="B5" s="64">
        <f t="shared" ref="B5:L5" si="1">B36</f>
        <v>7.9000000000000001E-2</v>
      </c>
      <c r="C5" s="64">
        <f t="shared" si="1"/>
        <v>5.1999999999999998E-2</v>
      </c>
      <c r="D5" s="64">
        <f t="shared" si="1"/>
        <v>4.2000000000000003E-2</v>
      </c>
      <c r="E5" s="64">
        <f t="shared" si="1"/>
        <v>0.02</v>
      </c>
      <c r="F5" s="64">
        <f t="shared" si="1"/>
        <v>0.02</v>
      </c>
      <c r="G5" s="64">
        <f t="shared" si="1"/>
        <v>0.02</v>
      </c>
      <c r="H5" s="64">
        <f t="shared" si="1"/>
        <v>0.02</v>
      </c>
      <c r="I5" s="64">
        <f t="shared" si="1"/>
        <v>0.02</v>
      </c>
      <c r="J5" s="64">
        <f t="shared" si="1"/>
        <v>0.02</v>
      </c>
      <c r="K5" s="64">
        <f t="shared" si="1"/>
        <v>0.02</v>
      </c>
      <c r="L5" s="64">
        <f t="shared" si="1"/>
        <v>0.02</v>
      </c>
    </row>
    <row r="6" spans="1:12" ht="15.6" x14ac:dyDescent="0.3">
      <c r="A6" s="62" t="s">
        <v>25</v>
      </c>
      <c r="B6" s="65">
        <f t="shared" ref="B6:L6" si="2">B39</f>
        <v>4.4499999999999998E-2</v>
      </c>
      <c r="C6" s="65">
        <f t="shared" si="2"/>
        <v>4.4999999999999998E-2</v>
      </c>
      <c r="D6" s="65">
        <f t="shared" si="2"/>
        <v>5.2499999999999998E-2</v>
      </c>
      <c r="E6" s="65">
        <f t="shared" si="2"/>
        <v>8.5000000000000006E-2</v>
      </c>
      <c r="F6" s="65">
        <f t="shared" si="2"/>
        <v>8.5000000000000006E-2</v>
      </c>
      <c r="G6" s="65">
        <f t="shared" si="2"/>
        <v>8.5000000000000006E-2</v>
      </c>
      <c r="H6" s="65">
        <f t="shared" si="2"/>
        <v>8.5000000000000006E-2</v>
      </c>
      <c r="I6" s="65">
        <f t="shared" si="2"/>
        <v>8.5000000000000006E-2</v>
      </c>
      <c r="J6" s="65">
        <f t="shared" si="2"/>
        <v>8.5000000000000006E-2</v>
      </c>
      <c r="K6" s="65">
        <f t="shared" si="2"/>
        <v>8.5000000000000006E-2</v>
      </c>
      <c r="L6" s="65">
        <f t="shared" si="2"/>
        <v>8.5000000000000006E-2</v>
      </c>
    </row>
    <row r="7" spans="1:12" ht="15.6" x14ac:dyDescent="0.3">
      <c r="A7" s="62" t="s">
        <v>26</v>
      </c>
      <c r="B7" s="65">
        <f t="shared" ref="B7:L7" si="3">B42</f>
        <v>4.0000000000000001E-3</v>
      </c>
      <c r="C7" s="65">
        <f t="shared" si="3"/>
        <v>3.0000000000000001E-3</v>
      </c>
      <c r="D7" s="65">
        <f t="shared" si="3"/>
        <v>8.0000000000000002E-3</v>
      </c>
      <c r="E7" s="65">
        <f t="shared" si="3"/>
        <v>8.0000000000000002E-3</v>
      </c>
      <c r="F7" s="65">
        <f t="shared" si="3"/>
        <v>8.0000000000000002E-3</v>
      </c>
      <c r="G7" s="65">
        <f t="shared" si="3"/>
        <v>8.0000000000000002E-3</v>
      </c>
      <c r="H7" s="65">
        <f t="shared" si="3"/>
        <v>8.0000000000000002E-3</v>
      </c>
      <c r="I7" s="65">
        <f t="shared" si="3"/>
        <v>8.0000000000000002E-3</v>
      </c>
      <c r="J7" s="65">
        <f t="shared" si="3"/>
        <v>8.0000000000000002E-3</v>
      </c>
      <c r="K7" s="65">
        <f t="shared" si="3"/>
        <v>8.0000000000000002E-3</v>
      </c>
      <c r="L7" s="65">
        <f t="shared" si="3"/>
        <v>8.0000000000000002E-3</v>
      </c>
    </row>
    <row r="8" spans="1:12" ht="15.6" x14ac:dyDescent="0.3">
      <c r="A8" s="62" t="s">
        <v>27</v>
      </c>
      <c r="B8" s="65">
        <f t="shared" ref="B8:L8" si="4">B45/B11</f>
        <v>0.93531598513011149</v>
      </c>
      <c r="C8" s="65">
        <f t="shared" si="4"/>
        <v>0.94253774731760609</v>
      </c>
      <c r="D8" s="65">
        <f t="shared" si="4"/>
        <v>0.93991110980008208</v>
      </c>
      <c r="E8" s="65">
        <f t="shared" si="4"/>
        <v>0.98475458048428577</v>
      </c>
      <c r="F8" s="65">
        <f t="shared" si="4"/>
        <v>1.0587265913211239</v>
      </c>
      <c r="G8" s="65">
        <f t="shared" si="4"/>
        <v>1.1348669201730983</v>
      </c>
      <c r="H8" s="65">
        <f t="shared" si="4"/>
        <v>1.2154598419462588</v>
      </c>
      <c r="I8" s="65">
        <f t="shared" si="4"/>
        <v>1.3005591208044984</v>
      </c>
      <c r="J8" s="65">
        <f t="shared" si="4"/>
        <v>1.3904007903114159</v>
      </c>
      <c r="K8" s="65">
        <f t="shared" si="4"/>
        <v>1.4852187808906698</v>
      </c>
      <c r="L8" s="65">
        <f t="shared" si="4"/>
        <v>1.5849817053733535</v>
      </c>
    </row>
    <row r="9" spans="1:12" ht="15.6" x14ac:dyDescent="0.3">
      <c r="A9" s="62" t="s">
        <v>28</v>
      </c>
      <c r="B9" s="65">
        <f t="shared" ref="B9:L9" si="5">B49</f>
        <v>5.9061338289962823E-2</v>
      </c>
      <c r="C9" s="65">
        <f t="shared" si="5"/>
        <v>4.4368917972480194E-2</v>
      </c>
      <c r="D9" s="65">
        <f t="shared" si="5"/>
        <v>7.241659893776374E-2</v>
      </c>
      <c r="E9" s="65">
        <f t="shared" si="5"/>
        <v>0.10361635539382959</v>
      </c>
      <c r="F9" s="65">
        <f t="shared" si="5"/>
        <v>0.10791660261682129</v>
      </c>
      <c r="G9" s="65">
        <f t="shared" si="5"/>
        <v>0.11462579734765574</v>
      </c>
      <c r="H9" s="65">
        <f t="shared" si="5"/>
        <v>0.12151493424076568</v>
      </c>
      <c r="I9" s="65">
        <f t="shared" si="5"/>
        <v>0.1287728916356371</v>
      </c>
      <c r="J9" s="65">
        <f t="shared" si="5"/>
        <v>0.13640411644419279</v>
      </c>
      <c r="K9" s="65">
        <f t="shared" si="5"/>
        <v>0.1441424122331377</v>
      </c>
      <c r="L9" s="65">
        <f t="shared" si="5"/>
        <v>0.15229283711421232</v>
      </c>
    </row>
    <row r="10" spans="1:12" ht="15.6" x14ac:dyDescent="0.3">
      <c r="A10" s="62"/>
      <c r="B10" s="62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15.6" x14ac:dyDescent="0.3">
      <c r="A11" s="62" t="s">
        <v>29</v>
      </c>
      <c r="B11" s="61">
        <v>2690</v>
      </c>
      <c r="C11" s="66">
        <f t="shared" ref="C11:L11" si="6">B11*(1+C13)</f>
        <v>2837.95</v>
      </c>
      <c r="D11" s="66">
        <f t="shared" si="6"/>
        <v>2979.8474999999999</v>
      </c>
      <c r="E11" s="66">
        <f t="shared" si="6"/>
        <v>3063.28323</v>
      </c>
      <c r="F11" s="66">
        <f t="shared" si="6"/>
        <v>3149.0551604400002</v>
      </c>
      <c r="G11" s="66">
        <f t="shared" si="6"/>
        <v>3237.2287049323204</v>
      </c>
      <c r="H11" s="66">
        <f t="shared" si="6"/>
        <v>3327.8711086704257</v>
      </c>
      <c r="I11" s="66">
        <f t="shared" si="6"/>
        <v>3421.0514997131977</v>
      </c>
      <c r="J11" s="66">
        <f t="shared" si="6"/>
        <v>3516.8409417051671</v>
      </c>
      <c r="K11" s="66">
        <f t="shared" si="6"/>
        <v>3615.3124880729119</v>
      </c>
      <c r="L11" s="66">
        <f t="shared" si="6"/>
        <v>3716.5412377389534</v>
      </c>
    </row>
    <row r="12" spans="1:12" ht="15.6" x14ac:dyDescent="0.3">
      <c r="A12" s="62" t="s">
        <v>26</v>
      </c>
      <c r="B12" s="63">
        <v>4.0000000000000001E-3</v>
      </c>
      <c r="C12" s="65">
        <f t="shared" ref="C12:L12" si="7">C42</f>
        <v>3.0000000000000001E-3</v>
      </c>
      <c r="D12" s="65">
        <f t="shared" si="7"/>
        <v>8.0000000000000002E-3</v>
      </c>
      <c r="E12" s="65">
        <f t="shared" si="7"/>
        <v>8.0000000000000002E-3</v>
      </c>
      <c r="F12" s="65">
        <f t="shared" si="7"/>
        <v>8.0000000000000002E-3</v>
      </c>
      <c r="G12" s="65">
        <f t="shared" si="7"/>
        <v>8.0000000000000002E-3</v>
      </c>
      <c r="H12" s="65">
        <f t="shared" si="7"/>
        <v>8.0000000000000002E-3</v>
      </c>
      <c r="I12" s="65">
        <f t="shared" si="7"/>
        <v>8.0000000000000002E-3</v>
      </c>
      <c r="J12" s="65">
        <f t="shared" si="7"/>
        <v>8.0000000000000002E-3</v>
      </c>
      <c r="K12" s="65">
        <f t="shared" si="7"/>
        <v>8.0000000000000002E-3</v>
      </c>
      <c r="L12" s="65">
        <f t="shared" si="7"/>
        <v>8.0000000000000002E-3</v>
      </c>
    </row>
    <row r="13" spans="1:12" ht="15.6" x14ac:dyDescent="0.3">
      <c r="A13" s="62" t="s">
        <v>30</v>
      </c>
      <c r="B13" s="63">
        <f t="shared" ref="B13:L13" si="8">(B36+B12)</f>
        <v>8.3000000000000004E-2</v>
      </c>
      <c r="C13" s="63">
        <f t="shared" si="8"/>
        <v>5.5E-2</v>
      </c>
      <c r="D13" s="63">
        <f t="shared" si="8"/>
        <v>0.05</v>
      </c>
      <c r="E13" s="63">
        <f t="shared" si="8"/>
        <v>2.8000000000000001E-2</v>
      </c>
      <c r="F13" s="63">
        <f t="shared" si="8"/>
        <v>2.8000000000000001E-2</v>
      </c>
      <c r="G13" s="63">
        <f t="shared" si="8"/>
        <v>2.8000000000000001E-2</v>
      </c>
      <c r="H13" s="63">
        <f t="shared" si="8"/>
        <v>2.8000000000000001E-2</v>
      </c>
      <c r="I13" s="63">
        <f t="shared" si="8"/>
        <v>2.8000000000000001E-2</v>
      </c>
      <c r="J13" s="63">
        <f t="shared" si="8"/>
        <v>2.8000000000000001E-2</v>
      </c>
      <c r="K13" s="63">
        <f t="shared" si="8"/>
        <v>2.8000000000000001E-2</v>
      </c>
      <c r="L13" s="63">
        <f t="shared" si="8"/>
        <v>2.8000000000000001E-2</v>
      </c>
    </row>
    <row r="14" spans="1:12" ht="15.6" x14ac:dyDescent="0.3">
      <c r="A14" s="62"/>
      <c r="B14" s="62"/>
      <c r="C14" s="61">
        <f t="shared" ref="C14:L14" si="9">(C11-B11)/B11</f>
        <v>5.4999999999999931E-2</v>
      </c>
      <c r="D14" s="61">
        <f t="shared" si="9"/>
        <v>5.0000000000000017E-2</v>
      </c>
      <c r="E14" s="61">
        <f t="shared" si="9"/>
        <v>2.8000000000000053E-2</v>
      </c>
      <c r="F14" s="61">
        <f t="shared" si="9"/>
        <v>2.8000000000000077E-2</v>
      </c>
      <c r="G14" s="61">
        <f t="shared" si="9"/>
        <v>2.8000000000000049E-2</v>
      </c>
      <c r="H14" s="61">
        <f t="shared" si="9"/>
        <v>2.8000000000000087E-2</v>
      </c>
      <c r="I14" s="61">
        <f t="shared" si="9"/>
        <v>2.8000000000000039E-2</v>
      </c>
      <c r="J14" s="61">
        <f t="shared" si="9"/>
        <v>2.7999999999999959E-2</v>
      </c>
      <c r="K14" s="61">
        <f t="shared" si="9"/>
        <v>2.8000000000000049E-2</v>
      </c>
      <c r="L14" s="61">
        <f t="shared" si="9"/>
        <v>2.799999999999999E-2</v>
      </c>
    </row>
    <row r="15" spans="1:12" ht="17.399999999999999" x14ac:dyDescent="0.35">
      <c r="A15" s="67" t="s">
        <v>31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 ht="15.6" x14ac:dyDescent="0.3">
      <c r="A16" s="61" t="s">
        <v>32</v>
      </c>
      <c r="B16" s="66">
        <v>380.78800000000001</v>
      </c>
      <c r="C16" s="66">
        <f t="shared" ref="C16:L16" si="10">B16*1.01*(1+C5)</f>
        <v>404.59486576000006</v>
      </c>
      <c r="D16" s="66">
        <f t="shared" si="10"/>
        <v>425.80372862313925</v>
      </c>
      <c r="E16" s="66">
        <f t="shared" si="10"/>
        <v>438.66300122755808</v>
      </c>
      <c r="F16" s="66">
        <f t="shared" si="10"/>
        <v>451.91062386463034</v>
      </c>
      <c r="G16" s="66">
        <f t="shared" si="10"/>
        <v>465.55832470534222</v>
      </c>
      <c r="H16" s="66">
        <f t="shared" si="10"/>
        <v>479.61818611144355</v>
      </c>
      <c r="I16" s="66">
        <f t="shared" si="10"/>
        <v>494.10265533200919</v>
      </c>
      <c r="J16" s="66">
        <f t="shared" si="10"/>
        <v>509.02455552303593</v>
      </c>
      <c r="K16" s="66">
        <f t="shared" si="10"/>
        <v>524.39709709983163</v>
      </c>
      <c r="L16" s="66">
        <f t="shared" si="10"/>
        <v>540.23388943224654</v>
      </c>
    </row>
    <row r="17" spans="1:12" ht="15.6" x14ac:dyDescent="0.3">
      <c r="A17" s="61" t="s">
        <v>33</v>
      </c>
      <c r="B17" s="66">
        <v>224</v>
      </c>
      <c r="C17" s="66">
        <f t="shared" ref="C17:L17" si="11">C11*(0.083)+(B17*0.0109)</f>
        <v>237.99144999999999</v>
      </c>
      <c r="D17" s="66">
        <f t="shared" si="11"/>
        <v>249.92144930500001</v>
      </c>
      <c r="E17" s="66">
        <f t="shared" si="11"/>
        <v>256.97665188742451</v>
      </c>
      <c r="F17" s="66">
        <f t="shared" si="11"/>
        <v>264.17262382209293</v>
      </c>
      <c r="G17" s="66">
        <f t="shared" si="11"/>
        <v>271.56946410904345</v>
      </c>
      <c r="H17" s="66">
        <f t="shared" si="11"/>
        <v>279.17340917843393</v>
      </c>
      <c r="I17" s="66">
        <f t="shared" si="11"/>
        <v>286.9902646362404</v>
      </c>
      <c r="J17" s="66">
        <f t="shared" si="11"/>
        <v>295.02599204606389</v>
      </c>
      <c r="K17" s="66">
        <f t="shared" si="11"/>
        <v>303.28671982335379</v>
      </c>
      <c r="L17" s="66">
        <f t="shared" si="11"/>
        <v>311.77874797840769</v>
      </c>
    </row>
    <row r="18" spans="1:12" ht="15.6" x14ac:dyDescent="0.3">
      <c r="A18" s="61" t="s">
        <v>34</v>
      </c>
      <c r="B18" s="66">
        <v>124.276</v>
      </c>
      <c r="C18" s="66">
        <v>130.46700000000001</v>
      </c>
      <c r="D18" s="66">
        <f t="shared" ref="D18:L18" si="12">D11*0.0547</f>
        <v>162.99765825</v>
      </c>
      <c r="E18" s="66">
        <f t="shared" si="12"/>
        <v>167.56159268100001</v>
      </c>
      <c r="F18" s="66">
        <f t="shared" si="12"/>
        <v>172.253317276068</v>
      </c>
      <c r="G18" s="66">
        <f t="shared" si="12"/>
        <v>177.07641015979792</v>
      </c>
      <c r="H18" s="66">
        <f t="shared" si="12"/>
        <v>182.03454964427229</v>
      </c>
      <c r="I18" s="66">
        <f t="shared" si="12"/>
        <v>187.13151703431191</v>
      </c>
      <c r="J18" s="66">
        <f t="shared" si="12"/>
        <v>192.37119951127264</v>
      </c>
      <c r="K18" s="66">
        <f t="shared" si="12"/>
        <v>197.75759309758828</v>
      </c>
      <c r="L18" s="66">
        <f t="shared" si="12"/>
        <v>203.29480570432074</v>
      </c>
    </row>
    <row r="19" spans="1:12" ht="15.6" x14ac:dyDescent="0.3">
      <c r="A19" s="61" t="s">
        <v>35</v>
      </c>
      <c r="B19" s="66">
        <f>168-B30</f>
        <v>61</v>
      </c>
      <c r="C19" s="72">
        <f t="shared" ref="C19:L19" si="13">B19*(1+C14)</f>
        <v>64.35499999999999</v>
      </c>
      <c r="D19" s="72">
        <f t="shared" si="13"/>
        <v>67.572749999999999</v>
      </c>
      <c r="E19" s="72">
        <f t="shared" si="13"/>
        <v>69.464787000000001</v>
      </c>
      <c r="F19" s="72">
        <f t="shared" si="13"/>
        <v>71.409801036000005</v>
      </c>
      <c r="G19" s="72">
        <f t="shared" si="13"/>
        <v>73.409275465008008</v>
      </c>
      <c r="H19" s="72">
        <f t="shared" si="13"/>
        <v>75.464735178028235</v>
      </c>
      <c r="I19" s="72">
        <f t="shared" si="13"/>
        <v>77.577747763013022</v>
      </c>
      <c r="J19" s="72">
        <f t="shared" si="13"/>
        <v>79.749924700377392</v>
      </c>
      <c r="K19" s="72">
        <f t="shared" si="13"/>
        <v>81.982922591987958</v>
      </c>
      <c r="L19" s="72">
        <f t="shared" si="13"/>
        <v>84.278444424563617</v>
      </c>
    </row>
    <row r="20" spans="1:12" ht="15.6" x14ac:dyDescent="0.3">
      <c r="A20" s="61" t="s">
        <v>36</v>
      </c>
      <c r="B20" s="66">
        <v>128</v>
      </c>
      <c r="C20" s="66">
        <v>79.760000000000005</v>
      </c>
      <c r="D20" s="66">
        <f t="shared" ref="D20:L20" si="14">((D11*0.011)/27.8)*100</f>
        <v>117.90763489208631</v>
      </c>
      <c r="E20" s="66">
        <f t="shared" si="14"/>
        <v>121.20904866906474</v>
      </c>
      <c r="F20" s="66">
        <f t="shared" si="14"/>
        <v>124.60290203179858</v>
      </c>
      <c r="G20" s="66">
        <f t="shared" si="14"/>
        <v>128.09178328868893</v>
      </c>
      <c r="H20" s="66">
        <f t="shared" si="14"/>
        <v>131.67835322077221</v>
      </c>
      <c r="I20" s="66">
        <f t="shared" si="14"/>
        <v>135.36534711095388</v>
      </c>
      <c r="J20" s="66">
        <f t="shared" si="14"/>
        <v>139.15557683006057</v>
      </c>
      <c r="K20" s="66">
        <f t="shared" si="14"/>
        <v>143.05193298130226</v>
      </c>
      <c r="L20" s="66">
        <f t="shared" si="14"/>
        <v>147.05738710477874</v>
      </c>
    </row>
    <row r="21" spans="1:12" ht="15.6" x14ac:dyDescent="0.3">
      <c r="A21" s="61" t="s">
        <v>37</v>
      </c>
      <c r="B21" s="65">
        <v>2.2700000000000001E-2</v>
      </c>
      <c r="C21" s="27">
        <v>2.3E-2</v>
      </c>
      <c r="D21" s="27">
        <v>2.3285714279999998E-2</v>
      </c>
      <c r="E21" s="27">
        <v>2.3571428559999996E-2</v>
      </c>
      <c r="F21" s="27">
        <v>2.3857142839999994E-2</v>
      </c>
      <c r="G21" s="27">
        <v>2.4142857119999993E-2</v>
      </c>
      <c r="H21" s="27">
        <v>2.4428571399999991E-2</v>
      </c>
      <c r="I21" s="27">
        <v>2.4714285679999989E-2</v>
      </c>
      <c r="J21" s="27">
        <v>2.4999999959999988E-2</v>
      </c>
      <c r="K21" s="27">
        <v>2.5000000000000001E-2</v>
      </c>
      <c r="L21" s="27">
        <v>2.5000000000000001E-2</v>
      </c>
    </row>
    <row r="22" spans="1:12" ht="15.6" x14ac:dyDescent="0.3">
      <c r="A22" s="61" t="s">
        <v>38</v>
      </c>
      <c r="B22" s="66">
        <v>53</v>
      </c>
      <c r="C22" s="66">
        <f t="shared" ref="C22:L22" si="15">C11*C21</f>
        <v>65.272849999999991</v>
      </c>
      <c r="D22" s="66">
        <f t="shared" si="15"/>
        <v>69.387877482972286</v>
      </c>
      <c r="E22" s="66">
        <f t="shared" si="15"/>
        <v>72.205961814991042</v>
      </c>
      <c r="F22" s="66">
        <f t="shared" si="15"/>
        <v>75.127458773656187</v>
      </c>
      <c r="G22" s="66">
        <f t="shared" si="15"/>
        <v>78.155950087943623</v>
      </c>
      <c r="H22" s="66">
        <f t="shared" si="15"/>
        <v>81.29513698815262</v>
      </c>
      <c r="I22" s="66">
        <f t="shared" si="15"/>
        <v>84.548844089904364</v>
      </c>
      <c r="J22" s="66">
        <f t="shared" si="15"/>
        <v>87.921023401955495</v>
      </c>
      <c r="K22" s="66">
        <f t="shared" si="15"/>
        <v>90.382812201822802</v>
      </c>
      <c r="L22" s="66">
        <f t="shared" si="15"/>
        <v>92.913530943473845</v>
      </c>
    </row>
    <row r="23" spans="1:12" ht="15.6" x14ac:dyDescent="0.3">
      <c r="A23" s="61" t="s">
        <v>39</v>
      </c>
      <c r="B23" s="73">
        <v>107.81100000000001</v>
      </c>
      <c r="C23" s="66">
        <f t="shared" ref="C23:L23" si="16">B23*(1+C14)</f>
        <v>113.740605</v>
      </c>
      <c r="D23" s="66">
        <f t="shared" si="16"/>
        <v>119.42763525000001</v>
      </c>
      <c r="E23" s="66">
        <f t="shared" si="16"/>
        <v>122.77160903700002</v>
      </c>
      <c r="F23" s="66">
        <f t="shared" si="16"/>
        <v>126.20921409003603</v>
      </c>
      <c r="G23" s="66">
        <f t="shared" si="16"/>
        <v>129.74307208455704</v>
      </c>
      <c r="H23" s="66">
        <f t="shared" si="16"/>
        <v>133.37587810292464</v>
      </c>
      <c r="I23" s="66">
        <f t="shared" si="16"/>
        <v>137.11040268980653</v>
      </c>
      <c r="J23" s="66">
        <f t="shared" si="16"/>
        <v>140.94949396512112</v>
      </c>
      <c r="K23" s="66">
        <f t="shared" si="16"/>
        <v>144.89607979614451</v>
      </c>
      <c r="L23" s="66">
        <f t="shared" si="16"/>
        <v>148.95317003043655</v>
      </c>
    </row>
    <row r="24" spans="1:12" ht="15.6" x14ac:dyDescent="0.3">
      <c r="A24" s="62" t="s">
        <v>40</v>
      </c>
      <c r="B24" s="68">
        <f t="shared" ref="B24:L24" si="17">SUM(B16:B23) -B21</f>
        <v>1078.875</v>
      </c>
      <c r="C24" s="68">
        <f t="shared" si="17"/>
        <v>1096.1817707600001</v>
      </c>
      <c r="D24" s="68">
        <f t="shared" si="17"/>
        <v>1213.0187338031978</v>
      </c>
      <c r="E24" s="68">
        <f t="shared" si="17"/>
        <v>1248.8526523170383</v>
      </c>
      <c r="F24" s="68">
        <f t="shared" si="17"/>
        <v>1285.6859408942821</v>
      </c>
      <c r="G24" s="68">
        <f t="shared" si="17"/>
        <v>1323.6042799003812</v>
      </c>
      <c r="H24" s="68">
        <f t="shared" si="17"/>
        <v>1362.6402484240273</v>
      </c>
      <c r="I24" s="68">
        <f t="shared" si="17"/>
        <v>1402.8267786562394</v>
      </c>
      <c r="J24" s="68">
        <f t="shared" si="17"/>
        <v>1444.197765977887</v>
      </c>
      <c r="K24" s="68">
        <f t="shared" si="17"/>
        <v>1485.7551575920313</v>
      </c>
      <c r="L24" s="68">
        <f t="shared" si="17"/>
        <v>1528.5099756182274</v>
      </c>
    </row>
    <row r="25" spans="1:12" ht="15.6" x14ac:dyDescent="0.3">
      <c r="A25" s="62"/>
      <c r="B25" s="17"/>
      <c r="C25" s="66"/>
      <c r="D25" s="69"/>
      <c r="E25" s="68"/>
      <c r="F25" s="68"/>
      <c r="G25" s="68"/>
      <c r="H25" s="68"/>
      <c r="I25" s="68"/>
      <c r="J25" s="68"/>
      <c r="K25" s="68"/>
      <c r="L25" s="68"/>
    </row>
    <row r="26" spans="1:12" ht="15.6" x14ac:dyDescent="0.3">
      <c r="A26" s="70" t="s">
        <v>41</v>
      </c>
      <c r="B26">
        <v>1027</v>
      </c>
      <c r="C26" s="66">
        <f t="shared" ref="C26:L26" si="18">B26*(1+C14)</f>
        <v>1083.4849999999999</v>
      </c>
      <c r="D26" s="69">
        <f t="shared" si="18"/>
        <v>1137.6592499999999</v>
      </c>
      <c r="E26" s="69">
        <f t="shared" si="18"/>
        <v>1169.5137090000001</v>
      </c>
      <c r="F26" s="71">
        <f t="shared" si="18"/>
        <v>1202.2600928520001</v>
      </c>
      <c r="G26" s="71">
        <f t="shared" si="18"/>
        <v>1235.9233754518561</v>
      </c>
      <c r="H26" s="71">
        <f t="shared" si="18"/>
        <v>1270.5292299645082</v>
      </c>
      <c r="I26" s="69">
        <f t="shared" si="18"/>
        <v>1306.1040484035145</v>
      </c>
      <c r="J26" s="66">
        <f t="shared" si="18"/>
        <v>1342.674961758813</v>
      </c>
      <c r="K26" s="66">
        <f t="shared" si="18"/>
        <v>1380.2698606880597</v>
      </c>
      <c r="L26" s="66">
        <f t="shared" si="18"/>
        <v>1418.9174167873255</v>
      </c>
    </row>
    <row r="27" spans="1:12" ht="15.6" x14ac:dyDescent="0.3">
      <c r="A27" s="74" t="s">
        <v>42</v>
      </c>
      <c r="B27" s="20">
        <f t="shared" ref="B27:L27" si="19">B26</f>
        <v>1027</v>
      </c>
      <c r="C27" s="20">
        <f t="shared" si="19"/>
        <v>1083.4849999999999</v>
      </c>
      <c r="D27" s="75">
        <f t="shared" si="19"/>
        <v>1137.6592499999999</v>
      </c>
      <c r="E27" s="75">
        <f t="shared" si="19"/>
        <v>1169.5137090000001</v>
      </c>
      <c r="F27" s="75">
        <f t="shared" si="19"/>
        <v>1202.2600928520001</v>
      </c>
      <c r="G27" s="76">
        <f t="shared" si="19"/>
        <v>1235.9233754518561</v>
      </c>
      <c r="H27" s="75">
        <f t="shared" si="19"/>
        <v>1270.5292299645082</v>
      </c>
      <c r="I27" s="75">
        <f t="shared" si="19"/>
        <v>1306.1040484035145</v>
      </c>
      <c r="J27" s="75">
        <f t="shared" si="19"/>
        <v>1342.674961758813</v>
      </c>
      <c r="K27" s="75">
        <f t="shared" si="19"/>
        <v>1380.2698606880597</v>
      </c>
      <c r="L27" s="75">
        <f t="shared" si="19"/>
        <v>1418.9174167873255</v>
      </c>
    </row>
    <row r="28" spans="1:12" ht="15.6" x14ac:dyDescent="0.3">
      <c r="A28" s="62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ht="15.6" x14ac:dyDescent="0.3">
      <c r="A29" s="61" t="s">
        <v>43</v>
      </c>
      <c r="B29" s="23">
        <v>107</v>
      </c>
      <c r="C29" s="23">
        <f t="shared" ref="C29:L29" si="20">(B45*C39)</f>
        <v>113.22</v>
      </c>
      <c r="D29" s="23">
        <f t="shared" si="20"/>
        <v>140.4309375</v>
      </c>
      <c r="E29" s="23">
        <f t="shared" si="20"/>
        <v>238.06730051460002</v>
      </c>
      <c r="F29" s="23">
        <f t="shared" si="20"/>
        <v>256.40948632537186</v>
      </c>
      <c r="G29" s="23">
        <f t="shared" si="20"/>
        <v>283.3890170510611</v>
      </c>
      <c r="H29" s="23">
        <f t="shared" si="20"/>
        <v>312.27502047231167</v>
      </c>
      <c r="I29" s="23">
        <f t="shared" si="20"/>
        <v>343.81596379977651</v>
      </c>
      <c r="J29" s="23">
        <f t="shared" si="20"/>
        <v>378.18877710898215</v>
      </c>
      <c r="K29" s="23">
        <f t="shared" si="20"/>
        <v>415.6345661034448</v>
      </c>
      <c r="L29" s="23">
        <f t="shared" si="20"/>
        <v>456.41005051632953</v>
      </c>
    </row>
    <row r="30" spans="1:12" ht="15.6" x14ac:dyDescent="0.3">
      <c r="A30" s="62" t="s">
        <v>44</v>
      </c>
      <c r="B30" s="23">
        <f t="shared" ref="B30:L30" si="21">(B29)</f>
        <v>107</v>
      </c>
      <c r="C30" s="23">
        <f t="shared" si="21"/>
        <v>113.22</v>
      </c>
      <c r="D30" s="23">
        <f t="shared" si="21"/>
        <v>140.4309375</v>
      </c>
      <c r="E30" s="23">
        <f t="shared" si="21"/>
        <v>238.06730051460002</v>
      </c>
      <c r="F30" s="23">
        <f t="shared" si="21"/>
        <v>256.40948632537186</v>
      </c>
      <c r="G30" s="23">
        <f t="shared" si="21"/>
        <v>283.3890170510611</v>
      </c>
      <c r="H30" s="23">
        <f t="shared" si="21"/>
        <v>312.27502047231167</v>
      </c>
      <c r="I30" s="23">
        <f t="shared" si="21"/>
        <v>343.81596379977651</v>
      </c>
      <c r="J30" s="23">
        <f t="shared" si="21"/>
        <v>378.18877710898215</v>
      </c>
      <c r="K30" s="23">
        <f t="shared" si="21"/>
        <v>415.6345661034448</v>
      </c>
      <c r="L30" s="23">
        <f t="shared" si="21"/>
        <v>456.41005051632953</v>
      </c>
    </row>
    <row r="31" spans="1:12" ht="15.6" x14ac:dyDescent="0.3">
      <c r="A31" s="6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6" x14ac:dyDescent="0.3">
      <c r="A32" s="61" t="s">
        <v>45</v>
      </c>
      <c r="B32" s="17">
        <f t="shared" ref="B32:L32" si="22">B24-B27</f>
        <v>51.875</v>
      </c>
      <c r="C32" s="17">
        <f t="shared" si="22"/>
        <v>12.696770760000163</v>
      </c>
      <c r="D32" s="17">
        <f t="shared" si="22"/>
        <v>75.359483803197918</v>
      </c>
      <c r="E32" s="17">
        <f t="shared" si="22"/>
        <v>79.338943317038229</v>
      </c>
      <c r="F32" s="17">
        <f t="shared" si="22"/>
        <v>83.425848042282041</v>
      </c>
      <c r="G32" s="17">
        <f t="shared" si="22"/>
        <v>87.680904448525098</v>
      </c>
      <c r="H32" s="17">
        <f t="shared" si="22"/>
        <v>92.111018459519073</v>
      </c>
      <c r="I32" s="17">
        <f t="shared" si="22"/>
        <v>96.722730252724887</v>
      </c>
      <c r="J32" s="17">
        <f t="shared" si="22"/>
        <v>101.52280421907403</v>
      </c>
      <c r="K32" s="17">
        <f t="shared" si="22"/>
        <v>105.48529690397163</v>
      </c>
      <c r="L32" s="17">
        <f t="shared" si="22"/>
        <v>109.59255883090191</v>
      </c>
    </row>
    <row r="33" spans="1:12" ht="15.6" x14ac:dyDescent="0.3">
      <c r="A33" s="62" t="s">
        <v>46</v>
      </c>
      <c r="B33" s="24">
        <f t="shared" ref="B33:L33" si="23">(B32/B11)</f>
        <v>1.9284386617100371E-2</v>
      </c>
      <c r="C33" s="24">
        <f t="shared" si="23"/>
        <v>4.473923346077332E-3</v>
      </c>
      <c r="D33" s="24">
        <f t="shared" si="23"/>
        <v>2.5289711571883436E-2</v>
      </c>
      <c r="E33" s="24">
        <f t="shared" si="23"/>
        <v>2.5899969855885063E-2</v>
      </c>
      <c r="F33" s="24">
        <f t="shared" si="23"/>
        <v>2.649234255732294E-2</v>
      </c>
      <c r="G33" s="24">
        <f t="shared" si="23"/>
        <v>2.7085174524411063E-2</v>
      </c>
      <c r="H33" s="24">
        <f t="shared" si="23"/>
        <v>2.7678661658359693E-2</v>
      </c>
      <c r="I33" s="24">
        <f t="shared" si="23"/>
        <v>2.827280742801843E-2</v>
      </c>
      <c r="J33" s="24">
        <f t="shared" si="23"/>
        <v>2.8867613264832479E-2</v>
      </c>
      <c r="K33" s="24">
        <f t="shared" si="23"/>
        <v>2.9177366341629568E-2</v>
      </c>
      <c r="L33" s="24">
        <f t="shared" si="23"/>
        <v>2.9487782274030452E-2</v>
      </c>
    </row>
    <row r="34" spans="1:12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6" x14ac:dyDescent="0.3">
      <c r="A35" s="26" t="s">
        <v>47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6" x14ac:dyDescent="0.3">
      <c r="A36" s="23" t="s">
        <v>48</v>
      </c>
      <c r="B36" s="24">
        <v>7.9000000000000001E-2</v>
      </c>
      <c r="C36" s="65">
        <v>5.1999999999999998E-2</v>
      </c>
      <c r="D36" s="65">
        <v>4.2000000000000003E-2</v>
      </c>
      <c r="E36" s="65">
        <v>0.02</v>
      </c>
      <c r="F36" s="65">
        <v>0.02</v>
      </c>
      <c r="G36" s="65">
        <v>0.02</v>
      </c>
      <c r="H36" s="65">
        <v>0.02</v>
      </c>
      <c r="I36" s="65">
        <v>0.02</v>
      </c>
      <c r="J36" s="65">
        <v>0.02</v>
      </c>
      <c r="K36" s="65">
        <v>0.02</v>
      </c>
      <c r="L36" s="65">
        <v>0.02</v>
      </c>
    </row>
    <row r="37" spans="1:12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6" x14ac:dyDescent="0.3">
      <c r="A38" s="26" t="s">
        <v>49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3">
      <c r="A39" s="23" t="s">
        <v>25</v>
      </c>
      <c r="B39" s="24">
        <v>4.4499999999999998E-2</v>
      </c>
      <c r="C39" s="24">
        <v>4.4999999999999998E-2</v>
      </c>
      <c r="D39" s="24">
        <v>5.2499999999999998E-2</v>
      </c>
      <c r="E39" s="24">
        <v>8.5000000000000006E-2</v>
      </c>
      <c r="F39" s="24">
        <v>8.5000000000000006E-2</v>
      </c>
      <c r="G39" s="24">
        <v>8.5000000000000006E-2</v>
      </c>
      <c r="H39" s="24">
        <v>8.5000000000000006E-2</v>
      </c>
      <c r="I39" s="24">
        <v>8.5000000000000006E-2</v>
      </c>
      <c r="J39" s="24">
        <v>8.5000000000000006E-2</v>
      </c>
      <c r="K39" s="24">
        <v>8.5000000000000006E-2</v>
      </c>
      <c r="L39" s="24">
        <v>8.5000000000000006E-2</v>
      </c>
    </row>
    <row r="40" spans="1:12" x14ac:dyDescent="0.3">
      <c r="A40" s="28"/>
      <c r="B40" s="28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6" x14ac:dyDescent="0.3">
      <c r="A41" s="26" t="s">
        <v>50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6" x14ac:dyDescent="0.3">
      <c r="A42" s="23" t="s">
        <v>51</v>
      </c>
      <c r="B42" s="63">
        <v>4.0000000000000001E-3</v>
      </c>
      <c r="C42" s="65">
        <v>3.0000000000000001E-3</v>
      </c>
      <c r="D42" s="65">
        <v>8.0000000000000002E-3</v>
      </c>
      <c r="E42" s="65">
        <v>8.0000000000000002E-3</v>
      </c>
      <c r="F42" s="65">
        <v>8.0000000000000002E-3</v>
      </c>
      <c r="G42" s="65">
        <v>8.0000000000000002E-3</v>
      </c>
      <c r="H42" s="65">
        <v>8.0000000000000002E-3</v>
      </c>
      <c r="I42" s="65">
        <v>8.0000000000000002E-3</v>
      </c>
      <c r="J42" s="65">
        <v>8.0000000000000002E-3</v>
      </c>
      <c r="K42" s="65">
        <v>8.0000000000000002E-3</v>
      </c>
      <c r="L42" s="65">
        <v>8.0000000000000002E-3</v>
      </c>
    </row>
    <row r="43" spans="1:12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6" x14ac:dyDescent="0.3">
      <c r="A44" s="26" t="s">
        <v>52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 x14ac:dyDescent="0.3">
      <c r="A45" s="23" t="s">
        <v>53</v>
      </c>
      <c r="B45" s="17">
        <v>2516</v>
      </c>
      <c r="C45" s="17">
        <f t="shared" ref="C45:L45" si="24">B45+B48</f>
        <v>2674.875</v>
      </c>
      <c r="D45" s="17">
        <f t="shared" si="24"/>
        <v>2800.79177076</v>
      </c>
      <c r="E45" s="17">
        <f t="shared" si="24"/>
        <v>3016.5821920631979</v>
      </c>
      <c r="F45" s="17">
        <f t="shared" si="24"/>
        <v>3333.9884358948361</v>
      </c>
      <c r="G45" s="17">
        <f t="shared" si="24"/>
        <v>3673.8237702624901</v>
      </c>
      <c r="H45" s="17">
        <f t="shared" si="24"/>
        <v>4044.8936917620763</v>
      </c>
      <c r="I45" s="17">
        <f t="shared" si="24"/>
        <v>4449.2797306939074</v>
      </c>
      <c r="J45" s="17">
        <f t="shared" si="24"/>
        <v>4889.8184247464087</v>
      </c>
      <c r="K45" s="17">
        <f t="shared" si="24"/>
        <v>5369.5300060744648</v>
      </c>
      <c r="L45" s="17">
        <f t="shared" si="24"/>
        <v>5890.6498690818808</v>
      </c>
    </row>
    <row r="46" spans="1:12" x14ac:dyDescent="0.3">
      <c r="A46" s="23">
        <v>2382.8000000000002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6" x14ac:dyDescent="0.3">
      <c r="A47" s="26" t="s">
        <v>54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 x14ac:dyDescent="0.3">
      <c r="A48" s="23" t="s">
        <v>55</v>
      </c>
      <c r="B48" s="17">
        <f t="shared" ref="B48:L48" si="25">B24-B27+B30</f>
        <v>158.875</v>
      </c>
      <c r="C48" s="17">
        <f t="shared" si="25"/>
        <v>125.91677076000016</v>
      </c>
      <c r="D48" s="17">
        <f t="shared" si="25"/>
        <v>215.79042130319792</v>
      </c>
      <c r="E48" s="17">
        <f t="shared" si="25"/>
        <v>317.40624383163822</v>
      </c>
      <c r="F48" s="17">
        <f t="shared" si="25"/>
        <v>339.8353343676539</v>
      </c>
      <c r="G48" s="17">
        <f t="shared" si="25"/>
        <v>371.0699214995862</v>
      </c>
      <c r="H48" s="17">
        <f t="shared" si="25"/>
        <v>404.38603893183074</v>
      </c>
      <c r="I48" s="17">
        <f t="shared" si="25"/>
        <v>440.5386940525014</v>
      </c>
      <c r="J48" s="17">
        <f t="shared" si="25"/>
        <v>479.71158132805618</v>
      </c>
      <c r="K48" s="17">
        <f t="shared" si="25"/>
        <v>521.11986300741637</v>
      </c>
      <c r="L48" s="17">
        <f t="shared" si="25"/>
        <v>566.00260934723144</v>
      </c>
    </row>
    <row r="49" spans="1:12" ht="15.6" x14ac:dyDescent="0.3">
      <c r="A49" s="26" t="s">
        <v>56</v>
      </c>
      <c r="B49" s="24">
        <f t="shared" ref="B49:L49" si="26">B48/B11</f>
        <v>5.9061338289962823E-2</v>
      </c>
      <c r="C49" s="24">
        <f t="shared" si="26"/>
        <v>4.4368917972480194E-2</v>
      </c>
      <c r="D49" s="24">
        <f t="shared" si="26"/>
        <v>7.241659893776374E-2</v>
      </c>
      <c r="E49" s="24">
        <f t="shared" si="26"/>
        <v>0.10361635539382959</v>
      </c>
      <c r="F49" s="24">
        <f t="shared" si="26"/>
        <v>0.10791660261682129</v>
      </c>
      <c r="G49" s="24">
        <f t="shared" si="26"/>
        <v>0.11462579734765574</v>
      </c>
      <c r="H49" s="24">
        <f t="shared" si="26"/>
        <v>0.12151493424076568</v>
      </c>
      <c r="I49" s="24">
        <f t="shared" si="26"/>
        <v>0.1287728916356371</v>
      </c>
      <c r="J49" s="24">
        <f t="shared" si="26"/>
        <v>0.13640411644419279</v>
      </c>
      <c r="K49" s="24">
        <f t="shared" si="26"/>
        <v>0.1441424122331377</v>
      </c>
      <c r="L49" s="24">
        <f t="shared" si="26"/>
        <v>0.15229283711421232</v>
      </c>
    </row>
  </sheetData>
  <mergeCells count="1">
    <mergeCell ref="A1:L1"/>
  </mergeCells>
  <pageMargins left="0.7" right="0.7" top="0.75" bottom="0.75" header="0.3" footer="0.3"/>
  <pageSetup scale="4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D027-71EB-4631-988E-5FF6702E04F3}">
  <sheetPr>
    <pageSetUpPr fitToPage="1"/>
  </sheetPr>
  <dimension ref="A1:X48"/>
  <sheetViews>
    <sheetView zoomScale="70" zoomScaleNormal="70" workbookViewId="0">
      <selection activeCell="W88" sqref="W88"/>
    </sheetView>
  </sheetViews>
  <sheetFormatPr defaultColWidth="8.88671875" defaultRowHeight="14.4" x14ac:dyDescent="0.3"/>
  <cols>
    <col min="1" max="1" width="43.6640625" bestFit="1" customWidth="1"/>
    <col min="2" max="2" width="7.44140625" bestFit="1" customWidth="1"/>
    <col min="3" max="4" width="8.33203125" bestFit="1" customWidth="1"/>
    <col min="5" max="5" width="11" bestFit="1" customWidth="1"/>
    <col min="6" max="6" width="12" bestFit="1" customWidth="1"/>
    <col min="7" max="7" width="13.33203125" bestFit="1" customWidth="1"/>
    <col min="8" max="12" width="12" bestFit="1" customWidth="1"/>
  </cols>
  <sheetData>
    <row r="1" spans="1:24" ht="36.6" x14ac:dyDescent="0.7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4" ht="21" x14ac:dyDescent="0.4">
      <c r="A2" s="3" t="s">
        <v>21</v>
      </c>
      <c r="B2" s="4">
        <v>2010</v>
      </c>
      <c r="C2" s="5">
        <v>2011</v>
      </c>
      <c r="D2" s="4">
        <v>2012</v>
      </c>
      <c r="E2" s="5">
        <v>2013</v>
      </c>
      <c r="F2" s="4">
        <v>2014</v>
      </c>
      <c r="G2" s="5">
        <v>2015</v>
      </c>
      <c r="H2" s="4">
        <v>2016</v>
      </c>
      <c r="I2" s="5">
        <v>2017</v>
      </c>
      <c r="J2" s="4">
        <v>2018</v>
      </c>
      <c r="K2" s="4">
        <v>2019</v>
      </c>
      <c r="L2" s="5">
        <v>2020</v>
      </c>
      <c r="M2" s="4">
        <v>2021</v>
      </c>
      <c r="N2" s="5">
        <v>2022</v>
      </c>
      <c r="O2" s="4">
        <v>2023</v>
      </c>
      <c r="P2" s="5">
        <v>2024</v>
      </c>
      <c r="Q2" s="4">
        <v>2025</v>
      </c>
      <c r="R2" s="5">
        <v>2026</v>
      </c>
      <c r="S2" s="4">
        <v>2027</v>
      </c>
      <c r="T2" s="5">
        <v>2028</v>
      </c>
      <c r="U2" s="4">
        <v>2029</v>
      </c>
      <c r="V2" s="5">
        <v>2030</v>
      </c>
      <c r="W2" s="4">
        <v>2031</v>
      </c>
      <c r="X2" s="5">
        <v>2032</v>
      </c>
    </row>
    <row r="3" spans="1:24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</row>
    <row r="4" spans="1:24" ht="15.6" x14ac:dyDescent="0.3">
      <c r="A4" s="7" t="s">
        <v>23</v>
      </c>
      <c r="B4" s="8">
        <f t="shared" ref="B4:L4" si="0">B32</f>
        <v>1.4974358974358998E-2</v>
      </c>
      <c r="C4" s="8">
        <f t="shared" si="0"/>
        <v>2.9802831721489599E-2</v>
      </c>
      <c r="D4" s="8">
        <f t="shared" si="0"/>
        <v>2.8404550589270584E-2</v>
      </c>
      <c r="E4" s="8">
        <f t="shared" si="0"/>
        <v>2.6632910913391011E-2</v>
      </c>
      <c r="F4" s="8">
        <f t="shared" si="0"/>
        <v>2.2979893538915816E-2</v>
      </c>
      <c r="G4" s="8">
        <f t="shared" si="0"/>
        <v>2.100272641702703E-2</v>
      </c>
      <c r="H4" s="8">
        <f t="shared" si="0"/>
        <v>1.9381624270141458E-2</v>
      </c>
      <c r="I4" s="8">
        <f t="shared" si="0"/>
        <v>1.6466630210550896E-2</v>
      </c>
      <c r="J4" s="8">
        <f t="shared" si="0"/>
        <v>1.5447727185383129E-2</v>
      </c>
      <c r="K4" s="8">
        <f t="shared" si="0"/>
        <v>1.4238082144978247E-2</v>
      </c>
      <c r="L4" s="8">
        <f t="shared" si="0"/>
        <v>1.2948959476922478E-2</v>
      </c>
    </row>
    <row r="5" spans="1:24" ht="15.6" x14ac:dyDescent="0.3">
      <c r="A5" s="7" t="s">
        <v>24</v>
      </c>
      <c r="B5" s="9">
        <v>2.4899999999999999E-2</v>
      </c>
      <c r="C5" s="9">
        <v>3.8600000000000002E-2</v>
      </c>
      <c r="D5" s="9">
        <v>2.5700000000000001E-2</v>
      </c>
      <c r="E5" s="9">
        <v>2.29E-2</v>
      </c>
      <c r="F5" s="9">
        <v>1.4500000000000001E-2</v>
      </c>
      <c r="G5" s="9">
        <v>3.7000000000000002E-3</v>
      </c>
      <c r="H5" s="9">
        <v>1.01E-2</v>
      </c>
      <c r="I5" s="9">
        <v>2.5600000000000001E-2</v>
      </c>
      <c r="J5" s="9">
        <v>2.29E-2</v>
      </c>
      <c r="K5" s="9">
        <v>1.7399999999999999E-2</v>
      </c>
      <c r="L5" s="9">
        <f>L35</f>
        <v>3.6299999999999999E-2</v>
      </c>
    </row>
    <row r="6" spans="1:24" ht="15.6" x14ac:dyDescent="0.3">
      <c r="A6" s="7" t="s">
        <v>25</v>
      </c>
      <c r="B6" s="10">
        <f t="shared" ref="B6:L6" si="1">B38</f>
        <v>5.0000000000000001E-3</v>
      </c>
      <c r="C6" s="10">
        <f t="shared" si="1"/>
        <v>5.0000000000000001E-3</v>
      </c>
      <c r="D6" s="10">
        <f t="shared" si="1"/>
        <v>5.0000000000000001E-3</v>
      </c>
      <c r="E6" s="10">
        <f t="shared" si="1"/>
        <v>5.0000000000000001E-3</v>
      </c>
      <c r="F6" s="10">
        <f t="shared" si="1"/>
        <v>5.0000000000000001E-3</v>
      </c>
      <c r="G6" s="10">
        <f t="shared" si="1"/>
        <v>5.0000000000000001E-3</v>
      </c>
      <c r="H6" s="10">
        <f t="shared" si="1"/>
        <v>5.0000000000000001E-3</v>
      </c>
      <c r="I6" s="10">
        <f t="shared" si="1"/>
        <v>5.0000000000000001E-3</v>
      </c>
      <c r="J6" s="10">
        <f t="shared" si="1"/>
        <v>5.0000000000000001E-3</v>
      </c>
      <c r="K6" s="10">
        <f t="shared" si="1"/>
        <v>5.0000000000000001E-3</v>
      </c>
      <c r="L6" s="10">
        <f t="shared" si="1"/>
        <v>5.0000000000000001E-3</v>
      </c>
    </row>
    <row r="7" spans="1:24" ht="15.6" x14ac:dyDescent="0.3">
      <c r="A7" s="7" t="s">
        <v>26</v>
      </c>
      <c r="B7" s="10">
        <f t="shared" ref="B7:L7" si="2">B41</f>
        <v>2.1999999999999999E-2</v>
      </c>
      <c r="C7" s="10">
        <f t="shared" si="2"/>
        <v>1.0999999999999999E-2</v>
      </c>
      <c r="D7" s="10">
        <f t="shared" si="2"/>
        <v>1.4999999999999999E-2</v>
      </c>
      <c r="E7" s="10">
        <f t="shared" si="2"/>
        <v>1.7999999999999999E-2</v>
      </c>
      <c r="F7" s="10">
        <f t="shared" si="2"/>
        <v>3.2000000000000001E-2</v>
      </c>
      <c r="G7" s="10">
        <f t="shared" si="2"/>
        <v>2.1999999999999999E-2</v>
      </c>
      <c r="H7" s="10">
        <f t="shared" si="2"/>
        <v>1.9E-2</v>
      </c>
      <c r="I7" s="10">
        <f t="shared" si="2"/>
        <v>2.7E-2</v>
      </c>
      <c r="J7" s="10">
        <f t="shared" si="2"/>
        <v>1.4E-2</v>
      </c>
      <c r="K7" s="10">
        <f t="shared" si="2"/>
        <v>1.6E-2</v>
      </c>
      <c r="L7" s="10">
        <f t="shared" si="2"/>
        <v>1.4999999999999999E-2</v>
      </c>
    </row>
    <row r="8" spans="1:24" ht="15.6" x14ac:dyDescent="0.3">
      <c r="A8" s="7" t="s">
        <v>27</v>
      </c>
      <c r="B8" s="10">
        <f t="shared" ref="B8:L8" si="3">B44/B11</f>
        <v>0.77897435897435896</v>
      </c>
      <c r="C8" s="10">
        <f t="shared" si="3"/>
        <v>0.77939337085678539</v>
      </c>
      <c r="D8" s="10">
        <f t="shared" si="3"/>
        <v>0.79989476563566519</v>
      </c>
      <c r="E8" s="10">
        <f t="shared" si="3"/>
        <v>0.81739171149250078</v>
      </c>
      <c r="F8" s="10">
        <f t="shared" si="3"/>
        <v>0.82743259494453048</v>
      </c>
      <c r="G8" s="10">
        <f t="shared" si="3"/>
        <v>0.84971967509473634</v>
      </c>
      <c r="H8" s="10">
        <f t="shared" si="3"/>
        <v>0.86635270565111644</v>
      </c>
      <c r="I8" s="10">
        <f t="shared" si="3"/>
        <v>0.86091125153090642</v>
      </c>
      <c r="J8" s="10">
        <f t="shared" si="3"/>
        <v>0.86508768408977932</v>
      </c>
      <c r="K8" s="10">
        <f t="shared" si="3"/>
        <v>0.87057368592389439</v>
      </c>
      <c r="L8" s="10">
        <f t="shared" si="3"/>
        <v>0.85939106369086826</v>
      </c>
      <c r="M8" s="48">
        <v>0.89</v>
      </c>
      <c r="N8" s="29">
        <v>0.93531598513011149</v>
      </c>
    </row>
    <row r="9" spans="1:24" ht="15.6" x14ac:dyDescent="0.3">
      <c r="A9" s="7" t="s">
        <v>28</v>
      </c>
      <c r="B9" s="10">
        <f t="shared" ref="B9:L9" si="4">B48</f>
        <v>3.9076923076923099E-2</v>
      </c>
      <c r="C9" s="10">
        <f t="shared" si="4"/>
        <v>5.3057111740251323E-2</v>
      </c>
      <c r="D9" s="10">
        <f t="shared" si="4"/>
        <v>5.0928266856878741E-2</v>
      </c>
      <c r="E9" s="10">
        <f t="shared" si="4"/>
        <v>4.851649911695035E-2</v>
      </c>
      <c r="F9" s="10">
        <f t="shared" si="4"/>
        <v>4.4124875800140573E-2</v>
      </c>
      <c r="G9" s="10">
        <f t="shared" si="4"/>
        <v>4.1843894290827501E-2</v>
      </c>
      <c r="H9" s="10">
        <f t="shared" si="4"/>
        <v>3.9842477710315474E-2</v>
      </c>
      <c r="I9" s="10">
        <f t="shared" si="4"/>
        <v>3.6098168101785635E-2</v>
      </c>
      <c r="J9" s="10">
        <f t="shared" si="4"/>
        <v>3.4563162943973304E-2</v>
      </c>
      <c r="K9" s="10">
        <f t="shared" si="4"/>
        <v>3.2904139334315352E-2</v>
      </c>
      <c r="L9" s="10">
        <f t="shared" si="4"/>
        <v>3.0863244182813568E-2</v>
      </c>
    </row>
    <row r="10" spans="1:24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N10" s="29">
        <v>0.93531598513011149</v>
      </c>
      <c r="O10" s="29">
        <v>0.94253774731760609</v>
      </c>
      <c r="P10" s="29">
        <v>0.93991110980008208</v>
      </c>
      <c r="Q10" s="29">
        <v>0.9545758686825514</v>
      </c>
      <c r="R10" s="29">
        <v>0.9732390128558237</v>
      </c>
      <c r="S10" s="29">
        <v>0.99398301202257067</v>
      </c>
      <c r="T10" s="29">
        <v>1.0133952747532748</v>
      </c>
      <c r="U10" s="29">
        <v>1.03337036593197</v>
      </c>
      <c r="V10" s="29">
        <v>1.0512003126030411</v>
      </c>
      <c r="W10" s="29">
        <v>1.068682192468186</v>
      </c>
      <c r="X10" s="29">
        <v>1.0855320466805067</v>
      </c>
    </row>
    <row r="11" spans="1:24" ht="15.6" x14ac:dyDescent="0.3">
      <c r="A11" s="7" t="s">
        <v>29</v>
      </c>
      <c r="B11" s="6">
        <v>1950</v>
      </c>
      <c r="C11" s="11">
        <f t="shared" ref="C11:L11" si="5">B11*(1+C13)</f>
        <v>2046.7200000000003</v>
      </c>
      <c r="D11" s="11">
        <f t="shared" si="5"/>
        <v>2130.0215040000003</v>
      </c>
      <c r="E11" s="11">
        <f t="shared" si="5"/>
        <v>2217.1393835136</v>
      </c>
      <c r="F11" s="11">
        <f t="shared" si="5"/>
        <v>2320.2363648469823</v>
      </c>
      <c r="G11" s="11">
        <f t="shared" si="5"/>
        <v>2379.8664394235498</v>
      </c>
      <c r="H11" s="11">
        <f t="shared" si="5"/>
        <v>2449.1205528107748</v>
      </c>
      <c r="I11" s="11">
        <f t="shared" si="5"/>
        <v>2577.9442938886214</v>
      </c>
      <c r="J11" s="11">
        <f t="shared" si="5"/>
        <v>2673.0704383331113</v>
      </c>
      <c r="K11" s="11">
        <f t="shared" si="5"/>
        <v>2762.3509909734375</v>
      </c>
      <c r="L11" s="11">
        <f t="shared" si="5"/>
        <v>2904.0595968103748</v>
      </c>
    </row>
    <row r="12" spans="1:24" ht="15.6" x14ac:dyDescent="0.3">
      <c r="A12" s="7" t="s">
        <v>26</v>
      </c>
      <c r="B12" s="8">
        <v>2.1999999999999999E-2</v>
      </c>
      <c r="C12" s="10">
        <f t="shared" ref="C12:L12" si="6">C41</f>
        <v>1.0999999999999999E-2</v>
      </c>
      <c r="D12" s="10">
        <f t="shared" si="6"/>
        <v>1.4999999999999999E-2</v>
      </c>
      <c r="E12" s="10">
        <f t="shared" si="6"/>
        <v>1.7999999999999999E-2</v>
      </c>
      <c r="F12" s="10">
        <f t="shared" si="6"/>
        <v>3.2000000000000001E-2</v>
      </c>
      <c r="G12" s="10">
        <f t="shared" si="6"/>
        <v>2.1999999999999999E-2</v>
      </c>
      <c r="H12" s="10">
        <f t="shared" si="6"/>
        <v>1.9E-2</v>
      </c>
      <c r="I12" s="10">
        <f t="shared" si="6"/>
        <v>2.7E-2</v>
      </c>
      <c r="J12" s="10">
        <f t="shared" si="6"/>
        <v>1.4E-2</v>
      </c>
      <c r="K12" s="10">
        <f t="shared" si="6"/>
        <v>1.6E-2</v>
      </c>
      <c r="L12" s="10">
        <f t="shared" si="6"/>
        <v>1.4999999999999999E-2</v>
      </c>
    </row>
    <row r="13" spans="1:24" ht="15.6" x14ac:dyDescent="0.3">
      <c r="A13" s="7" t="s">
        <v>30</v>
      </c>
      <c r="B13" s="8">
        <f t="shared" ref="B13:L13" si="7">(B35+B12)</f>
        <v>4.6899999999999997E-2</v>
      </c>
      <c r="C13" s="8">
        <f t="shared" si="7"/>
        <v>4.9600000000000005E-2</v>
      </c>
      <c r="D13" s="8">
        <f t="shared" si="7"/>
        <v>4.07E-2</v>
      </c>
      <c r="E13" s="8">
        <f t="shared" si="7"/>
        <v>4.0899999999999999E-2</v>
      </c>
      <c r="F13" s="8">
        <f t="shared" si="7"/>
        <v>4.65E-2</v>
      </c>
      <c r="G13" s="8">
        <f t="shared" si="7"/>
        <v>2.5700000000000001E-2</v>
      </c>
      <c r="H13" s="8">
        <f t="shared" si="7"/>
        <v>2.9100000000000001E-2</v>
      </c>
      <c r="I13" s="8">
        <f t="shared" si="7"/>
        <v>5.2600000000000001E-2</v>
      </c>
      <c r="J13" s="8">
        <f t="shared" si="7"/>
        <v>3.6900000000000002E-2</v>
      </c>
      <c r="K13" s="8">
        <f t="shared" si="7"/>
        <v>3.3399999999999999E-2</v>
      </c>
      <c r="L13" s="8">
        <f t="shared" si="7"/>
        <v>5.1299999999999998E-2</v>
      </c>
    </row>
    <row r="14" spans="1:24" ht="15.6" x14ac:dyDescent="0.3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4" ht="15.6" x14ac:dyDescent="0.3">
      <c r="A16" s="6" t="s">
        <v>32</v>
      </c>
      <c r="B16" s="11">
        <v>268</v>
      </c>
      <c r="C16" s="11">
        <f t="shared" ref="C16:L16" si="8">B16*1.01*(1+C5)</f>
        <v>281.12824799999999</v>
      </c>
      <c r="D16" s="11">
        <f t="shared" si="8"/>
        <v>291.23677641333597</v>
      </c>
      <c r="E16" s="11">
        <f t="shared" si="8"/>
        <v>300.88515957913336</v>
      </c>
      <c r="F16" s="11">
        <f t="shared" si="8"/>
        <v>308.30047433696109</v>
      </c>
      <c r="G16" s="11">
        <f t="shared" si="8"/>
        <v>312.5355979529279</v>
      </c>
      <c r="H16" s="11">
        <f t="shared" si="8"/>
        <v>318.849129567175</v>
      </c>
      <c r="I16" s="11">
        <f t="shared" si="8"/>
        <v>330.28178395693567</v>
      </c>
      <c r="J16" s="11">
        <f t="shared" si="8"/>
        <v>341.22368917764493</v>
      </c>
      <c r="K16" s="11">
        <f t="shared" si="8"/>
        <v>350.63259118302932</v>
      </c>
      <c r="L16" s="11">
        <f t="shared" si="8"/>
        <v>366.99415978540299</v>
      </c>
    </row>
    <row r="17" spans="1:12" ht="15.6" x14ac:dyDescent="0.3">
      <c r="A17" s="6" t="s">
        <v>33</v>
      </c>
      <c r="B17" s="11">
        <v>122</v>
      </c>
      <c r="C17" s="11">
        <f>C11*(0.062)+(B17*0.01)</f>
        <v>128.11664000000002</v>
      </c>
      <c r="D17" s="11">
        <f t="shared" ref="D17:L17" si="9">D11*(0.062)+(C17*0.01)</f>
        <v>133.342499648</v>
      </c>
      <c r="E17" s="11">
        <f t="shared" si="9"/>
        <v>138.79606677432321</v>
      </c>
      <c r="F17" s="11">
        <f t="shared" si="9"/>
        <v>145.24261528825613</v>
      </c>
      <c r="G17" s="11">
        <f t="shared" si="9"/>
        <v>149.00414539714265</v>
      </c>
      <c r="H17" s="11">
        <f t="shared" si="9"/>
        <v>153.33551572823947</v>
      </c>
      <c r="I17" s="11">
        <f t="shared" si="9"/>
        <v>161.36590137837692</v>
      </c>
      <c r="J17" s="11">
        <f t="shared" si="9"/>
        <v>167.34402619043667</v>
      </c>
      <c r="K17" s="11">
        <f t="shared" si="9"/>
        <v>172.93920170225749</v>
      </c>
      <c r="L17" s="11">
        <f t="shared" si="9"/>
        <v>181.78108701926581</v>
      </c>
    </row>
    <row r="18" spans="1:12" ht="15.6" x14ac:dyDescent="0.3">
      <c r="A18" s="6" t="s">
        <v>34</v>
      </c>
      <c r="B18" s="11">
        <v>100.5</v>
      </c>
      <c r="C18" s="11">
        <f>C11*0.0545</f>
        <v>111.54624000000001</v>
      </c>
      <c r="D18" s="11">
        <f>D11*0.0545</f>
        <v>116.08617196800002</v>
      </c>
      <c r="E18" s="11">
        <f t="shared" ref="E18:L18" si="10">E11*0.0545</f>
        <v>120.83409640149119</v>
      </c>
      <c r="F18" s="11">
        <f t="shared" si="10"/>
        <v>126.45288188416053</v>
      </c>
      <c r="G18" s="11">
        <f t="shared" si="10"/>
        <v>129.70272094858345</v>
      </c>
      <c r="H18" s="11">
        <f t="shared" si="10"/>
        <v>133.47707012818722</v>
      </c>
      <c r="I18" s="11">
        <f t="shared" si="10"/>
        <v>140.49796401692987</v>
      </c>
      <c r="J18" s="11">
        <f t="shared" si="10"/>
        <v>145.68233888915455</v>
      </c>
      <c r="K18" s="11">
        <f t="shared" si="10"/>
        <v>150.54812900805234</v>
      </c>
      <c r="L18" s="11">
        <f t="shared" si="10"/>
        <v>158.27124802616544</v>
      </c>
    </row>
    <row r="19" spans="1:12" ht="15.6" x14ac:dyDescent="0.3">
      <c r="A19" s="6" t="s">
        <v>35</v>
      </c>
      <c r="B19" s="11">
        <f>86-B29</f>
        <v>39</v>
      </c>
      <c r="C19" s="11">
        <f>B19*(1+C13)</f>
        <v>40.934400000000004</v>
      </c>
      <c r="D19" s="11">
        <f t="shared" ref="D19:L19" si="11">C19*(1+D13)</f>
        <v>42.600430080000002</v>
      </c>
      <c r="E19" s="11">
        <f t="shared" si="11"/>
        <v>44.342787670272003</v>
      </c>
      <c r="F19" s="11">
        <f t="shared" si="11"/>
        <v>46.404727296939647</v>
      </c>
      <c r="G19" s="11">
        <f t="shared" si="11"/>
        <v>47.597328788470996</v>
      </c>
      <c r="H19" s="11">
        <f t="shared" si="11"/>
        <v>48.982411056215497</v>
      </c>
      <c r="I19" s="11">
        <f t="shared" si="11"/>
        <v>51.558885877772433</v>
      </c>
      <c r="J19" s="11">
        <f t="shared" si="11"/>
        <v>53.461408766662231</v>
      </c>
      <c r="K19" s="11">
        <f>J19*(1+K13)</f>
        <v>55.247019819468754</v>
      </c>
      <c r="L19" s="11">
        <f t="shared" si="11"/>
        <v>58.081191936207496</v>
      </c>
    </row>
    <row r="20" spans="1:12" ht="15.6" x14ac:dyDescent="0.3">
      <c r="A20" s="6" t="s">
        <v>36</v>
      </c>
      <c r="B20" s="11">
        <v>52</v>
      </c>
      <c r="C20" s="11">
        <f>((C11*0.011)/27.8)*100</f>
        <v>80.985323741007193</v>
      </c>
      <c r="D20" s="11">
        <f>((D11*0.011)/27.8)*100</f>
        <v>84.281426417266189</v>
      </c>
      <c r="E20" s="11">
        <f t="shared" ref="E20:L20" si="12">((E11*0.011)/27.8)*100</f>
        <v>87.728536757732371</v>
      </c>
      <c r="F20" s="11">
        <f t="shared" si="12"/>
        <v>91.807913716966922</v>
      </c>
      <c r="G20" s="11">
        <f t="shared" si="12"/>
        <v>94.167377099492967</v>
      </c>
      <c r="H20" s="11">
        <f t="shared" si="12"/>
        <v>96.9076477730882</v>
      </c>
      <c r="I20" s="11">
        <f t="shared" si="12"/>
        <v>102.00499004595262</v>
      </c>
      <c r="J20" s="11">
        <f t="shared" si="12"/>
        <v>105.76897417864828</v>
      </c>
      <c r="K20" s="11">
        <f t="shared" si="12"/>
        <v>109.30165791621516</v>
      </c>
      <c r="L20" s="11">
        <f t="shared" si="12"/>
        <v>114.90883296731698</v>
      </c>
    </row>
    <row r="21" spans="1:12" ht="15.6" x14ac:dyDescent="0.3">
      <c r="A21" s="6" t="s">
        <v>38</v>
      </c>
      <c r="B21" s="11">
        <v>40.700000000000003</v>
      </c>
      <c r="C21" s="11">
        <f t="shared" ref="C21:L21" si="13">40.7</f>
        <v>40.700000000000003</v>
      </c>
      <c r="D21" s="11">
        <f t="shared" si="13"/>
        <v>40.700000000000003</v>
      </c>
      <c r="E21" s="11">
        <f t="shared" si="13"/>
        <v>40.700000000000003</v>
      </c>
      <c r="F21" s="11">
        <f t="shared" si="13"/>
        <v>40.700000000000003</v>
      </c>
      <c r="G21" s="11">
        <f t="shared" si="13"/>
        <v>40.700000000000003</v>
      </c>
      <c r="H21" s="11">
        <f t="shared" si="13"/>
        <v>40.700000000000003</v>
      </c>
      <c r="I21" s="11">
        <f t="shared" si="13"/>
        <v>40.700000000000003</v>
      </c>
      <c r="J21" s="11">
        <f t="shared" si="13"/>
        <v>40.700000000000003</v>
      </c>
      <c r="K21" s="11">
        <f t="shared" si="13"/>
        <v>40.700000000000003</v>
      </c>
      <c r="L21" s="11">
        <f t="shared" si="13"/>
        <v>40.700000000000003</v>
      </c>
    </row>
    <row r="22" spans="1:12" ht="15.6" x14ac:dyDescent="0.3">
      <c r="A22" s="6" t="s">
        <v>39</v>
      </c>
      <c r="B22" s="15">
        <v>89</v>
      </c>
      <c r="C22" s="15">
        <f>B22*(1+C13)</f>
        <v>93.414400000000015</v>
      </c>
      <c r="D22" s="15">
        <f t="shared" ref="D22:L22" si="14">C22*(1+D13)</f>
        <v>97.216366080000014</v>
      </c>
      <c r="E22" s="15">
        <f t="shared" si="14"/>
        <v>101.19251545267201</v>
      </c>
      <c r="F22" s="15">
        <f t="shared" si="14"/>
        <v>105.89796742122125</v>
      </c>
      <c r="G22" s="15">
        <f t="shared" si="14"/>
        <v>108.61954518394664</v>
      </c>
      <c r="H22" s="15">
        <f t="shared" si="14"/>
        <v>111.78037394879948</v>
      </c>
      <c r="I22" s="15">
        <f t="shared" si="14"/>
        <v>117.66002161850633</v>
      </c>
      <c r="J22" s="15">
        <f t="shared" si="14"/>
        <v>122.00167641622922</v>
      </c>
      <c r="K22" s="15">
        <f>J22*(1+K13)</f>
        <v>126.07653240853128</v>
      </c>
      <c r="L22" s="15">
        <f t="shared" si="14"/>
        <v>132.54425852108892</v>
      </c>
    </row>
    <row r="23" spans="1:12" ht="15.6" x14ac:dyDescent="0.3">
      <c r="A23" s="7" t="s">
        <v>40</v>
      </c>
      <c r="B23" s="16">
        <f>SUM(B16:B22)</f>
        <v>711.2</v>
      </c>
      <c r="C23" s="16">
        <f t="shared" ref="C23:L23" si="15">SUM(C16:C22)</f>
        <v>776.82525174100726</v>
      </c>
      <c r="D23" s="16">
        <f t="shared" si="15"/>
        <v>805.46367060660225</v>
      </c>
      <c r="E23" s="16">
        <f t="shared" si="15"/>
        <v>834.47916263562433</v>
      </c>
      <c r="F23" s="16">
        <f t="shared" si="15"/>
        <v>864.80657994450564</v>
      </c>
      <c r="G23" s="16">
        <f t="shared" si="15"/>
        <v>882.32671537056467</v>
      </c>
      <c r="H23" s="16">
        <f t="shared" si="15"/>
        <v>904.0321482017049</v>
      </c>
      <c r="I23" s="16">
        <f t="shared" si="15"/>
        <v>944.06954689447389</v>
      </c>
      <c r="J23" s="16">
        <f t="shared" si="15"/>
        <v>976.18211361877582</v>
      </c>
      <c r="K23" s="16">
        <f t="shared" si="15"/>
        <v>1005.4451320375545</v>
      </c>
      <c r="L23" s="16">
        <f t="shared" si="15"/>
        <v>1053.2807782554478</v>
      </c>
    </row>
    <row r="24" spans="1:12" ht="15.6" x14ac:dyDescent="0.3">
      <c r="A24" s="7"/>
      <c r="B24" s="17"/>
      <c r="C24" s="11"/>
      <c r="D24" s="18"/>
      <c r="E24" s="16"/>
      <c r="F24" s="16"/>
      <c r="G24" s="16"/>
      <c r="H24" s="16"/>
      <c r="I24" s="16"/>
      <c r="J24" s="16"/>
      <c r="K24" s="16"/>
      <c r="L24" s="16"/>
    </row>
    <row r="25" spans="1:12" ht="15.6" x14ac:dyDescent="0.3">
      <c r="A25" s="19" t="s">
        <v>41</v>
      </c>
      <c r="B25">
        <v>682</v>
      </c>
      <c r="C25" s="11">
        <f t="shared" ref="C25:L25" si="16">B25*(1+C13)</f>
        <v>715.82720000000006</v>
      </c>
      <c r="D25" s="11">
        <f t="shared" si="16"/>
        <v>744.96136704000003</v>
      </c>
      <c r="E25" s="11">
        <f t="shared" si="16"/>
        <v>775.43028695193595</v>
      </c>
      <c r="F25" s="11">
        <f t="shared" si="16"/>
        <v>811.48779529520095</v>
      </c>
      <c r="G25" s="11">
        <f t="shared" si="16"/>
        <v>832.34303163428763</v>
      </c>
      <c r="H25" s="11">
        <f t="shared" si="16"/>
        <v>856.56421385484532</v>
      </c>
      <c r="I25" s="11">
        <f t="shared" si="16"/>
        <v>901.61949150361022</v>
      </c>
      <c r="J25" s="11">
        <f t="shared" si="16"/>
        <v>934.88925074009342</v>
      </c>
      <c r="K25" s="11">
        <f t="shared" si="16"/>
        <v>966.11455171481259</v>
      </c>
      <c r="L25" s="11">
        <f t="shared" si="16"/>
        <v>1015.6762282177824</v>
      </c>
    </row>
    <row r="26" spans="1:12" ht="15.6" x14ac:dyDescent="0.3">
      <c r="A26" s="31" t="s">
        <v>42</v>
      </c>
      <c r="B26" s="20">
        <f t="shared" ref="B26:L26" si="17">B25</f>
        <v>682</v>
      </c>
      <c r="C26" s="20">
        <f t="shared" si="17"/>
        <v>715.82720000000006</v>
      </c>
      <c r="D26" s="21">
        <f t="shared" si="17"/>
        <v>744.96136704000003</v>
      </c>
      <c r="E26" s="21">
        <f t="shared" si="17"/>
        <v>775.43028695193595</v>
      </c>
      <c r="F26" s="21">
        <f t="shared" si="17"/>
        <v>811.48779529520095</v>
      </c>
      <c r="G26" s="22">
        <f t="shared" si="17"/>
        <v>832.34303163428763</v>
      </c>
      <c r="H26" s="21">
        <f t="shared" si="17"/>
        <v>856.56421385484532</v>
      </c>
      <c r="I26" s="21">
        <f t="shared" si="17"/>
        <v>901.61949150361022</v>
      </c>
      <c r="J26" s="21">
        <f t="shared" si="17"/>
        <v>934.88925074009342</v>
      </c>
      <c r="K26" s="21">
        <f t="shared" si="17"/>
        <v>966.11455171481259</v>
      </c>
      <c r="L26" s="21">
        <f t="shared" si="17"/>
        <v>1015.6762282177824</v>
      </c>
    </row>
    <row r="27" spans="1:12" ht="15.6" x14ac:dyDescent="0.3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ht="15.6" x14ac:dyDescent="0.3">
      <c r="A28" s="6" t="s">
        <v>43</v>
      </c>
      <c r="B28" s="23">
        <v>47</v>
      </c>
      <c r="C28" s="23">
        <f>40+(B44*C38)</f>
        <v>47.594999999999999</v>
      </c>
      <c r="D28" s="23">
        <f t="shared" ref="D28:L28" si="18">40+(C44*D38)</f>
        <v>47.975999999999999</v>
      </c>
      <c r="E28" s="23">
        <f t="shared" si="18"/>
        <v>48.518965258705038</v>
      </c>
      <c r="F28" s="23">
        <f t="shared" si="18"/>
        <v>49.061356776538048</v>
      </c>
      <c r="G28" s="23">
        <f t="shared" si="18"/>
        <v>49.599195981250013</v>
      </c>
      <c r="H28" s="23">
        <f t="shared" si="18"/>
        <v>50.111096688379227</v>
      </c>
      <c r="I28" s="23">
        <f t="shared" si="18"/>
        <v>50.609011086966866</v>
      </c>
      <c r="J28" s="23">
        <f t="shared" si="18"/>
        <v>51.096906242143064</v>
      </c>
      <c r="K28" s="23">
        <f t="shared" si="18"/>
        <v>51.56220157453221</v>
      </c>
      <c r="L28" s="23">
        <f t="shared" si="18"/>
        <v>52.024150420136337</v>
      </c>
    </row>
    <row r="29" spans="1:12" ht="15.6" x14ac:dyDescent="0.3">
      <c r="A29" s="7" t="s">
        <v>44</v>
      </c>
      <c r="B29" s="23">
        <f t="shared" ref="B29:L29" si="19">(B28)</f>
        <v>47</v>
      </c>
      <c r="C29" s="23">
        <f t="shared" si="19"/>
        <v>47.594999999999999</v>
      </c>
      <c r="D29" s="23">
        <f t="shared" si="19"/>
        <v>47.975999999999999</v>
      </c>
      <c r="E29" s="23">
        <f t="shared" si="19"/>
        <v>48.518965258705038</v>
      </c>
      <c r="F29" s="23">
        <f t="shared" si="19"/>
        <v>49.061356776538048</v>
      </c>
      <c r="G29" s="23">
        <f t="shared" si="19"/>
        <v>49.599195981250013</v>
      </c>
      <c r="H29" s="23">
        <f t="shared" si="19"/>
        <v>50.111096688379227</v>
      </c>
      <c r="I29" s="23">
        <f t="shared" si="19"/>
        <v>50.609011086966866</v>
      </c>
      <c r="J29" s="23">
        <f t="shared" si="19"/>
        <v>51.096906242143064</v>
      </c>
      <c r="K29" s="23">
        <f t="shared" si="19"/>
        <v>51.56220157453221</v>
      </c>
      <c r="L29" s="23">
        <f t="shared" si="19"/>
        <v>52.024150420136337</v>
      </c>
    </row>
    <row r="30" spans="1:12" ht="15.6" x14ac:dyDescent="0.3">
      <c r="A30" s="7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.6" x14ac:dyDescent="0.3">
      <c r="A31" s="6" t="s">
        <v>45</v>
      </c>
      <c r="B31" s="17">
        <f t="shared" ref="B31:L31" si="20">B23-B26</f>
        <v>29.200000000000045</v>
      </c>
      <c r="C31" s="17">
        <f t="shared" si="20"/>
        <v>60.998051741007203</v>
      </c>
      <c r="D31" s="17">
        <f t="shared" si="20"/>
        <v>60.502303566602222</v>
      </c>
      <c r="E31" s="17">
        <f t="shared" si="20"/>
        <v>59.048875683688379</v>
      </c>
      <c r="F31" s="17">
        <f t="shared" si="20"/>
        <v>53.318784649304689</v>
      </c>
      <c r="G31" s="17">
        <f t="shared" si="20"/>
        <v>49.983683736277044</v>
      </c>
      <c r="H31" s="17">
        <f t="shared" si="20"/>
        <v>47.467934346859579</v>
      </c>
      <c r="I31" s="17">
        <f t="shared" si="20"/>
        <v>42.450055390863668</v>
      </c>
      <c r="J31" s="17">
        <f t="shared" si="20"/>
        <v>41.292862878682399</v>
      </c>
      <c r="K31" s="17">
        <f t="shared" si="20"/>
        <v>39.330580322741866</v>
      </c>
      <c r="L31" s="17">
        <f t="shared" si="20"/>
        <v>37.604550037665376</v>
      </c>
    </row>
    <row r="32" spans="1:12" ht="15.6" x14ac:dyDescent="0.3">
      <c r="A32" s="7" t="s">
        <v>46</v>
      </c>
      <c r="B32" s="24">
        <f t="shared" ref="B32:L32" si="21">(B31/B11)</f>
        <v>1.4974358974358998E-2</v>
      </c>
      <c r="C32" s="24">
        <f t="shared" si="21"/>
        <v>2.9802831721489599E-2</v>
      </c>
      <c r="D32" s="24">
        <f t="shared" si="21"/>
        <v>2.8404550589270584E-2</v>
      </c>
      <c r="E32" s="24">
        <f t="shared" si="21"/>
        <v>2.6632910913391011E-2</v>
      </c>
      <c r="F32" s="24">
        <f t="shared" si="21"/>
        <v>2.2979893538915816E-2</v>
      </c>
      <c r="G32" s="24">
        <f t="shared" si="21"/>
        <v>2.100272641702703E-2</v>
      </c>
      <c r="H32" s="24">
        <f t="shared" si="21"/>
        <v>1.9381624270141458E-2</v>
      </c>
      <c r="I32" s="24">
        <f t="shared" si="21"/>
        <v>1.6466630210550896E-2</v>
      </c>
      <c r="J32" s="24">
        <f t="shared" si="21"/>
        <v>1.5447727185383129E-2</v>
      </c>
      <c r="K32" s="24">
        <f t="shared" si="21"/>
        <v>1.4238082144978247E-2</v>
      </c>
      <c r="L32" s="24">
        <f t="shared" si="21"/>
        <v>1.2948959476922478E-2</v>
      </c>
    </row>
    <row r="33" spans="1:12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 ht="15.6" x14ac:dyDescent="0.3">
      <c r="A34" s="26" t="s">
        <v>47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6" x14ac:dyDescent="0.3">
      <c r="A35" s="23" t="s">
        <v>48</v>
      </c>
      <c r="B35" s="9">
        <v>2.4899999999999999E-2</v>
      </c>
      <c r="C35" s="9">
        <v>3.8600000000000002E-2</v>
      </c>
      <c r="D35" s="9">
        <v>2.5700000000000001E-2</v>
      </c>
      <c r="E35" s="9">
        <v>2.29E-2</v>
      </c>
      <c r="F35" s="9">
        <v>1.4500000000000001E-2</v>
      </c>
      <c r="G35" s="9">
        <v>3.7000000000000002E-3</v>
      </c>
      <c r="H35" s="9">
        <v>1.01E-2</v>
      </c>
      <c r="I35" s="9">
        <v>2.5600000000000001E-2</v>
      </c>
      <c r="J35" s="9">
        <v>2.29E-2</v>
      </c>
      <c r="K35" s="9">
        <v>1.7399999999999999E-2</v>
      </c>
      <c r="L35" s="10">
        <v>3.6299999999999999E-2</v>
      </c>
    </row>
    <row r="36" spans="1:12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5.6" x14ac:dyDescent="0.3">
      <c r="A37" s="26" t="s">
        <v>49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x14ac:dyDescent="0.3">
      <c r="A38" s="23" t="s">
        <v>25</v>
      </c>
      <c r="B38" s="24">
        <v>5.0000000000000001E-3</v>
      </c>
      <c r="C38" s="24">
        <v>5.0000000000000001E-3</v>
      </c>
      <c r="D38" s="24">
        <v>5.0000000000000001E-3</v>
      </c>
      <c r="E38" s="24">
        <v>5.0000000000000001E-3</v>
      </c>
      <c r="F38" s="24">
        <v>5.0000000000000001E-3</v>
      </c>
      <c r="G38" s="24">
        <v>5.0000000000000001E-3</v>
      </c>
      <c r="H38" s="24">
        <v>5.0000000000000001E-3</v>
      </c>
      <c r="I38" s="24">
        <v>5.0000000000000001E-3</v>
      </c>
      <c r="J38" s="24">
        <v>5.0000000000000001E-3</v>
      </c>
      <c r="K38" s="24">
        <v>5.0000000000000001E-3</v>
      </c>
      <c r="L38" s="24">
        <v>5.0000000000000001E-3</v>
      </c>
    </row>
    <row r="39" spans="1:12" x14ac:dyDescent="0.3">
      <c r="A39" s="25"/>
      <c r="B39" s="28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15.6" x14ac:dyDescent="0.3">
      <c r="A40" s="26" t="s">
        <v>50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6" x14ac:dyDescent="0.3">
      <c r="A41" s="23" t="s">
        <v>51</v>
      </c>
      <c r="B41" s="8">
        <v>2.1999999999999999E-2</v>
      </c>
      <c r="C41" s="10">
        <v>1.0999999999999999E-2</v>
      </c>
      <c r="D41" s="10">
        <v>1.4999999999999999E-2</v>
      </c>
      <c r="E41" s="10">
        <v>1.7999999999999999E-2</v>
      </c>
      <c r="F41" s="10">
        <v>3.2000000000000001E-2</v>
      </c>
      <c r="G41" s="10">
        <v>2.1999999999999999E-2</v>
      </c>
      <c r="H41" s="10">
        <v>1.9E-2</v>
      </c>
      <c r="I41" s="10">
        <v>2.7E-2</v>
      </c>
      <c r="J41" s="10">
        <v>1.4E-2</v>
      </c>
      <c r="K41" s="10">
        <v>1.6E-2</v>
      </c>
      <c r="L41" s="10">
        <v>1.4999999999999999E-2</v>
      </c>
    </row>
    <row r="42" spans="1:12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5.6" x14ac:dyDescent="0.3">
      <c r="A43" s="26" t="s">
        <v>52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x14ac:dyDescent="0.3">
      <c r="A44" s="23" t="s">
        <v>53</v>
      </c>
      <c r="B44" s="17">
        <v>1519</v>
      </c>
      <c r="C44" s="17">
        <f t="shared" ref="C44:L44" si="22">B44+B47</f>
        <v>1595.2</v>
      </c>
      <c r="D44" s="17">
        <f t="shared" si="22"/>
        <v>1703.7930517410073</v>
      </c>
      <c r="E44" s="17">
        <f t="shared" si="22"/>
        <v>1812.2713553076096</v>
      </c>
      <c r="F44" s="17">
        <f t="shared" si="22"/>
        <v>1919.8391962500029</v>
      </c>
      <c r="G44" s="17">
        <f t="shared" si="22"/>
        <v>2022.2193376758457</v>
      </c>
      <c r="H44" s="17">
        <f t="shared" si="22"/>
        <v>2121.8022173933728</v>
      </c>
      <c r="I44" s="17">
        <f t="shared" si="22"/>
        <v>2219.3812484286118</v>
      </c>
      <c r="J44" s="17">
        <f t="shared" si="22"/>
        <v>2312.4403149064424</v>
      </c>
      <c r="K44" s="17">
        <f t="shared" si="22"/>
        <v>2404.8300840272677</v>
      </c>
      <c r="L44" s="17">
        <f t="shared" si="22"/>
        <v>2495.722865924542</v>
      </c>
    </row>
    <row r="45" spans="1:12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 ht="15.6" x14ac:dyDescent="0.3">
      <c r="A46" s="26" t="s">
        <v>54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x14ac:dyDescent="0.3">
      <c r="A47" s="23" t="s">
        <v>55</v>
      </c>
      <c r="B47" s="17">
        <f t="shared" ref="B47:L47" si="23">B23-B26+B29</f>
        <v>76.200000000000045</v>
      </c>
      <c r="C47" s="17">
        <f t="shared" si="23"/>
        <v>108.5930517410072</v>
      </c>
      <c r="D47" s="17">
        <f t="shared" si="23"/>
        <v>108.47830356660222</v>
      </c>
      <c r="E47" s="17">
        <f t="shared" si="23"/>
        <v>107.56784094239342</v>
      </c>
      <c r="F47" s="17">
        <f t="shared" si="23"/>
        <v>102.38014142584274</v>
      </c>
      <c r="G47" s="17">
        <f t="shared" si="23"/>
        <v>99.582879717527049</v>
      </c>
      <c r="H47" s="17">
        <f t="shared" si="23"/>
        <v>97.579031035238813</v>
      </c>
      <c r="I47" s="17">
        <f t="shared" si="23"/>
        <v>93.059066477830527</v>
      </c>
      <c r="J47" s="17">
        <f t="shared" si="23"/>
        <v>92.389769120825463</v>
      </c>
      <c r="K47" s="17">
        <f t="shared" si="23"/>
        <v>90.892781897274077</v>
      </c>
      <c r="L47" s="17">
        <f t="shared" si="23"/>
        <v>89.628700457801713</v>
      </c>
    </row>
    <row r="48" spans="1:12" ht="15.6" x14ac:dyDescent="0.3">
      <c r="A48" s="26" t="s">
        <v>56</v>
      </c>
      <c r="B48" s="24">
        <f t="shared" ref="B48:L48" si="24">B47/B11</f>
        <v>3.9076923076923099E-2</v>
      </c>
      <c r="C48" s="24">
        <f t="shared" si="24"/>
        <v>5.3057111740251323E-2</v>
      </c>
      <c r="D48" s="24">
        <f t="shared" si="24"/>
        <v>5.0928266856878741E-2</v>
      </c>
      <c r="E48" s="24">
        <f t="shared" si="24"/>
        <v>4.851649911695035E-2</v>
      </c>
      <c r="F48" s="24">
        <f t="shared" si="24"/>
        <v>4.4124875800140573E-2</v>
      </c>
      <c r="G48" s="24">
        <f t="shared" si="24"/>
        <v>4.1843894290827501E-2</v>
      </c>
      <c r="H48" s="24">
        <f t="shared" si="24"/>
        <v>3.9842477710315474E-2</v>
      </c>
      <c r="I48" s="24">
        <f t="shared" si="24"/>
        <v>3.6098168101785635E-2</v>
      </c>
      <c r="J48" s="24">
        <f t="shared" si="24"/>
        <v>3.4563162943973304E-2</v>
      </c>
      <c r="K48" s="24">
        <f t="shared" si="24"/>
        <v>3.2904139334315352E-2</v>
      </c>
      <c r="L48" s="24">
        <f t="shared" si="24"/>
        <v>3.0863244182813568E-2</v>
      </c>
    </row>
  </sheetData>
  <mergeCells count="1">
    <mergeCell ref="A1:L1"/>
  </mergeCells>
  <pageMargins left="0.7" right="0.7" top="0.75" bottom="0.75" header="0.3" footer="0.3"/>
  <pageSetup fitToWidth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DCED-D532-4782-8403-64A03A204DCB}">
  <sheetPr>
    <pageSetUpPr fitToPage="1"/>
  </sheetPr>
  <dimension ref="A1:V49"/>
  <sheetViews>
    <sheetView zoomScale="107" zoomScaleNormal="100" workbookViewId="0">
      <selection activeCell="A13" sqref="A13"/>
    </sheetView>
  </sheetViews>
  <sheetFormatPr defaultColWidth="8.88671875" defaultRowHeight="14.4" x14ac:dyDescent="0.3"/>
  <cols>
    <col min="1" max="1" width="43.6640625" bestFit="1" customWidth="1"/>
    <col min="2" max="6" width="8.33203125" bestFit="1" customWidth="1"/>
    <col min="7" max="7" width="10.33203125" customWidth="1"/>
    <col min="8" max="12" width="8.6640625" bestFit="1" customWidth="1"/>
  </cols>
  <sheetData>
    <row r="1" spans="1:22" ht="36.6" x14ac:dyDescent="0.7">
      <c r="A1" s="77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2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</row>
    <row r="3" spans="1:22" ht="15.6" x14ac:dyDescent="0.3">
      <c r="A3" s="6" t="s">
        <v>22</v>
      </c>
      <c r="B3" s="3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22" ht="15.6" x14ac:dyDescent="0.3">
      <c r="A4" s="7" t="s">
        <v>23</v>
      </c>
      <c r="B4" s="8">
        <f t="shared" ref="B4:L4" si="0">B33</f>
        <v>1.9284386617100371E-2</v>
      </c>
      <c r="C4" s="8">
        <f t="shared" si="0"/>
        <v>4.473923346077332E-3</v>
      </c>
      <c r="D4" s="8">
        <f t="shared" si="0"/>
        <v>2.5289711571883436E-2</v>
      </c>
      <c r="E4" s="8">
        <f t="shared" si="0"/>
        <v>2.4410146736445034E-2</v>
      </c>
      <c r="F4" s="8">
        <f t="shared" si="0"/>
        <v>2.3414250822386708E-2</v>
      </c>
      <c r="G4" s="8">
        <f t="shared" si="0"/>
        <v>2.2693305559382829E-2</v>
      </c>
      <c r="H4" s="8">
        <f t="shared" si="0"/>
        <v>2.3633789040226377E-2</v>
      </c>
      <c r="I4" s="8">
        <f t="shared" si="0"/>
        <v>2.3515238811789383E-2</v>
      </c>
      <c r="J4" s="8">
        <f t="shared" si="0"/>
        <v>2.3108954417122358E-2</v>
      </c>
      <c r="K4" s="8">
        <f t="shared" si="0"/>
        <v>2.2423438103626837E-2</v>
      </c>
      <c r="L4" s="8">
        <f t="shared" si="0"/>
        <v>2.1744318340426033E-2</v>
      </c>
    </row>
    <row r="5" spans="1:22" ht="15.6" x14ac:dyDescent="0.3">
      <c r="A5" s="7" t="s">
        <v>24</v>
      </c>
      <c r="B5" s="33">
        <f t="shared" ref="B5:L5" si="1">B36</f>
        <v>7.9000000000000001E-2</v>
      </c>
      <c r="C5" s="33">
        <f t="shared" si="1"/>
        <v>5.1999999999999998E-2</v>
      </c>
      <c r="D5" s="33">
        <f t="shared" si="1"/>
        <v>4.2000000000000003E-2</v>
      </c>
      <c r="E5" s="33">
        <f t="shared" si="1"/>
        <v>4.1500000000000002E-2</v>
      </c>
      <c r="F5" s="33">
        <f t="shared" si="1"/>
        <v>4.1000000000000002E-2</v>
      </c>
      <c r="G5" s="33">
        <f t="shared" si="1"/>
        <v>3.9899999999999998E-2</v>
      </c>
      <c r="H5" s="33">
        <f t="shared" si="1"/>
        <v>3.8800000000000001E-2</v>
      </c>
      <c r="I5" s="33">
        <f t="shared" si="1"/>
        <v>3.7900000000000003E-2</v>
      </c>
      <c r="J5" s="33">
        <f t="shared" si="1"/>
        <v>3.7199999999999997E-2</v>
      </c>
      <c r="K5" s="33">
        <f t="shared" si="1"/>
        <v>3.6700000000000003E-2</v>
      </c>
      <c r="L5" s="33">
        <f t="shared" si="1"/>
        <v>3.6299999999999999E-2</v>
      </c>
    </row>
    <row r="6" spans="1:22" ht="15.6" x14ac:dyDescent="0.3">
      <c r="A6" s="7" t="s">
        <v>25</v>
      </c>
      <c r="B6" s="10">
        <f t="shared" ref="B6:L6" si="2">B39</f>
        <v>4.4499999999999998E-2</v>
      </c>
      <c r="C6" s="10">
        <f t="shared" si="2"/>
        <v>4.4999999999999998E-2</v>
      </c>
      <c r="D6" s="10">
        <f t="shared" si="2"/>
        <v>5.2499999999999998E-2</v>
      </c>
      <c r="E6" s="10">
        <f t="shared" si="2"/>
        <v>6.0499999999999998E-2</v>
      </c>
      <c r="F6" s="10">
        <f t="shared" si="2"/>
        <v>6.0999999999999999E-2</v>
      </c>
      <c r="G6" s="10">
        <f t="shared" si="2"/>
        <v>5.79E-2</v>
      </c>
      <c r="H6" s="10">
        <f t="shared" si="2"/>
        <v>5.5800000000000002E-2</v>
      </c>
      <c r="I6" s="10">
        <f t="shared" si="2"/>
        <v>5.2900000000000003E-2</v>
      </c>
      <c r="J6" s="10">
        <f t="shared" si="2"/>
        <v>5.2200000000000003E-2</v>
      </c>
      <c r="K6" s="10">
        <f t="shared" si="2"/>
        <v>5.1700000000000003E-2</v>
      </c>
      <c r="L6" s="10">
        <f t="shared" si="2"/>
        <v>5.1299999999999998E-2</v>
      </c>
    </row>
    <row r="7" spans="1:22" ht="15.6" x14ac:dyDescent="0.3">
      <c r="A7" s="7" t="s">
        <v>26</v>
      </c>
      <c r="B7" s="10">
        <f t="shared" ref="B7:L7" si="3">B42</f>
        <v>4.0000000000000001E-3</v>
      </c>
      <c r="C7" s="10">
        <f t="shared" si="3"/>
        <v>3.0000000000000001E-3</v>
      </c>
      <c r="D7" s="10">
        <f t="shared" si="3"/>
        <v>8.0000000000000002E-3</v>
      </c>
      <c r="E7" s="10">
        <f t="shared" si="3"/>
        <v>1.9E-2</v>
      </c>
      <c r="F7" s="10">
        <f t="shared" si="3"/>
        <v>0.02</v>
      </c>
      <c r="G7" s="10">
        <f t="shared" si="3"/>
        <v>1.7999999999999999E-2</v>
      </c>
      <c r="H7" s="10">
        <f t="shared" si="3"/>
        <v>1.7000000000000001E-2</v>
      </c>
      <c r="I7" s="10">
        <f t="shared" si="3"/>
        <v>1.4999999999999999E-2</v>
      </c>
      <c r="J7" s="10">
        <f t="shared" si="3"/>
        <v>1.4999999999999999E-2</v>
      </c>
      <c r="K7" s="10">
        <f t="shared" si="3"/>
        <v>1.4999999999999999E-2</v>
      </c>
      <c r="L7" s="10">
        <f t="shared" si="3"/>
        <v>1.4999999999999999E-2</v>
      </c>
    </row>
    <row r="8" spans="1:22" ht="15.6" x14ac:dyDescent="0.3">
      <c r="A8" s="7" t="s">
        <v>27</v>
      </c>
      <c r="B8" s="10">
        <f t="shared" ref="B8:L8" si="4">B45/B11</f>
        <v>0.93531598513011149</v>
      </c>
      <c r="C8" s="10">
        <f t="shared" si="4"/>
        <v>0.94253774731760609</v>
      </c>
      <c r="D8" s="10">
        <f t="shared" si="4"/>
        <v>0.93991110980008208</v>
      </c>
      <c r="E8" s="10">
        <f t="shared" si="4"/>
        <v>0.9545758686825514</v>
      </c>
      <c r="F8" s="10">
        <f t="shared" si="4"/>
        <v>0.9732390128558237</v>
      </c>
      <c r="G8" s="10">
        <f t="shared" si="4"/>
        <v>0.99398301202257067</v>
      </c>
      <c r="H8" s="10">
        <f t="shared" si="4"/>
        <v>1.0133952747532748</v>
      </c>
      <c r="I8" s="10">
        <f t="shared" si="4"/>
        <v>1.0348200011259263</v>
      </c>
      <c r="J8" s="10">
        <f t="shared" si="4"/>
        <v>1.0542201445499155</v>
      </c>
      <c r="K8" s="10">
        <f t="shared" si="4"/>
        <v>1.0731832949600959</v>
      </c>
      <c r="L8" s="10">
        <f t="shared" si="4"/>
        <v>1.0914397599190326</v>
      </c>
      <c r="M8" s="57">
        <f>((L8-B8)/10)*100</f>
        <v>1.5612377478892114</v>
      </c>
    </row>
    <row r="9" spans="1:22" ht="15.6" x14ac:dyDescent="0.3">
      <c r="A9" s="7" t="s">
        <v>28</v>
      </c>
      <c r="B9" s="10">
        <f t="shared" ref="B9:L9" si="5">B49</f>
        <v>5.9061338289962823E-2</v>
      </c>
      <c r="C9" s="10">
        <f t="shared" si="5"/>
        <v>4.4368917972480194E-2</v>
      </c>
      <c r="D9" s="10">
        <f t="shared" si="5"/>
        <v>7.241659893776374E-2</v>
      </c>
      <c r="E9" s="10">
        <f t="shared" si="5"/>
        <v>7.8030723957477524E-2</v>
      </c>
      <c r="F9" s="10">
        <f t="shared" si="5"/>
        <v>7.8295615562853846E-2</v>
      </c>
      <c r="G9" s="10">
        <f t="shared" si="5"/>
        <v>7.5959719061937117E-2</v>
      </c>
      <c r="H9" s="10">
        <f t="shared" si="5"/>
        <v>7.6166704432212962E-2</v>
      </c>
      <c r="I9" s="10">
        <f t="shared" si="5"/>
        <v>7.4430434969495002E-2</v>
      </c>
      <c r="J9" s="10">
        <f t="shared" si="5"/>
        <v>7.4446726759617471E-2</v>
      </c>
      <c r="K9" s="10">
        <f t="shared" si="5"/>
        <v>7.4247324642783094E-2</v>
      </c>
      <c r="L9" s="10">
        <f t="shared" si="5"/>
        <v>7.4112151529290224E-2</v>
      </c>
    </row>
    <row r="10" spans="1:22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V10" t="s">
        <v>69</v>
      </c>
    </row>
    <row r="11" spans="1:22" ht="15.6" x14ac:dyDescent="0.3">
      <c r="A11" s="7" t="s">
        <v>29</v>
      </c>
      <c r="B11" s="6">
        <v>2690</v>
      </c>
      <c r="C11" s="11">
        <f t="shared" ref="C11:L11" si="6">B11*(1+C13)</f>
        <v>2837.95</v>
      </c>
      <c r="D11" s="11">
        <f t="shared" si="6"/>
        <v>2979.8474999999999</v>
      </c>
      <c r="E11" s="11">
        <f t="shared" si="6"/>
        <v>3160.1282737500001</v>
      </c>
      <c r="F11" s="11">
        <f t="shared" si="6"/>
        <v>3352.8960984487499</v>
      </c>
      <c r="G11" s="11">
        <f t="shared" si="6"/>
        <v>3547.0287825489327</v>
      </c>
      <c r="H11" s="11">
        <f t="shared" si="6"/>
        <v>3744.9529886151636</v>
      </c>
      <c r="I11" s="11">
        <f t="shared" si="6"/>
        <v>3943.0610017129056</v>
      </c>
      <c r="J11" s="11">
        <f t="shared" si="6"/>
        <v>4148.8887860023196</v>
      </c>
      <c r="K11" s="11">
        <f t="shared" si="6"/>
        <v>4363.3863362386401</v>
      </c>
      <c r="L11" s="11">
        <f t="shared" si="6"/>
        <v>4587.2280552876819</v>
      </c>
    </row>
    <row r="12" spans="1:22" ht="15.6" x14ac:dyDescent="0.3">
      <c r="A12" s="7" t="s">
        <v>26</v>
      </c>
      <c r="B12" s="8">
        <v>4.0000000000000001E-3</v>
      </c>
      <c r="C12" s="10">
        <f t="shared" ref="C12:L12" si="7">C42</f>
        <v>3.0000000000000001E-3</v>
      </c>
      <c r="D12" s="10">
        <f t="shared" si="7"/>
        <v>8.0000000000000002E-3</v>
      </c>
      <c r="E12" s="10">
        <f t="shared" si="7"/>
        <v>1.9E-2</v>
      </c>
      <c r="F12" s="10">
        <f t="shared" si="7"/>
        <v>0.02</v>
      </c>
      <c r="G12" s="10">
        <f t="shared" si="7"/>
        <v>1.7999999999999999E-2</v>
      </c>
      <c r="H12" s="10">
        <f t="shared" si="7"/>
        <v>1.7000000000000001E-2</v>
      </c>
      <c r="I12" s="10">
        <f t="shared" si="7"/>
        <v>1.4999999999999999E-2</v>
      </c>
      <c r="J12" s="10">
        <f t="shared" si="7"/>
        <v>1.4999999999999999E-2</v>
      </c>
      <c r="K12" s="10">
        <f t="shared" si="7"/>
        <v>1.4999999999999999E-2</v>
      </c>
      <c r="L12" s="10">
        <f t="shared" si="7"/>
        <v>1.4999999999999999E-2</v>
      </c>
    </row>
    <row r="13" spans="1:22" ht="15.6" x14ac:dyDescent="0.3">
      <c r="A13" s="7" t="s">
        <v>30</v>
      </c>
      <c r="B13" s="8">
        <f t="shared" ref="B13:L13" si="8">(B36+B12)</f>
        <v>8.3000000000000004E-2</v>
      </c>
      <c r="C13" s="8">
        <f t="shared" si="8"/>
        <v>5.5E-2</v>
      </c>
      <c r="D13" s="8">
        <f t="shared" si="8"/>
        <v>0.05</v>
      </c>
      <c r="E13" s="8">
        <f t="shared" si="8"/>
        <v>6.0499999999999998E-2</v>
      </c>
      <c r="F13" s="8">
        <f t="shared" si="8"/>
        <v>6.0999999999999999E-2</v>
      </c>
      <c r="G13" s="8">
        <f t="shared" si="8"/>
        <v>5.7899999999999993E-2</v>
      </c>
      <c r="H13" s="8">
        <f t="shared" si="8"/>
        <v>5.5800000000000002E-2</v>
      </c>
      <c r="I13" s="8">
        <f t="shared" si="8"/>
        <v>5.2900000000000003E-2</v>
      </c>
      <c r="J13" s="8">
        <f t="shared" si="8"/>
        <v>5.2199999999999996E-2</v>
      </c>
      <c r="K13" s="8">
        <f t="shared" si="8"/>
        <v>5.1700000000000003E-2</v>
      </c>
      <c r="L13" s="8">
        <f t="shared" si="8"/>
        <v>5.1299999999999998E-2</v>
      </c>
    </row>
    <row r="14" spans="1:22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22" ht="15.6" x14ac:dyDescent="0.3">
      <c r="A15" s="7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2" ht="15.6" x14ac:dyDescent="0.3">
      <c r="A16" s="6" t="s">
        <v>32</v>
      </c>
      <c r="B16" s="11">
        <v>380.78800000000001</v>
      </c>
      <c r="C16" s="11">
        <f t="shared" ref="C16:L16" si="9">B16*1.01*(1+C5)</f>
        <v>404.59486576000006</v>
      </c>
      <c r="D16" s="11">
        <f t="shared" si="9"/>
        <v>425.80372862313925</v>
      </c>
      <c r="E16" s="11">
        <f>D16*1.01*(1+E5)</f>
        <v>447.9093291946096</v>
      </c>
      <c r="F16" s="11">
        <f>E16*1.01*(1+F5)</f>
        <v>470.93634780850442</v>
      </c>
      <c r="G16" s="11">
        <f t="shared" si="9"/>
        <v>494.62397516692442</v>
      </c>
      <c r="H16" s="11">
        <f t="shared" si="9"/>
        <v>518.95353925743507</v>
      </c>
      <c r="I16" s="11">
        <f t="shared" si="9"/>
        <v>544.00809717924483</v>
      </c>
      <c r="J16" s="11">
        <f t="shared" si="9"/>
        <v>569.88765037825578</v>
      </c>
      <c r="K16" s="11">
        <f>J16*1.01*(1+K5)</f>
        <v>596.71055241860915</v>
      </c>
      <c r="L16" s="11">
        <f t="shared" si="9"/>
        <v>624.55485692611865</v>
      </c>
    </row>
    <row r="17" spans="1:12" ht="15.6" x14ac:dyDescent="0.3">
      <c r="A17" s="6" t="s">
        <v>33</v>
      </c>
      <c r="B17" s="11">
        <v>224</v>
      </c>
      <c r="C17" s="11">
        <f>C11*(0.083)+(B17*0.0109)</f>
        <v>237.99144999999999</v>
      </c>
      <c r="D17" s="11">
        <f t="shared" ref="D17" si="10">D11*(0.083)+(C17*0.0109)</f>
        <v>249.92144930500001</v>
      </c>
      <c r="E17" s="11">
        <f>E11*(0.083)+(D17*0.0109)+R33</f>
        <v>265.01479051867454</v>
      </c>
      <c r="F17" s="11">
        <f>F11*(0.083)+(E17*0.0109)+S33</f>
        <v>281.17903738789977</v>
      </c>
      <c r="G17" s="11">
        <f>G11*(0.083)+(F17*0.0109)+T33</f>
        <v>297.46824045908954</v>
      </c>
      <c r="H17" s="11">
        <f>H11*(0.083)+(G17*0.0109)+4.041</f>
        <v>318.11450187606266</v>
      </c>
      <c r="I17" s="11">
        <f>I11*(0.083)+(H17*0.0109)+(4.041*(1+I14))</f>
        <v>334.78251121262031</v>
      </c>
      <c r="J17" s="11">
        <f t="shared" ref="J17:L17" si="11">J11*(0.083)+(I17*0.0109)+(4.041*(1+J14))</f>
        <v>352.04789861041007</v>
      </c>
      <c r="K17" s="11">
        <f t="shared" si="11"/>
        <v>370.03938800266059</v>
      </c>
      <c r="L17" s="11">
        <f t="shared" si="11"/>
        <v>388.81435791810662</v>
      </c>
    </row>
    <row r="18" spans="1:12" ht="15.6" x14ac:dyDescent="0.3">
      <c r="A18" s="6" t="s">
        <v>34</v>
      </c>
      <c r="B18" s="11">
        <v>124.276</v>
      </c>
      <c r="C18" s="11">
        <v>130.46700000000001</v>
      </c>
      <c r="D18" s="11">
        <f>D11*0.0547</f>
        <v>162.99765825</v>
      </c>
      <c r="E18" s="11">
        <f>E11*0.0547+R34</f>
        <v>172.85901657412501</v>
      </c>
      <c r="F18" s="11">
        <f>F11*0.0547+S34</f>
        <v>183.4034165851466</v>
      </c>
      <c r="G18" s="11">
        <f>G11*0.0547+T34</f>
        <v>194.02247440542661</v>
      </c>
      <c r="H18" s="11">
        <f>H11*0.0547+1.675</f>
        <v>206.52392847724946</v>
      </c>
      <c r="I18" s="11">
        <f>I11*0.0547+(1.675+(1+I13))</f>
        <v>218.41333679369595</v>
      </c>
      <c r="J18" s="11">
        <f t="shared" ref="J18:L18" si="12">J11*0.0547+(1.675+(1+J13))</f>
        <v>229.6714165943269</v>
      </c>
      <c r="K18" s="11">
        <f t="shared" si="12"/>
        <v>241.4039325922536</v>
      </c>
      <c r="L18" s="11">
        <f t="shared" si="12"/>
        <v>253.6476746242362</v>
      </c>
    </row>
    <row r="19" spans="1:12" ht="15.6" x14ac:dyDescent="0.3">
      <c r="A19" s="6" t="s">
        <v>35</v>
      </c>
      <c r="B19" s="11">
        <f>168-B30</f>
        <v>61</v>
      </c>
      <c r="C19" s="13">
        <f>B19*(1+C13)</f>
        <v>64.35499999999999</v>
      </c>
      <c r="D19" s="13">
        <f t="shared" ref="D19:L19" si="13">C19*(1+D13)</f>
        <v>67.572749999999999</v>
      </c>
      <c r="E19" s="13">
        <f t="shared" si="13"/>
        <v>71.660901374999995</v>
      </c>
      <c r="F19" s="13">
        <f t="shared" si="13"/>
        <v>76.03221635887499</v>
      </c>
      <c r="G19" s="13">
        <f t="shared" si="13"/>
        <v>80.434481686053857</v>
      </c>
      <c r="H19" s="13">
        <f t="shared" si="13"/>
        <v>84.922725764135663</v>
      </c>
      <c r="I19" s="13">
        <f t="shared" si="13"/>
        <v>89.415137957058434</v>
      </c>
      <c r="J19" s="13">
        <f t="shared" si="13"/>
        <v>94.082608158416889</v>
      </c>
      <c r="K19" s="13">
        <f t="shared" si="13"/>
        <v>98.946679000207055</v>
      </c>
      <c r="L19" s="13">
        <f t="shared" si="13"/>
        <v>104.02264363291766</v>
      </c>
    </row>
    <row r="20" spans="1:12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14">((D11*0.011)/27.8)*100</f>
        <v>117.90763489208631</v>
      </c>
      <c r="E20" s="11">
        <f t="shared" si="14"/>
        <v>125.04104680305754</v>
      </c>
      <c r="F20" s="11">
        <f t="shared" si="14"/>
        <v>132.66855065804404</v>
      </c>
      <c r="G20" s="11">
        <f t="shared" si="14"/>
        <v>140.3500597411448</v>
      </c>
      <c r="H20" s="11">
        <f t="shared" si="14"/>
        <v>148.18159307470071</v>
      </c>
      <c r="I20" s="11">
        <f t="shared" si="14"/>
        <v>156.02039934835236</v>
      </c>
      <c r="J20" s="11">
        <f t="shared" si="14"/>
        <v>164.16466419433638</v>
      </c>
      <c r="K20" s="11">
        <f t="shared" si="14"/>
        <v>172.65197733318359</v>
      </c>
      <c r="L20" s="11">
        <f t="shared" si="14"/>
        <v>181.50902377037588</v>
      </c>
    </row>
    <row r="21" spans="1:12" ht="15.6" x14ac:dyDescent="0.3">
      <c r="A21" s="6" t="s">
        <v>37</v>
      </c>
      <c r="B21" s="10">
        <v>2.2700000000000001E-2</v>
      </c>
      <c r="C21" s="40">
        <v>2.3E-2</v>
      </c>
      <c r="D21" s="41">
        <v>2.3285714279999998E-2</v>
      </c>
      <c r="E21" s="41">
        <v>2.3571428559999996E-2</v>
      </c>
      <c r="F21" s="41">
        <v>2.3857142839999994E-2</v>
      </c>
      <c r="G21" s="41">
        <v>2.4142857119999993E-2</v>
      </c>
      <c r="H21" s="41">
        <v>2.4428571399999991E-2</v>
      </c>
      <c r="I21" s="41">
        <v>2.4714285679999989E-2</v>
      </c>
      <c r="J21" s="41">
        <v>2.4999999959999988E-2</v>
      </c>
      <c r="K21" s="41">
        <v>2.5000000000000001E-2</v>
      </c>
      <c r="L21" s="41">
        <v>2.5000000000000001E-2</v>
      </c>
    </row>
    <row r="22" spans="1:12" ht="15.6" x14ac:dyDescent="0.3">
      <c r="A22" s="6" t="s">
        <v>38</v>
      </c>
      <c r="B22" s="11">
        <v>53</v>
      </c>
      <c r="C22" s="11">
        <f>C11*C21</f>
        <v>65.272849999999991</v>
      </c>
      <c r="D22" s="11">
        <f>D11*D21</f>
        <v>69.387877482972286</v>
      </c>
      <c r="E22" s="11">
        <f>E11*E21+R30</f>
        <v>74.488737845134239</v>
      </c>
      <c r="F22" s="11">
        <f>F11*F21+S30</f>
        <v>79.990521148370505</v>
      </c>
      <c r="G22" s="11">
        <f>G11*G21+T30</f>
        <v>85.635409097606399</v>
      </c>
      <c r="H22" s="11">
        <f>H11*H21+U30</f>
        <v>91.483851472028874</v>
      </c>
      <c r="I22" s="11">
        <f>I11*I21+U30</f>
        <v>97.449936049999678</v>
      </c>
      <c r="J22" s="11">
        <f>J11*J21+U30</f>
        <v>103.72221948410238</v>
      </c>
      <c r="K22" s="11">
        <f>K11*K21+U30</f>
        <v>109.08465840596601</v>
      </c>
      <c r="L22" s="11">
        <f>L11*L21+U30</f>
        <v>114.68070138219205</v>
      </c>
    </row>
    <row r="23" spans="1:12" ht="15.6" x14ac:dyDescent="0.3">
      <c r="A23" s="6" t="s">
        <v>39</v>
      </c>
      <c r="B23" s="42">
        <v>107.81100000000001</v>
      </c>
      <c r="C23" s="11">
        <f t="shared" ref="C23:L23" si="15">B23*(1+C13)</f>
        <v>113.740605</v>
      </c>
      <c r="D23" s="11">
        <f t="shared" si="15"/>
        <v>119.42763525000001</v>
      </c>
      <c r="E23" s="11">
        <f t="shared" si="15"/>
        <v>126.653007182625</v>
      </c>
      <c r="F23" s="11">
        <f t="shared" si="15"/>
        <v>134.37884062076512</v>
      </c>
      <c r="G23" s="11">
        <f t="shared" si="15"/>
        <v>142.15937549270743</v>
      </c>
      <c r="H23" s="11">
        <f t="shared" si="15"/>
        <v>150.09186864520052</v>
      </c>
      <c r="I23" s="11">
        <f t="shared" si="15"/>
        <v>158.03172849653163</v>
      </c>
      <c r="J23" s="11">
        <f t="shared" si="15"/>
        <v>166.28098472405057</v>
      </c>
      <c r="K23" s="11">
        <f t="shared" si="15"/>
        <v>174.877711634284</v>
      </c>
      <c r="L23" s="11">
        <f t="shared" si="15"/>
        <v>183.84893824112274</v>
      </c>
    </row>
    <row r="24" spans="1:12" ht="15.6" x14ac:dyDescent="0.3">
      <c r="A24" s="7" t="s">
        <v>40</v>
      </c>
      <c r="B24" s="16">
        <f t="shared" ref="B24:L24" si="16">SUM(B16:B23) -B21</f>
        <v>1078.875</v>
      </c>
      <c r="C24" s="16">
        <f t="shared" si="16"/>
        <v>1096.1817707600001</v>
      </c>
      <c r="D24" s="16">
        <f t="shared" si="16"/>
        <v>1213.0187338031978</v>
      </c>
      <c r="E24" s="16">
        <f t="shared" si="16"/>
        <v>1283.6268294932261</v>
      </c>
      <c r="F24" s="16">
        <f t="shared" si="16"/>
        <v>1358.5889305676055</v>
      </c>
      <c r="G24" s="16">
        <f t="shared" si="16"/>
        <v>1434.694016048953</v>
      </c>
      <c r="H24" s="16">
        <f t="shared" si="16"/>
        <v>1518.2720085668129</v>
      </c>
      <c r="I24" s="16">
        <f t="shared" si="16"/>
        <v>1598.1211470375031</v>
      </c>
      <c r="J24" s="16">
        <f t="shared" si="16"/>
        <v>1679.8574421438991</v>
      </c>
      <c r="K24" s="16">
        <f t="shared" si="16"/>
        <v>1763.7148993871638</v>
      </c>
      <c r="L24" s="16">
        <f t="shared" si="16"/>
        <v>1851.07819649507</v>
      </c>
    </row>
    <row r="25" spans="1:12" ht="15.6" x14ac:dyDescent="0.3">
      <c r="A25" s="7"/>
      <c r="B25" s="11"/>
      <c r="C25" s="11"/>
      <c r="D25" s="18"/>
      <c r="E25" s="16"/>
      <c r="F25" s="16"/>
      <c r="G25" s="16"/>
      <c r="H25" s="16"/>
      <c r="I25" s="16"/>
      <c r="J25" s="16"/>
      <c r="K25" s="16"/>
      <c r="L25" s="16"/>
    </row>
    <row r="26" spans="1:12" ht="15.6" x14ac:dyDescent="0.3">
      <c r="A26" s="19" t="s">
        <v>41</v>
      </c>
      <c r="B26" s="43">
        <v>1027</v>
      </c>
      <c r="C26" s="11">
        <f t="shared" ref="C26:L26" si="17">B26*(1+C13)</f>
        <v>1083.4849999999999</v>
      </c>
      <c r="D26" s="11">
        <f t="shared" si="17"/>
        <v>1137.6592499999999</v>
      </c>
      <c r="E26" s="11">
        <f t="shared" si="17"/>
        <v>1206.4876346249998</v>
      </c>
      <c r="F26" s="11">
        <f t="shared" si="17"/>
        <v>1280.0833803371247</v>
      </c>
      <c r="G26" s="11">
        <f t="shared" si="17"/>
        <v>1354.2002080586444</v>
      </c>
      <c r="H26" s="11">
        <f t="shared" si="17"/>
        <v>1429.7645796683169</v>
      </c>
      <c r="I26" s="11">
        <f t="shared" si="17"/>
        <v>1505.3991259327706</v>
      </c>
      <c r="J26" s="11">
        <f t="shared" si="17"/>
        <v>1583.9809603064614</v>
      </c>
      <c r="K26" s="11">
        <f t="shared" si="17"/>
        <v>1665.8727759543056</v>
      </c>
      <c r="L26" s="11">
        <f t="shared" si="17"/>
        <v>1751.3320493607612</v>
      </c>
    </row>
    <row r="27" spans="1:12" ht="15.6" x14ac:dyDescent="0.3">
      <c r="A27" s="31" t="s">
        <v>42</v>
      </c>
      <c r="B27" s="21">
        <f t="shared" ref="B27:L27" si="18">B26</f>
        <v>1027</v>
      </c>
      <c r="C27" s="21">
        <f t="shared" si="18"/>
        <v>1083.4849999999999</v>
      </c>
      <c r="D27" s="21">
        <f t="shared" si="18"/>
        <v>1137.6592499999999</v>
      </c>
      <c r="E27" s="21">
        <f t="shared" si="18"/>
        <v>1206.4876346249998</v>
      </c>
      <c r="F27" s="21">
        <f t="shared" si="18"/>
        <v>1280.0833803371247</v>
      </c>
      <c r="G27" s="22">
        <f t="shared" si="18"/>
        <v>1354.2002080586444</v>
      </c>
      <c r="H27" s="21">
        <f t="shared" si="18"/>
        <v>1429.7645796683169</v>
      </c>
      <c r="I27" s="21">
        <f t="shared" si="18"/>
        <v>1505.3991259327706</v>
      </c>
      <c r="J27" s="21">
        <f t="shared" si="18"/>
        <v>1583.9809603064614</v>
      </c>
      <c r="K27" s="21">
        <f t="shared" si="18"/>
        <v>1665.8727759543056</v>
      </c>
      <c r="L27" s="21">
        <f t="shared" si="18"/>
        <v>1751.3320493607612</v>
      </c>
    </row>
    <row r="28" spans="1:12" ht="15.6" x14ac:dyDescent="0.3">
      <c r="A28" s="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5.6" x14ac:dyDescent="0.3">
      <c r="A29" s="6" t="s">
        <v>43</v>
      </c>
      <c r="B29" s="6">
        <v>107</v>
      </c>
      <c r="C29" s="6">
        <f t="shared" ref="C29:L29" si="19">(B45*C39)</f>
        <v>113.22</v>
      </c>
      <c r="D29" s="11">
        <f t="shared" si="19"/>
        <v>140.4309375</v>
      </c>
      <c r="E29" s="11">
        <f t="shared" si="19"/>
        <v>169.44790213098</v>
      </c>
      <c r="F29" s="11">
        <f t="shared" si="19"/>
        <v>184.01151371585507</v>
      </c>
      <c r="G29" s="11">
        <f t="shared" si="19"/>
        <v>188.93750183671318</v>
      </c>
      <c r="H29" s="11">
        <f t="shared" si="19"/>
        <v>196.73329849788769</v>
      </c>
      <c r="I29" s="11">
        <f t="shared" si="19"/>
        <v>200.7617243640118</v>
      </c>
      <c r="J29" s="11">
        <f t="shared" si="19"/>
        <v>212.99470797011799</v>
      </c>
      <c r="K29" s="11">
        <f t="shared" si="19"/>
        <v>226.12763841573599</v>
      </c>
      <c r="L29" s="11">
        <f t="shared" si="19"/>
        <v>240.22319359858321</v>
      </c>
    </row>
    <row r="30" spans="1:12" ht="15.6" x14ac:dyDescent="0.3">
      <c r="A30" s="7" t="s">
        <v>44</v>
      </c>
      <c r="B30" s="6">
        <f t="shared" ref="B30:L30" si="20">(B29)</f>
        <v>107</v>
      </c>
      <c r="C30" s="6">
        <f t="shared" si="20"/>
        <v>113.22</v>
      </c>
      <c r="D30" s="11">
        <f t="shared" si="20"/>
        <v>140.4309375</v>
      </c>
      <c r="E30" s="11">
        <f t="shared" si="20"/>
        <v>169.44790213098</v>
      </c>
      <c r="F30" s="11">
        <f t="shared" si="20"/>
        <v>184.01151371585507</v>
      </c>
      <c r="G30" s="11">
        <f t="shared" si="20"/>
        <v>188.93750183671318</v>
      </c>
      <c r="H30" s="11">
        <f t="shared" si="20"/>
        <v>196.73329849788769</v>
      </c>
      <c r="I30" s="11">
        <f t="shared" si="20"/>
        <v>200.7617243640118</v>
      </c>
      <c r="J30" s="11">
        <f t="shared" si="20"/>
        <v>212.99470797011799</v>
      </c>
      <c r="K30" s="11">
        <f t="shared" si="20"/>
        <v>226.12763841573599</v>
      </c>
      <c r="L30" s="11">
        <f t="shared" si="20"/>
        <v>240.22319359858321</v>
      </c>
    </row>
    <row r="31" spans="1:12" ht="15.6" x14ac:dyDescent="0.3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5.6" x14ac:dyDescent="0.3">
      <c r="A32" s="6" t="s">
        <v>45</v>
      </c>
      <c r="B32" s="11">
        <f t="shared" ref="B32:L32" si="21">B24-B27</f>
        <v>51.875</v>
      </c>
      <c r="C32" s="11">
        <f t="shared" si="21"/>
        <v>12.696770760000163</v>
      </c>
      <c r="D32" s="11">
        <f t="shared" si="21"/>
        <v>75.359483803197918</v>
      </c>
      <c r="E32" s="11">
        <f t="shared" si="21"/>
        <v>77.139194868226241</v>
      </c>
      <c r="F32" s="11">
        <f t="shared" si="21"/>
        <v>78.505550230480821</v>
      </c>
      <c r="G32" s="11">
        <f t="shared" si="21"/>
        <v>80.493807990308596</v>
      </c>
      <c r="H32" s="11">
        <f t="shared" si="21"/>
        <v>88.507428898496073</v>
      </c>
      <c r="I32" s="11">
        <f t="shared" si="21"/>
        <v>92.722021104732448</v>
      </c>
      <c r="J32" s="11">
        <f t="shared" si="21"/>
        <v>95.876481837437723</v>
      </c>
      <c r="K32" s="11">
        <f t="shared" si="21"/>
        <v>97.842123432858216</v>
      </c>
      <c r="L32" s="11">
        <f t="shared" si="21"/>
        <v>99.746147134308785</v>
      </c>
    </row>
    <row r="33" spans="1:12" ht="15.6" x14ac:dyDescent="0.3">
      <c r="A33" s="7" t="s">
        <v>46</v>
      </c>
      <c r="B33" s="10">
        <f t="shared" ref="B33:L33" si="22">(B32/B11)</f>
        <v>1.9284386617100371E-2</v>
      </c>
      <c r="C33" s="10">
        <f t="shared" si="22"/>
        <v>4.473923346077332E-3</v>
      </c>
      <c r="D33" s="10">
        <f t="shared" si="22"/>
        <v>2.5289711571883436E-2</v>
      </c>
      <c r="E33" s="10">
        <f t="shared" si="22"/>
        <v>2.4410146736445034E-2</v>
      </c>
      <c r="F33" s="10">
        <f t="shared" si="22"/>
        <v>2.3414250822386708E-2</v>
      </c>
      <c r="G33" s="10">
        <f t="shared" si="22"/>
        <v>2.2693305559382829E-2</v>
      </c>
      <c r="H33" s="10">
        <f t="shared" si="22"/>
        <v>2.3633789040226377E-2</v>
      </c>
      <c r="I33" s="10">
        <f t="shared" si="22"/>
        <v>2.3515238811789383E-2</v>
      </c>
      <c r="J33" s="10">
        <f t="shared" si="22"/>
        <v>2.3108954417122358E-2</v>
      </c>
      <c r="K33" s="10">
        <f t="shared" si="22"/>
        <v>2.2423438103626837E-2</v>
      </c>
      <c r="L33" s="10">
        <f t="shared" si="22"/>
        <v>2.1744318340426033E-2</v>
      </c>
    </row>
    <row r="34" spans="1:12" ht="15.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5.6" x14ac:dyDescent="0.3">
      <c r="A35" s="7" t="s">
        <v>47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6" x14ac:dyDescent="0.3">
      <c r="A36" s="6" t="s">
        <v>48</v>
      </c>
      <c r="B36" s="10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4.1000000000000002E-2</v>
      </c>
      <c r="G36" s="10">
        <v>3.9899999999999998E-2</v>
      </c>
      <c r="H36" s="10">
        <v>3.8800000000000001E-2</v>
      </c>
      <c r="I36" s="10">
        <v>3.7900000000000003E-2</v>
      </c>
      <c r="J36" s="10">
        <v>3.7199999999999997E-2</v>
      </c>
      <c r="K36" s="10">
        <v>3.6700000000000003E-2</v>
      </c>
      <c r="L36" s="10">
        <v>3.6299999999999999E-2</v>
      </c>
    </row>
    <row r="37" spans="1:12" ht="15.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5.6" x14ac:dyDescent="0.3">
      <c r="A38" s="7" t="s">
        <v>49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5.6" x14ac:dyDescent="0.3">
      <c r="A39" s="6" t="s">
        <v>25</v>
      </c>
      <c r="B39" s="10">
        <v>4.4499999999999998E-2</v>
      </c>
      <c r="C39" s="10">
        <v>4.4999999999999998E-2</v>
      </c>
      <c r="D39" s="10">
        <v>5.2499999999999998E-2</v>
      </c>
      <c r="E39" s="10">
        <v>6.0499999999999998E-2</v>
      </c>
      <c r="F39" s="10">
        <v>6.0999999999999999E-2</v>
      </c>
      <c r="G39" s="10">
        <v>5.79E-2</v>
      </c>
      <c r="H39" s="10">
        <v>5.5800000000000002E-2</v>
      </c>
      <c r="I39" s="10">
        <v>5.2900000000000003E-2</v>
      </c>
      <c r="J39" s="10">
        <v>5.2200000000000003E-2</v>
      </c>
      <c r="K39" s="10">
        <v>5.1700000000000003E-2</v>
      </c>
      <c r="L39" s="10">
        <v>5.1299999999999998E-2</v>
      </c>
    </row>
    <row r="40" spans="1:12" ht="15.6" x14ac:dyDescent="0.3">
      <c r="A40" s="39"/>
      <c r="B40" s="39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5.6" x14ac:dyDescent="0.3">
      <c r="A41" s="7" t="s">
        <v>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5.6" x14ac:dyDescent="0.3">
      <c r="A42" s="6" t="s">
        <v>51</v>
      </c>
      <c r="B42" s="8">
        <v>4.0000000000000001E-3</v>
      </c>
      <c r="C42" s="10">
        <v>3.0000000000000001E-3</v>
      </c>
      <c r="D42" s="10">
        <v>8.0000000000000002E-3</v>
      </c>
      <c r="E42" s="10">
        <v>1.9E-2</v>
      </c>
      <c r="F42" s="10">
        <v>0.02</v>
      </c>
      <c r="G42" s="10">
        <v>1.7999999999999999E-2</v>
      </c>
      <c r="H42" s="10">
        <v>1.7000000000000001E-2</v>
      </c>
      <c r="I42" s="10">
        <v>1.4999999999999999E-2</v>
      </c>
      <c r="J42" s="10">
        <v>1.4999999999999999E-2</v>
      </c>
      <c r="K42" s="10">
        <v>1.4999999999999999E-2</v>
      </c>
      <c r="L42" s="10">
        <v>1.4999999999999999E-2</v>
      </c>
    </row>
    <row r="43" spans="1:12" ht="15.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6" x14ac:dyDescent="0.3">
      <c r="A44" s="7" t="s">
        <v>52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15.6" x14ac:dyDescent="0.3">
      <c r="A45" s="6" t="s">
        <v>53</v>
      </c>
      <c r="B45" s="11">
        <v>2516</v>
      </c>
      <c r="C45" s="11">
        <f t="shared" ref="C45:L45" si="23">B45+B48</f>
        <v>2674.875</v>
      </c>
      <c r="D45" s="11">
        <f t="shared" si="23"/>
        <v>2800.79177076</v>
      </c>
      <c r="E45" s="11">
        <f t="shared" si="23"/>
        <v>3016.5821920631979</v>
      </c>
      <c r="F45" s="11">
        <f t="shared" si="23"/>
        <v>3263.169289062404</v>
      </c>
      <c r="G45" s="11">
        <f t="shared" si="23"/>
        <v>3525.6863530087398</v>
      </c>
      <c r="H45" s="11">
        <f t="shared" si="23"/>
        <v>3795.1176628357616</v>
      </c>
      <c r="I45" s="11">
        <f t="shared" si="23"/>
        <v>4080.3583902321452</v>
      </c>
      <c r="J45" s="11">
        <f t="shared" si="23"/>
        <v>4373.8421357008892</v>
      </c>
      <c r="K45" s="11">
        <f t="shared" si="23"/>
        <v>4682.7133255084445</v>
      </c>
      <c r="L45" s="11">
        <f t="shared" si="23"/>
        <v>5006.6830873570389</v>
      </c>
    </row>
    <row r="46" spans="1:12" ht="15.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15.6" x14ac:dyDescent="0.3">
      <c r="A47" s="7" t="s">
        <v>54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15.6" x14ac:dyDescent="0.3">
      <c r="A48" s="6" t="s">
        <v>55</v>
      </c>
      <c r="B48" s="11">
        <f t="shared" ref="B48:L48" si="24">B24-B27+B30</f>
        <v>158.875</v>
      </c>
      <c r="C48" s="11">
        <f t="shared" si="24"/>
        <v>125.91677076000016</v>
      </c>
      <c r="D48" s="11">
        <f t="shared" si="24"/>
        <v>215.79042130319792</v>
      </c>
      <c r="E48" s="11">
        <f t="shared" si="24"/>
        <v>246.58709699920624</v>
      </c>
      <c r="F48" s="11">
        <f t="shared" si="24"/>
        <v>262.5170639463359</v>
      </c>
      <c r="G48" s="11">
        <f t="shared" si="24"/>
        <v>269.43130982702178</v>
      </c>
      <c r="H48" s="11">
        <f t="shared" si="24"/>
        <v>285.24072739638376</v>
      </c>
      <c r="I48" s="11">
        <f t="shared" si="24"/>
        <v>293.48374546874425</v>
      </c>
      <c r="J48" s="11">
        <f t="shared" si="24"/>
        <v>308.87118980755571</v>
      </c>
      <c r="K48" s="11">
        <f t="shared" si="24"/>
        <v>323.9697618485942</v>
      </c>
      <c r="L48" s="11">
        <f t="shared" si="24"/>
        <v>339.96934073289196</v>
      </c>
    </row>
    <row r="49" spans="1:12" ht="15.6" x14ac:dyDescent="0.3">
      <c r="A49" s="7" t="s">
        <v>56</v>
      </c>
      <c r="B49" s="10">
        <f t="shared" ref="B49:L49" si="25">B48/B11</f>
        <v>5.9061338289962823E-2</v>
      </c>
      <c r="C49" s="10">
        <f t="shared" si="25"/>
        <v>4.4368917972480194E-2</v>
      </c>
      <c r="D49" s="10">
        <f t="shared" si="25"/>
        <v>7.241659893776374E-2</v>
      </c>
      <c r="E49" s="10">
        <f t="shared" si="25"/>
        <v>7.8030723957477524E-2</v>
      </c>
      <c r="F49" s="10">
        <f t="shared" si="25"/>
        <v>7.8295615562853846E-2</v>
      </c>
      <c r="G49" s="10">
        <f t="shared" si="25"/>
        <v>7.5959719061937117E-2</v>
      </c>
      <c r="H49" s="10">
        <f t="shared" si="25"/>
        <v>7.6166704432212962E-2</v>
      </c>
      <c r="I49" s="10">
        <f t="shared" si="25"/>
        <v>7.4430434969495002E-2</v>
      </c>
      <c r="J49" s="10">
        <f t="shared" si="25"/>
        <v>7.4446726759617471E-2</v>
      </c>
      <c r="K49" s="10">
        <f t="shared" si="25"/>
        <v>7.4247324642783094E-2</v>
      </c>
      <c r="L49" s="10">
        <f t="shared" si="25"/>
        <v>7.4112151529290224E-2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712-5674-4517-ACBB-AF6E3060D5F1}">
  <sheetPr>
    <pageSetUpPr fitToPage="1"/>
  </sheetPr>
  <dimension ref="A1:Y49"/>
  <sheetViews>
    <sheetView workbookViewId="0">
      <selection activeCell="N1" sqref="N1:Y1"/>
    </sheetView>
  </sheetViews>
  <sheetFormatPr defaultColWidth="8.88671875" defaultRowHeight="14.4" x14ac:dyDescent="0.3"/>
  <cols>
    <col min="1" max="1" width="43.6640625" bestFit="1" customWidth="1"/>
    <col min="2" max="3" width="8.33203125" bestFit="1" customWidth="1"/>
    <col min="4" max="8" width="12" bestFit="1" customWidth="1"/>
    <col min="9" max="9" width="11" bestFit="1" customWidth="1"/>
    <col min="10" max="12" width="12" bestFit="1" customWidth="1"/>
    <col min="14" max="14" width="43.6640625" bestFit="1" customWidth="1"/>
    <col min="15" max="16" width="8.33203125" bestFit="1" customWidth="1"/>
    <col min="17" max="18" width="12" bestFit="1" customWidth="1"/>
    <col min="19" max="19" width="13.33203125" bestFit="1" customWidth="1"/>
    <col min="20" max="20" width="12.109375" bestFit="1" customWidth="1"/>
    <col min="21" max="21" width="13.33203125" bestFit="1" customWidth="1"/>
    <col min="22" max="24" width="12" bestFit="1" customWidth="1"/>
    <col min="25" max="25" width="11" bestFit="1" customWidth="1"/>
  </cols>
  <sheetData>
    <row r="1" spans="1:25" ht="36.6" x14ac:dyDescent="0.7">
      <c r="A1" s="77" t="s">
        <v>70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N1" s="77" t="s">
        <v>71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N2" s="3" t="s">
        <v>21</v>
      </c>
      <c r="O2" s="4">
        <v>2022</v>
      </c>
      <c r="P2" s="5">
        <v>2023</v>
      </c>
      <c r="Q2" s="5">
        <v>2024</v>
      </c>
      <c r="R2" s="5">
        <v>2025</v>
      </c>
      <c r="S2" s="5">
        <v>2026</v>
      </c>
      <c r="T2" s="5">
        <v>2027</v>
      </c>
      <c r="U2" s="5">
        <v>2028</v>
      </c>
      <c r="V2" s="5">
        <v>2029</v>
      </c>
      <c r="W2" s="5">
        <v>2030</v>
      </c>
      <c r="X2" s="5">
        <v>2031</v>
      </c>
      <c r="Y2" s="5">
        <v>2032</v>
      </c>
    </row>
    <row r="3" spans="1:25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N3" s="6" t="s">
        <v>22</v>
      </c>
      <c r="O3" s="4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6" x14ac:dyDescent="0.3">
      <c r="A4" s="7" t="s">
        <v>23</v>
      </c>
      <c r="B4" s="12">
        <f t="shared" ref="B4:L4" si="0">B33</f>
        <v>1.9284386617100371E-2</v>
      </c>
      <c r="C4" s="12">
        <f t="shared" si="0"/>
        <v>4.473923346077332E-3</v>
      </c>
      <c r="D4" s="12">
        <f t="shared" si="0"/>
        <v>2.9551674642141239E-2</v>
      </c>
      <c r="E4" s="12">
        <f t="shared" si="0"/>
        <v>3.1963115455552228E-2</v>
      </c>
      <c r="F4" s="12">
        <f t="shared" si="0"/>
        <v>3.2876017133808541E-2</v>
      </c>
      <c r="G4" s="12">
        <f t="shared" si="0"/>
        <v>3.3592894993383061E-2</v>
      </c>
      <c r="H4" s="12">
        <f t="shared" si="0"/>
        <v>3.4395593032975819E-2</v>
      </c>
      <c r="I4" s="12">
        <f t="shared" si="0"/>
        <v>3.5394304114492327E-2</v>
      </c>
      <c r="J4" s="12">
        <f t="shared" si="0"/>
        <v>3.6327138699276867E-2</v>
      </c>
      <c r="K4" s="12">
        <f t="shared" si="0"/>
        <v>3.6914191974027843E-2</v>
      </c>
      <c r="L4" s="12">
        <f t="shared" si="0"/>
        <v>3.7444924302374845E-2</v>
      </c>
      <c r="N4" s="7" t="s">
        <v>23</v>
      </c>
      <c r="O4" s="12">
        <f t="shared" ref="O4:Y4" si="1">O33</f>
        <v>1.9284386617100371E-2</v>
      </c>
      <c r="P4" s="12">
        <f t="shared" si="1"/>
        <v>4.473923346077332E-3</v>
      </c>
      <c r="Q4" s="12">
        <f t="shared" si="1"/>
        <v>2.9551674642141239E-2</v>
      </c>
      <c r="R4" s="12">
        <f t="shared" si="1"/>
        <v>3.1963115455552228E-2</v>
      </c>
      <c r="S4" s="12">
        <f t="shared" si="1"/>
        <v>3.2204221034930966E-2</v>
      </c>
      <c r="T4" s="12">
        <f t="shared" si="1"/>
        <v>3.1995658794687715E-2</v>
      </c>
      <c r="U4" s="12">
        <f t="shared" si="1"/>
        <v>3.1750995343275246E-2</v>
      </c>
      <c r="V4" s="12">
        <f t="shared" si="1"/>
        <v>3.144881687254767E-2</v>
      </c>
      <c r="W4" s="12">
        <f t="shared" si="1"/>
        <v>3.1095038306091439E-2</v>
      </c>
      <c r="X4" s="12">
        <f t="shared" si="1"/>
        <v>3.0409198448895215E-2</v>
      </c>
      <c r="Y4" s="12">
        <f t="shared" si="1"/>
        <v>2.968157378845316E-2</v>
      </c>
    </row>
    <row r="5" spans="1:25" ht="15.6" x14ac:dyDescent="0.3">
      <c r="A5" s="7" t="s">
        <v>24</v>
      </c>
      <c r="B5" s="9">
        <f t="shared" ref="B5:L5" si="2">B36</f>
        <v>7.9000000000000001E-2</v>
      </c>
      <c r="C5" s="9">
        <f t="shared" si="2"/>
        <v>5.1999999999999998E-2</v>
      </c>
      <c r="D5" s="9">
        <f t="shared" si="2"/>
        <v>4.2000000000000003E-2</v>
      </c>
      <c r="E5" s="9">
        <f t="shared" si="2"/>
        <v>4.1500000000000002E-2</v>
      </c>
      <c r="F5" s="9">
        <f t="shared" si="2"/>
        <v>4.1000000000000002E-2</v>
      </c>
      <c r="G5" s="9">
        <f t="shared" si="2"/>
        <v>3.9899999999999998E-2</v>
      </c>
      <c r="H5" s="9">
        <f t="shared" si="2"/>
        <v>3.8800000000000001E-2</v>
      </c>
      <c r="I5" s="9">
        <f t="shared" si="2"/>
        <v>3.7900000000000003E-2</v>
      </c>
      <c r="J5" s="9">
        <f t="shared" si="2"/>
        <v>3.7199999999999997E-2</v>
      </c>
      <c r="K5" s="9">
        <f t="shared" si="2"/>
        <v>3.6700000000000003E-2</v>
      </c>
      <c r="L5" s="9">
        <f t="shared" si="2"/>
        <v>3.6299999999999999E-2</v>
      </c>
      <c r="N5" s="7" t="s">
        <v>24</v>
      </c>
      <c r="O5" s="9">
        <f t="shared" ref="O5:Y5" si="3">O36</f>
        <v>7.9000000000000001E-2</v>
      </c>
      <c r="P5" s="9">
        <f t="shared" si="3"/>
        <v>5.1999999999999998E-2</v>
      </c>
      <c r="Q5" s="9">
        <f t="shared" si="3"/>
        <v>4.2000000000000003E-2</v>
      </c>
      <c r="R5" s="9">
        <f t="shared" si="3"/>
        <v>4.1500000000000002E-2</v>
      </c>
      <c r="S5" s="9">
        <f t="shared" si="3"/>
        <v>4.1000000000000002E-2</v>
      </c>
      <c r="T5" s="9">
        <f t="shared" si="3"/>
        <v>3.9899999999999998E-2</v>
      </c>
      <c r="U5" s="9">
        <f t="shared" si="3"/>
        <v>3.8800000000000001E-2</v>
      </c>
      <c r="V5" s="9">
        <f t="shared" si="3"/>
        <v>3.7900000000000003E-2</v>
      </c>
      <c r="W5" s="9">
        <f t="shared" si="3"/>
        <v>3.7199999999999997E-2</v>
      </c>
      <c r="X5" s="9">
        <f t="shared" si="3"/>
        <v>3.6700000000000003E-2</v>
      </c>
      <c r="Y5" s="9">
        <f t="shared" si="3"/>
        <v>3.6299999999999999E-2</v>
      </c>
    </row>
    <row r="6" spans="1:25" ht="15.6" x14ac:dyDescent="0.3">
      <c r="A6" s="7" t="s">
        <v>25</v>
      </c>
      <c r="B6" s="10">
        <f t="shared" ref="B6:L6" si="4">B39</f>
        <v>4.4499999999999998E-2</v>
      </c>
      <c r="C6" s="10">
        <f t="shared" si="4"/>
        <v>4.4999999999999998E-2</v>
      </c>
      <c r="D6" s="10">
        <f t="shared" si="4"/>
        <v>5.2499999999999998E-2</v>
      </c>
      <c r="E6" s="10">
        <f t="shared" si="4"/>
        <v>6.0499999999999998E-2</v>
      </c>
      <c r="F6" s="10">
        <f t="shared" si="4"/>
        <v>6.0999999999999999E-2</v>
      </c>
      <c r="G6" s="10">
        <f t="shared" si="4"/>
        <v>5.79E-2</v>
      </c>
      <c r="H6" s="10">
        <f t="shared" si="4"/>
        <v>5.5800000000000002E-2</v>
      </c>
      <c r="I6" s="10">
        <f t="shared" si="4"/>
        <v>5.2900000000000003E-2</v>
      </c>
      <c r="J6" s="10">
        <f t="shared" si="4"/>
        <v>5.2200000000000003E-2</v>
      </c>
      <c r="K6" s="10">
        <f t="shared" si="4"/>
        <v>5.1700000000000003E-2</v>
      </c>
      <c r="L6" s="10">
        <f t="shared" si="4"/>
        <v>5.1299999999999998E-2</v>
      </c>
      <c r="N6" s="7" t="s">
        <v>25</v>
      </c>
      <c r="O6" s="10">
        <f t="shared" ref="O6:Y6" si="5">O39</f>
        <v>4.4499999999999998E-2</v>
      </c>
      <c r="P6" s="10">
        <f t="shared" si="5"/>
        <v>4.4999999999999998E-2</v>
      </c>
      <c r="Q6" s="10">
        <f t="shared" si="5"/>
        <v>5.2499999999999998E-2</v>
      </c>
      <c r="R6" s="10">
        <f t="shared" si="5"/>
        <v>6.0499999999999998E-2</v>
      </c>
      <c r="S6" s="10">
        <f t="shared" si="5"/>
        <v>6.0999999999999999E-2</v>
      </c>
      <c r="T6" s="10">
        <f t="shared" si="5"/>
        <v>5.79E-2</v>
      </c>
      <c r="U6" s="10">
        <f t="shared" si="5"/>
        <v>5.5800000000000002E-2</v>
      </c>
      <c r="V6" s="10">
        <f t="shared" si="5"/>
        <v>5.2900000000000003E-2</v>
      </c>
      <c r="W6" s="10">
        <f t="shared" si="5"/>
        <v>5.2200000000000003E-2</v>
      </c>
      <c r="X6" s="10">
        <f t="shared" si="5"/>
        <v>5.1700000000000003E-2</v>
      </c>
      <c r="Y6" s="10">
        <f t="shared" si="5"/>
        <v>5.1299999999999998E-2</v>
      </c>
    </row>
    <row r="7" spans="1:25" ht="15.6" x14ac:dyDescent="0.3">
      <c r="A7" s="7" t="s">
        <v>26</v>
      </c>
      <c r="B7" s="10">
        <f t="shared" ref="B7:L7" si="6">B42</f>
        <v>4.0000000000000001E-3</v>
      </c>
      <c r="C7" s="10">
        <f t="shared" si="6"/>
        <v>3.0000000000000001E-3</v>
      </c>
      <c r="D7" s="10">
        <f t="shared" si="6"/>
        <v>8.0000000000000002E-3</v>
      </c>
      <c r="E7" s="10">
        <f t="shared" si="6"/>
        <v>1.9E-2</v>
      </c>
      <c r="F7" s="10">
        <f t="shared" si="6"/>
        <v>0.02</v>
      </c>
      <c r="G7" s="10">
        <f t="shared" si="6"/>
        <v>1.7999999999999999E-2</v>
      </c>
      <c r="H7" s="10">
        <f t="shared" si="6"/>
        <v>1.7000000000000001E-2</v>
      </c>
      <c r="I7" s="10">
        <f t="shared" si="6"/>
        <v>1.4999999999999999E-2</v>
      </c>
      <c r="J7" s="10">
        <f t="shared" si="6"/>
        <v>1.4999999999999999E-2</v>
      </c>
      <c r="K7" s="10">
        <f t="shared" si="6"/>
        <v>1.4999999999999999E-2</v>
      </c>
      <c r="L7" s="10">
        <f t="shared" si="6"/>
        <v>1.4999999999999999E-2</v>
      </c>
      <c r="N7" s="7" t="s">
        <v>26</v>
      </c>
      <c r="O7" s="10">
        <f t="shared" ref="O7:Y7" si="7">O42</f>
        <v>4.0000000000000001E-3</v>
      </c>
      <c r="P7" s="10">
        <f t="shared" si="7"/>
        <v>3.0000000000000001E-3</v>
      </c>
      <c r="Q7" s="10">
        <f t="shared" si="7"/>
        <v>8.0000000000000002E-3</v>
      </c>
      <c r="R7" s="10">
        <f t="shared" si="7"/>
        <v>1.9E-2</v>
      </c>
      <c r="S7" s="10">
        <f t="shared" si="7"/>
        <v>2.5000000000000001E-2</v>
      </c>
      <c r="T7" s="10">
        <f t="shared" si="7"/>
        <v>2.5000000000000001E-2</v>
      </c>
      <c r="U7" s="10">
        <f t="shared" si="7"/>
        <v>2.5000000000000001E-2</v>
      </c>
      <c r="V7" s="10">
        <f>V42</f>
        <v>2.5000000000000001E-2</v>
      </c>
      <c r="W7" s="10">
        <f t="shared" si="7"/>
        <v>2.5000000000000001E-2</v>
      </c>
      <c r="X7" s="10">
        <f t="shared" si="7"/>
        <v>2.5000000000000001E-2</v>
      </c>
      <c r="Y7" s="10">
        <f t="shared" si="7"/>
        <v>2.5000000000000001E-2</v>
      </c>
    </row>
    <row r="8" spans="1:25" ht="15.6" x14ac:dyDescent="0.3">
      <c r="A8" s="7" t="s">
        <v>27</v>
      </c>
      <c r="B8" s="10">
        <f t="shared" ref="B8:L8" si="8">B45/B11</f>
        <v>0.93531598513011149</v>
      </c>
      <c r="C8" s="10">
        <f t="shared" si="8"/>
        <v>0.94253774731760609</v>
      </c>
      <c r="D8" s="10">
        <f t="shared" si="8"/>
        <v>0.93991110980008208</v>
      </c>
      <c r="E8" s="10">
        <f t="shared" si="8"/>
        <v>0.95859469288835786</v>
      </c>
      <c r="F8" s="10">
        <f t="shared" si="8"/>
        <v>0.98414550948627966</v>
      </c>
      <c r="G8" s="10">
        <f t="shared" si="8"/>
        <v>1.0134549062710203</v>
      </c>
      <c r="H8" s="10">
        <f t="shared" si="8"/>
        <v>1.0427269738665352</v>
      </c>
      <c r="I8" s="10">
        <f t="shared" si="8"/>
        <v>1.0738765217893735</v>
      </c>
      <c r="J8" s="10">
        <f t="shared" si="8"/>
        <v>1.1040293773140823</v>
      </c>
      <c r="K8" s="10">
        <f t="shared" si="8"/>
        <v>1.1349547357939898</v>
      </c>
      <c r="L8" s="10">
        <f t="shared" si="8"/>
        <v>1.1663096753912898</v>
      </c>
      <c r="N8" s="7" t="s">
        <v>27</v>
      </c>
      <c r="O8" s="10">
        <f t="shared" ref="O8:Y8" si="9">O45/O11</f>
        <v>0.93531598513011149</v>
      </c>
      <c r="P8" s="10">
        <f t="shared" si="9"/>
        <v>0.94253774731760609</v>
      </c>
      <c r="Q8" s="10">
        <f t="shared" si="9"/>
        <v>0.93991110980008208</v>
      </c>
      <c r="R8" s="10">
        <f t="shared" si="9"/>
        <v>0.95859469288835786</v>
      </c>
      <c r="S8" s="10">
        <f t="shared" si="9"/>
        <v>0.97952944236861406</v>
      </c>
      <c r="T8" s="10">
        <f t="shared" si="9"/>
        <v>1.0015847319951727</v>
      </c>
      <c r="U8" s="10">
        <f t="shared" si="9"/>
        <v>1.0216569678312426</v>
      </c>
      <c r="V8" s="10">
        <f t="shared" si="9"/>
        <v>1.0404972777888264</v>
      </c>
      <c r="W8" s="10">
        <f t="shared" si="9"/>
        <v>1.0570452359555591</v>
      </c>
      <c r="X8" s="10">
        <f t="shared" si="9"/>
        <v>1.073065584575809</v>
      </c>
      <c r="Y8" s="10">
        <f t="shared" si="9"/>
        <v>1.0882390624859357</v>
      </c>
    </row>
    <row r="9" spans="1:25" ht="15.6" x14ac:dyDescent="0.3">
      <c r="A9" s="7" t="s">
        <v>28</v>
      </c>
      <c r="B9" s="10">
        <f t="shared" ref="B9:L9" si="10">B49</f>
        <v>5.9061338289962823E-2</v>
      </c>
      <c r="C9" s="10">
        <f t="shared" si="10"/>
        <v>4.4368917972480194E-2</v>
      </c>
      <c r="D9" s="10">
        <f t="shared" si="10"/>
        <v>7.6678562008021547E-2</v>
      </c>
      <c r="E9" s="10">
        <f t="shared" si="10"/>
        <v>8.5583692676584708E-2</v>
      </c>
      <c r="F9" s="10">
        <f t="shared" si="10"/>
        <v>8.7988435857832892E-2</v>
      </c>
      <c r="G9" s="10">
        <f t="shared" si="10"/>
        <v>8.7456232737267728E-2</v>
      </c>
      <c r="H9" s="10">
        <f t="shared" si="10"/>
        <v>8.7957615925496113E-2</v>
      </c>
      <c r="I9" s="10">
        <f t="shared" si="10"/>
        <v>8.7783189020504027E-2</v>
      </c>
      <c r="J9" s="10">
        <f t="shared" si="10"/>
        <v>8.9602518320456584E-2</v>
      </c>
      <c r="K9" s="10">
        <f t="shared" si="10"/>
        <v>9.1186625944873201E-2</v>
      </c>
      <c r="L9" s="10">
        <f t="shared" si="10"/>
        <v>9.2827001679176596E-2</v>
      </c>
      <c r="N9" s="7" t="s">
        <v>28</v>
      </c>
      <c r="O9" s="10">
        <f t="shared" ref="O9:Y9" si="11">O49</f>
        <v>5.9061338289962823E-2</v>
      </c>
      <c r="P9" s="10">
        <f t="shared" si="11"/>
        <v>4.4368917972480194E-2</v>
      </c>
      <c r="Q9" s="10">
        <f t="shared" si="11"/>
        <v>7.6678562008021547E-2</v>
      </c>
      <c r="R9" s="10">
        <f t="shared" si="11"/>
        <v>8.5583692676584708E-2</v>
      </c>
      <c r="S9" s="10">
        <f t="shared" si="11"/>
        <v>8.7058138733045257E-2</v>
      </c>
      <c r="T9" s="10">
        <f t="shared" si="11"/>
        <v>8.5253950383703356E-2</v>
      </c>
      <c r="U9" s="10">
        <f t="shared" si="11"/>
        <v>8.4287588730500879E-2</v>
      </c>
      <c r="V9" s="10">
        <f t="shared" si="11"/>
        <v>8.229617184316837E-2</v>
      </c>
      <c r="W9" s="10">
        <f t="shared" si="11"/>
        <v>8.2228495188577541E-2</v>
      </c>
      <c r="X9" s="10">
        <f t="shared" si="11"/>
        <v>8.1882532440514688E-2</v>
      </c>
      <c r="Y9" s="10">
        <f t="shared" si="11"/>
        <v>8.1550286205996733E-2</v>
      </c>
    </row>
    <row r="10" spans="1:25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N10" s="7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6" x14ac:dyDescent="0.3">
      <c r="A11" s="7" t="s">
        <v>29</v>
      </c>
      <c r="B11" s="6">
        <v>2690</v>
      </c>
      <c r="C11" s="11">
        <f t="shared" ref="C11:L11" si="12">B11*(1+C13)</f>
        <v>2837.95</v>
      </c>
      <c r="D11" s="11">
        <f t="shared" si="12"/>
        <v>2979.8474999999999</v>
      </c>
      <c r="E11" s="11">
        <f t="shared" si="12"/>
        <v>3160.1282737500001</v>
      </c>
      <c r="F11" s="11">
        <f t="shared" si="12"/>
        <v>3352.8960984487499</v>
      </c>
      <c r="G11" s="11">
        <f t="shared" si="12"/>
        <v>3547.0287825489327</v>
      </c>
      <c r="H11" s="11">
        <f t="shared" si="12"/>
        <v>3744.9529886151636</v>
      </c>
      <c r="I11" s="11">
        <f t="shared" si="12"/>
        <v>3943.0610017129056</v>
      </c>
      <c r="J11" s="11">
        <f t="shared" si="12"/>
        <v>4148.8887860023196</v>
      </c>
      <c r="K11" s="11">
        <f t="shared" si="12"/>
        <v>4363.3863362386401</v>
      </c>
      <c r="L11" s="11">
        <f t="shared" si="12"/>
        <v>4587.2280552876819</v>
      </c>
      <c r="N11" s="7" t="s">
        <v>29</v>
      </c>
      <c r="O11" s="6">
        <v>2690</v>
      </c>
      <c r="P11" s="11">
        <f t="shared" ref="P11:Y11" si="13">O11*(1+P13)</f>
        <v>2837.95</v>
      </c>
      <c r="Q11" s="11">
        <f t="shared" si="13"/>
        <v>2979.8474999999999</v>
      </c>
      <c r="R11" s="11">
        <f t="shared" si="13"/>
        <v>3160.1282737500001</v>
      </c>
      <c r="S11" s="11">
        <f t="shared" si="13"/>
        <v>3368.6967398175002</v>
      </c>
      <c r="T11" s="11">
        <f t="shared" si="13"/>
        <v>3587.3251582316557</v>
      </c>
      <c r="U11" s="11">
        <f t="shared" si="13"/>
        <v>3816.1965033268357</v>
      </c>
      <c r="V11" s="11">
        <f t="shared" si="13"/>
        <v>4056.2352633860933</v>
      </c>
      <c r="W11" s="11">
        <f t="shared" si="13"/>
        <v>4308.5330967687087</v>
      </c>
      <c r="X11" s="11">
        <f t="shared" si="13"/>
        <v>4574.3695888393386</v>
      </c>
      <c r="Y11" s="11">
        <f t="shared" si="13"/>
        <v>4854.7784446351898</v>
      </c>
    </row>
    <row r="12" spans="1:25" ht="15.6" x14ac:dyDescent="0.3">
      <c r="A12" s="7" t="s">
        <v>26</v>
      </c>
      <c r="B12" s="12">
        <v>4.0000000000000001E-3</v>
      </c>
      <c r="C12" s="10">
        <f t="shared" ref="C12:L12" si="14">C42</f>
        <v>3.0000000000000001E-3</v>
      </c>
      <c r="D12" s="10">
        <f t="shared" si="14"/>
        <v>8.0000000000000002E-3</v>
      </c>
      <c r="E12" s="10">
        <f t="shared" si="14"/>
        <v>1.9E-2</v>
      </c>
      <c r="F12" s="10">
        <f t="shared" si="14"/>
        <v>0.02</v>
      </c>
      <c r="G12" s="10">
        <f t="shared" si="14"/>
        <v>1.7999999999999999E-2</v>
      </c>
      <c r="H12" s="10">
        <f t="shared" si="14"/>
        <v>1.7000000000000001E-2</v>
      </c>
      <c r="I12" s="10">
        <f t="shared" si="14"/>
        <v>1.4999999999999999E-2</v>
      </c>
      <c r="J12" s="10">
        <f t="shared" si="14"/>
        <v>1.4999999999999999E-2</v>
      </c>
      <c r="K12" s="10">
        <f t="shared" si="14"/>
        <v>1.4999999999999999E-2</v>
      </c>
      <c r="L12" s="10">
        <f t="shared" si="14"/>
        <v>1.4999999999999999E-2</v>
      </c>
      <c r="N12" s="7" t="s">
        <v>26</v>
      </c>
      <c r="O12" s="12">
        <v>4.0000000000000001E-3</v>
      </c>
      <c r="P12" s="10">
        <f t="shared" ref="P12:Y12" si="15">P42</f>
        <v>3.0000000000000001E-3</v>
      </c>
      <c r="Q12" s="10">
        <f t="shared" si="15"/>
        <v>8.0000000000000002E-3</v>
      </c>
      <c r="R12" s="10">
        <f t="shared" si="15"/>
        <v>1.9E-2</v>
      </c>
      <c r="S12" s="10">
        <f t="shared" si="15"/>
        <v>2.5000000000000001E-2</v>
      </c>
      <c r="T12" s="10">
        <f t="shared" si="15"/>
        <v>2.5000000000000001E-2</v>
      </c>
      <c r="U12" s="10">
        <f t="shared" si="15"/>
        <v>2.5000000000000001E-2</v>
      </c>
      <c r="V12" s="10">
        <f t="shared" si="15"/>
        <v>2.5000000000000001E-2</v>
      </c>
      <c r="W12" s="10">
        <f t="shared" si="15"/>
        <v>2.5000000000000001E-2</v>
      </c>
      <c r="X12" s="10">
        <f t="shared" si="15"/>
        <v>2.5000000000000001E-2</v>
      </c>
      <c r="Y12" s="10">
        <f t="shared" si="15"/>
        <v>2.5000000000000001E-2</v>
      </c>
    </row>
    <row r="13" spans="1:25" ht="15.6" x14ac:dyDescent="0.3">
      <c r="A13" s="7" t="s">
        <v>30</v>
      </c>
      <c r="B13" s="12">
        <f t="shared" ref="B13:L13" si="16">(B36+B12)</f>
        <v>8.3000000000000004E-2</v>
      </c>
      <c r="C13" s="12">
        <f t="shared" si="16"/>
        <v>5.5E-2</v>
      </c>
      <c r="D13" s="12">
        <f t="shared" si="16"/>
        <v>0.05</v>
      </c>
      <c r="E13" s="12">
        <f t="shared" si="16"/>
        <v>6.0499999999999998E-2</v>
      </c>
      <c r="F13" s="12">
        <f t="shared" si="16"/>
        <v>6.0999999999999999E-2</v>
      </c>
      <c r="G13" s="12">
        <f t="shared" si="16"/>
        <v>5.7899999999999993E-2</v>
      </c>
      <c r="H13" s="12">
        <f t="shared" si="16"/>
        <v>5.5800000000000002E-2</v>
      </c>
      <c r="I13" s="12">
        <f t="shared" si="16"/>
        <v>5.2900000000000003E-2</v>
      </c>
      <c r="J13" s="12">
        <f t="shared" si="16"/>
        <v>5.2199999999999996E-2</v>
      </c>
      <c r="K13" s="12">
        <f t="shared" si="16"/>
        <v>5.1700000000000003E-2</v>
      </c>
      <c r="L13" s="12">
        <f t="shared" si="16"/>
        <v>5.1299999999999998E-2</v>
      </c>
      <c r="N13" s="7" t="s">
        <v>30</v>
      </c>
      <c r="O13" s="12">
        <f t="shared" ref="O13:Y13" si="17">(O36+O12)</f>
        <v>8.3000000000000004E-2</v>
      </c>
      <c r="P13" s="12">
        <f t="shared" si="17"/>
        <v>5.5E-2</v>
      </c>
      <c r="Q13" s="12">
        <f t="shared" si="17"/>
        <v>0.05</v>
      </c>
      <c r="R13" s="12">
        <f t="shared" si="17"/>
        <v>6.0499999999999998E-2</v>
      </c>
      <c r="S13" s="12">
        <f t="shared" si="17"/>
        <v>6.6000000000000003E-2</v>
      </c>
      <c r="T13" s="12">
        <f t="shared" si="17"/>
        <v>6.4899999999999999E-2</v>
      </c>
      <c r="U13" s="12">
        <f t="shared" si="17"/>
        <v>6.3799999999999996E-2</v>
      </c>
      <c r="V13" s="12">
        <f t="shared" si="17"/>
        <v>6.2900000000000011E-2</v>
      </c>
      <c r="W13" s="12">
        <f t="shared" si="17"/>
        <v>6.2199999999999998E-2</v>
      </c>
      <c r="X13" s="12">
        <f t="shared" si="17"/>
        <v>6.1700000000000005E-2</v>
      </c>
      <c r="Y13" s="12">
        <f t="shared" si="17"/>
        <v>6.13E-2</v>
      </c>
    </row>
    <row r="14" spans="1:25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N14" s="7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N15" s="30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6" x14ac:dyDescent="0.3">
      <c r="A16" s="6" t="s">
        <v>32</v>
      </c>
      <c r="B16" s="11">
        <v>380.78800000000001</v>
      </c>
      <c r="C16" s="11">
        <f t="shared" ref="C16:L16" si="18">B16*1.01*(1+C5)</f>
        <v>404.59486576000006</v>
      </c>
      <c r="D16" s="11">
        <f t="shared" si="18"/>
        <v>425.80372862313925</v>
      </c>
      <c r="E16" s="11">
        <f t="shared" si="18"/>
        <v>447.9093291946096</v>
      </c>
      <c r="F16" s="11">
        <f t="shared" si="18"/>
        <v>470.93634780850442</v>
      </c>
      <c r="G16" s="11">
        <f t="shared" si="18"/>
        <v>494.62397516692442</v>
      </c>
      <c r="H16" s="11">
        <f t="shared" si="18"/>
        <v>518.95353925743507</v>
      </c>
      <c r="I16" s="11">
        <f t="shared" si="18"/>
        <v>544.00809717924483</v>
      </c>
      <c r="J16" s="11">
        <f t="shared" si="18"/>
        <v>569.88765037825578</v>
      </c>
      <c r="K16" s="11">
        <f t="shared" si="18"/>
        <v>596.71055241860915</v>
      </c>
      <c r="L16" s="11">
        <f t="shared" si="18"/>
        <v>624.55485692611865</v>
      </c>
      <c r="N16" s="6" t="s">
        <v>32</v>
      </c>
      <c r="O16" s="11">
        <v>380.78800000000001</v>
      </c>
      <c r="P16" s="11">
        <f t="shared" ref="P16" si="19">O16*1.01*(1+P5)</f>
        <v>404.59486576000006</v>
      </c>
      <c r="Q16" s="11">
        <f t="shared" ref="Q16" si="20">P16*1.01*(1+Q5)</f>
        <v>425.80372862313925</v>
      </c>
      <c r="R16" s="11">
        <f t="shared" ref="R16" si="21">Q16*1.01*(1+R5)</f>
        <v>447.9093291946096</v>
      </c>
      <c r="S16" s="11">
        <f t="shared" ref="S16" si="22">R16*1.01*(1+S5)</f>
        <v>470.93634780850442</v>
      </c>
      <c r="T16" s="11">
        <f t="shared" ref="T16" si="23">S16*1.01*(1+T5)</f>
        <v>494.62397516692442</v>
      </c>
      <c r="U16" s="11">
        <f t="shared" ref="U16" si="24">T16*1.01*(1+U5)</f>
        <v>518.95353925743507</v>
      </c>
      <c r="V16" s="11">
        <f t="shared" ref="V16" si="25">U16*1.01*(1+V5)</f>
        <v>544.00809717924483</v>
      </c>
      <c r="W16" s="11">
        <f t="shared" ref="W16" si="26">V16*1.01*(1+W5)</f>
        <v>569.88765037825578</v>
      </c>
      <c r="X16" s="11">
        <f t="shared" ref="X16" si="27">W16*1.01*(1+X5)</f>
        <v>596.71055241860915</v>
      </c>
      <c r="Y16" s="11">
        <f t="shared" ref="Y16" si="28">X16*1.01*(1+Y5)</f>
        <v>624.55485692611865</v>
      </c>
    </row>
    <row r="17" spans="1:25" ht="15.6" x14ac:dyDescent="0.3">
      <c r="A17" s="6" t="s">
        <v>33</v>
      </c>
      <c r="B17" s="11">
        <v>224</v>
      </c>
      <c r="C17" s="11">
        <f t="shared" ref="C17:L17" si="29">C11*(0.083)+(B17*0.0109)</f>
        <v>237.99144999999999</v>
      </c>
      <c r="D17" s="11">
        <f t="shared" si="29"/>
        <v>249.92144930500001</v>
      </c>
      <c r="E17" s="11">
        <f t="shared" si="29"/>
        <v>265.01479051867454</v>
      </c>
      <c r="F17" s="11">
        <f t="shared" si="29"/>
        <v>281.17903738789977</v>
      </c>
      <c r="G17" s="11">
        <f t="shared" si="29"/>
        <v>297.46824045908954</v>
      </c>
      <c r="H17" s="11">
        <f t="shared" si="29"/>
        <v>314.07350187606266</v>
      </c>
      <c r="I17" s="11">
        <f t="shared" si="29"/>
        <v>330.6974643126203</v>
      </c>
      <c r="J17" s="11">
        <f t="shared" si="29"/>
        <v>347.96237159920008</v>
      </c>
      <c r="K17" s="11">
        <f t="shared" si="29"/>
        <v>365.95385575823843</v>
      </c>
      <c r="L17" s="11">
        <f t="shared" si="29"/>
        <v>384.72882561664238</v>
      </c>
      <c r="M17" s="44"/>
      <c r="N17" s="6" t="s">
        <v>33</v>
      </c>
      <c r="O17" s="11">
        <v>224</v>
      </c>
      <c r="P17" s="11">
        <f t="shared" ref="P17" si="30">P11*(0.083)+(O17*0.0109)</f>
        <v>237.99144999999999</v>
      </c>
      <c r="Q17" s="11">
        <f t="shared" ref="Q17" si="31">Q11*(0.083)+(P17*0.0109)</f>
        <v>249.92144930500001</v>
      </c>
      <c r="R17" s="11">
        <f t="shared" ref="R17" si="32">R11*(0.083)+(Q17*0.0109)</f>
        <v>265.01479051867454</v>
      </c>
      <c r="S17" s="11">
        <f t="shared" ref="S17" si="33">S11*(0.083)+(R17*0.0109)</f>
        <v>282.49049062150607</v>
      </c>
      <c r="T17" s="11">
        <f t="shared" ref="T17" si="34">T11*(0.083)+(S17*0.0109)</f>
        <v>300.82713448100185</v>
      </c>
      <c r="U17" s="11">
        <f t="shared" ref="U17" si="35">U11*(0.083)+(T17*0.0109)</f>
        <v>320.02332554197028</v>
      </c>
      <c r="V17" s="11">
        <f t="shared" ref="V17" si="36">V11*(0.083)+(U17*0.0109)</f>
        <v>340.15578110945324</v>
      </c>
      <c r="W17" s="11">
        <f t="shared" ref="W17" si="37">W11*(0.083)+(V17*0.0109)</f>
        <v>361.31594504589589</v>
      </c>
      <c r="X17" s="11">
        <f t="shared" ref="X17" si="38">X11*(0.083)+(W17*0.0109)</f>
        <v>383.61101967466539</v>
      </c>
      <c r="Y17" s="11">
        <f t="shared" ref="Y17" si="39">Y11*(0.083)+(X17*0.0109)</f>
        <v>407.12797101917465</v>
      </c>
    </row>
    <row r="18" spans="1:25" ht="15.6" x14ac:dyDescent="0.3">
      <c r="A18" s="6" t="s">
        <v>34</v>
      </c>
      <c r="B18" s="11">
        <v>124.276</v>
      </c>
      <c r="C18" s="11">
        <v>130.46700000000001</v>
      </c>
      <c r="D18" s="11">
        <f t="shared" ref="D18:L18" si="40">D11*0.0547</f>
        <v>162.99765825</v>
      </c>
      <c r="E18" s="11">
        <f t="shared" si="40"/>
        <v>172.85901657412501</v>
      </c>
      <c r="F18" s="11">
        <f t="shared" si="40"/>
        <v>183.4034165851466</v>
      </c>
      <c r="G18" s="11">
        <f t="shared" si="40"/>
        <v>194.02247440542661</v>
      </c>
      <c r="H18" s="11">
        <f t="shared" si="40"/>
        <v>204.84892847724944</v>
      </c>
      <c r="I18" s="11">
        <f t="shared" si="40"/>
        <v>215.68543679369594</v>
      </c>
      <c r="J18" s="11">
        <f t="shared" si="40"/>
        <v>226.94421659432689</v>
      </c>
      <c r="K18" s="11">
        <f t="shared" si="40"/>
        <v>238.6772325922536</v>
      </c>
      <c r="L18" s="11">
        <f t="shared" si="40"/>
        <v>250.92137462423619</v>
      </c>
      <c r="N18" s="6" t="s">
        <v>34</v>
      </c>
      <c r="O18" s="11">
        <v>124.276</v>
      </c>
      <c r="P18" s="11">
        <v>130.46700000000001</v>
      </c>
      <c r="Q18" s="11">
        <f t="shared" ref="Q18:Y18" si="41">Q11*0.0547</f>
        <v>162.99765825</v>
      </c>
      <c r="R18" s="11">
        <f t="shared" si="41"/>
        <v>172.85901657412501</v>
      </c>
      <c r="S18" s="11">
        <f t="shared" si="41"/>
        <v>184.26771166801726</v>
      </c>
      <c r="T18" s="11">
        <f t="shared" si="41"/>
        <v>196.22668615527155</v>
      </c>
      <c r="U18" s="11">
        <f t="shared" si="41"/>
        <v>208.7459487319779</v>
      </c>
      <c r="V18" s="11">
        <f t="shared" si="41"/>
        <v>221.87606890721929</v>
      </c>
      <c r="W18" s="11">
        <f t="shared" si="41"/>
        <v>235.67676039324837</v>
      </c>
      <c r="X18" s="11">
        <f t="shared" si="41"/>
        <v>250.21801650951181</v>
      </c>
      <c r="Y18" s="11">
        <f t="shared" si="41"/>
        <v>265.55638092154487</v>
      </c>
    </row>
    <row r="19" spans="1:25" ht="15.6" x14ac:dyDescent="0.3">
      <c r="A19" s="6" t="s">
        <v>35</v>
      </c>
      <c r="B19" s="11">
        <f>168-B30</f>
        <v>61</v>
      </c>
      <c r="C19" s="13">
        <f>B19*(1+C13)</f>
        <v>64.35499999999999</v>
      </c>
      <c r="D19" s="13">
        <f t="shared" ref="D19:L19" si="42">C19*(1+D13)</f>
        <v>67.572749999999999</v>
      </c>
      <c r="E19" s="13">
        <f t="shared" si="42"/>
        <v>71.660901374999995</v>
      </c>
      <c r="F19" s="13">
        <f t="shared" si="42"/>
        <v>76.03221635887499</v>
      </c>
      <c r="G19" s="13">
        <f t="shared" si="42"/>
        <v>80.434481686053857</v>
      </c>
      <c r="H19" s="13">
        <f t="shared" si="42"/>
        <v>84.922725764135663</v>
      </c>
      <c r="I19" s="13">
        <f t="shared" si="42"/>
        <v>89.415137957058434</v>
      </c>
      <c r="J19" s="13">
        <f t="shared" si="42"/>
        <v>94.082608158416889</v>
      </c>
      <c r="K19" s="13">
        <f t="shared" si="42"/>
        <v>98.946679000207055</v>
      </c>
      <c r="L19" s="13">
        <f t="shared" si="42"/>
        <v>104.02264363291766</v>
      </c>
      <c r="N19" s="6" t="s">
        <v>35</v>
      </c>
      <c r="O19" s="11">
        <f>168-O30</f>
        <v>61</v>
      </c>
      <c r="P19" s="13">
        <f>O19*(1+P13)</f>
        <v>64.35499999999999</v>
      </c>
      <c r="Q19" s="13">
        <f t="shared" ref="Q19:Y19" si="43">P19*(1+Q13)</f>
        <v>67.572749999999999</v>
      </c>
      <c r="R19" s="13">
        <f t="shared" si="43"/>
        <v>71.660901374999995</v>
      </c>
      <c r="S19" s="13">
        <f t="shared" si="43"/>
        <v>76.390520865750005</v>
      </c>
      <c r="T19" s="13">
        <f t="shared" si="43"/>
        <v>81.348265669937177</v>
      </c>
      <c r="U19" s="13">
        <f t="shared" si="43"/>
        <v>86.538285019679179</v>
      </c>
      <c r="V19" s="13">
        <f t="shared" si="43"/>
        <v>91.981543147417</v>
      </c>
      <c r="W19" s="13">
        <f t="shared" si="43"/>
        <v>97.702795131186335</v>
      </c>
      <c r="X19" s="13">
        <f t="shared" si="43"/>
        <v>103.73105759078054</v>
      </c>
      <c r="Y19" s="13">
        <f t="shared" si="43"/>
        <v>110.08977142109538</v>
      </c>
    </row>
    <row r="20" spans="1:25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44">((D11*0.011)/27.8)*100</f>
        <v>117.90763489208631</v>
      </c>
      <c r="E20" s="11">
        <f t="shared" si="44"/>
        <v>125.04104680305754</v>
      </c>
      <c r="F20" s="11">
        <f t="shared" si="44"/>
        <v>132.66855065804404</v>
      </c>
      <c r="G20" s="11">
        <f t="shared" si="44"/>
        <v>140.3500597411448</v>
      </c>
      <c r="H20" s="11">
        <f t="shared" si="44"/>
        <v>148.18159307470071</v>
      </c>
      <c r="I20" s="11">
        <f t="shared" si="44"/>
        <v>156.02039934835236</v>
      </c>
      <c r="J20" s="11">
        <f t="shared" si="44"/>
        <v>164.16466419433638</v>
      </c>
      <c r="K20" s="11">
        <f t="shared" si="44"/>
        <v>172.65197733318359</v>
      </c>
      <c r="L20" s="11">
        <f t="shared" si="44"/>
        <v>181.50902377037588</v>
      </c>
      <c r="N20" s="6" t="s">
        <v>36</v>
      </c>
      <c r="O20" s="11">
        <v>128</v>
      </c>
      <c r="P20" s="11">
        <v>79.760000000000005</v>
      </c>
      <c r="Q20" s="11">
        <f t="shared" ref="Q20:Y20" si="45">((Q11*0.011)/27.8)*100</f>
        <v>117.90763489208631</v>
      </c>
      <c r="R20" s="11">
        <f t="shared" si="45"/>
        <v>125.04104680305754</v>
      </c>
      <c r="S20" s="11">
        <f t="shared" si="45"/>
        <v>133.29375589205935</v>
      </c>
      <c r="T20" s="11">
        <f t="shared" si="45"/>
        <v>141.94452064945401</v>
      </c>
      <c r="U20" s="11">
        <f t="shared" si="45"/>
        <v>151.00058106688917</v>
      </c>
      <c r="V20" s="11">
        <f t="shared" si="45"/>
        <v>160.49851761599649</v>
      </c>
      <c r="W20" s="11">
        <f t="shared" si="45"/>
        <v>170.48152541171146</v>
      </c>
      <c r="X20" s="11">
        <f t="shared" si="45"/>
        <v>181.00023552961412</v>
      </c>
      <c r="Y20" s="11">
        <f t="shared" si="45"/>
        <v>192.09554996757942</v>
      </c>
    </row>
    <row r="21" spans="1:25" ht="15.6" x14ac:dyDescent="0.3">
      <c r="A21" s="6" t="s">
        <v>37</v>
      </c>
      <c r="B21" s="10">
        <v>2.2700000000000001E-2</v>
      </c>
      <c r="C21" s="14">
        <v>2.3E-2</v>
      </c>
      <c r="D21" s="14">
        <v>2.3285714279999998E-2</v>
      </c>
      <c r="E21" s="14">
        <v>2.3571428559999996E-2</v>
      </c>
      <c r="F21" s="14">
        <v>2.3857142839999994E-2</v>
      </c>
      <c r="G21" s="14">
        <v>2.4142857119999993E-2</v>
      </c>
      <c r="H21" s="14">
        <v>2.4428571399999991E-2</v>
      </c>
      <c r="I21" s="14">
        <v>2.4714285679999989E-2</v>
      </c>
      <c r="J21" s="14">
        <v>2.4999999959999988E-2</v>
      </c>
      <c r="K21" s="14">
        <v>2.5000000000000001E-2</v>
      </c>
      <c r="L21" s="14">
        <v>2.5000000000000001E-2</v>
      </c>
      <c r="N21" s="6" t="s">
        <v>37</v>
      </c>
      <c r="O21" s="10">
        <v>2.2700000000000001E-2</v>
      </c>
      <c r="P21" s="14">
        <v>2.3E-2</v>
      </c>
      <c r="Q21" s="14">
        <v>2.3285714279999998E-2</v>
      </c>
      <c r="R21" s="14">
        <v>2.3571428559999996E-2</v>
      </c>
      <c r="S21" s="14">
        <v>2.3857142839999994E-2</v>
      </c>
      <c r="T21" s="14">
        <v>2.4142857119999993E-2</v>
      </c>
      <c r="U21" s="14">
        <v>2.4428571399999991E-2</v>
      </c>
      <c r="V21" s="14">
        <v>2.4714285679999989E-2</v>
      </c>
      <c r="W21" s="14">
        <v>2.4999999959999988E-2</v>
      </c>
      <c r="X21" s="14">
        <v>2.5000000000000001E-2</v>
      </c>
      <c r="Y21" s="14">
        <v>2.5000000000000001E-2</v>
      </c>
    </row>
    <row r="22" spans="1:25" ht="15.6" x14ac:dyDescent="0.3">
      <c r="A22" s="6" t="s">
        <v>38</v>
      </c>
      <c r="B22" s="11">
        <v>53</v>
      </c>
      <c r="C22" s="11">
        <f t="shared" ref="C22:L22" si="46">C11*C21</f>
        <v>65.272849999999991</v>
      </c>
      <c r="D22" s="11">
        <f t="shared" si="46"/>
        <v>69.387877482972286</v>
      </c>
      <c r="E22" s="11">
        <f t="shared" si="46"/>
        <v>74.488737845134239</v>
      </c>
      <c r="F22" s="11">
        <f t="shared" si="46"/>
        <v>79.990521148370505</v>
      </c>
      <c r="G22" s="11">
        <f t="shared" si="46"/>
        <v>85.635409097606399</v>
      </c>
      <c r="H22" s="11">
        <f t="shared" si="46"/>
        <v>91.483851472028874</v>
      </c>
      <c r="I22" s="11">
        <f t="shared" si="46"/>
        <v>97.449936049999678</v>
      </c>
      <c r="J22" s="11">
        <f t="shared" si="46"/>
        <v>103.72221948410238</v>
      </c>
      <c r="K22" s="11">
        <f t="shared" si="46"/>
        <v>109.08465840596601</v>
      </c>
      <c r="L22" s="11">
        <f t="shared" si="46"/>
        <v>114.68070138219205</v>
      </c>
      <c r="N22" s="6" t="s">
        <v>38</v>
      </c>
      <c r="O22" s="11">
        <v>53</v>
      </c>
      <c r="P22" s="11">
        <f t="shared" ref="P22:Y22" si="47">P11*P21</f>
        <v>65.272849999999991</v>
      </c>
      <c r="Q22" s="11">
        <f t="shared" si="47"/>
        <v>69.387877482972286</v>
      </c>
      <c r="R22" s="11">
        <f t="shared" si="47"/>
        <v>74.488737845134239</v>
      </c>
      <c r="S22" s="11">
        <f t="shared" si="47"/>
        <v>80.367479306468397</v>
      </c>
      <c r="T22" s="11">
        <f t="shared" si="47"/>
        <v>86.608278738168224</v>
      </c>
      <c r="U22" s="11">
        <f t="shared" si="47"/>
        <v>93.224228757949902</v>
      </c>
      <c r="V22" s="11">
        <f t="shared" si="47"/>
        <v>100.24695708461391</v>
      </c>
      <c r="W22" s="11">
        <f t="shared" si="47"/>
        <v>107.71332724687635</v>
      </c>
      <c r="X22" s="11">
        <f t="shared" si="47"/>
        <v>114.35923972098347</v>
      </c>
      <c r="Y22" s="11">
        <f t="shared" si="47"/>
        <v>121.36946111587974</v>
      </c>
    </row>
    <row r="23" spans="1:25" ht="15.6" x14ac:dyDescent="0.3">
      <c r="A23" s="6" t="s">
        <v>39</v>
      </c>
      <c r="B23" s="15">
        <v>107.81100000000001</v>
      </c>
      <c r="C23" s="11">
        <f>B23*(1+C13)</f>
        <v>113.740605</v>
      </c>
      <c r="D23" s="11">
        <f t="shared" ref="D23:L23" si="48">C23*(1+D13)</f>
        <v>119.42763525000001</v>
      </c>
      <c r="E23" s="11">
        <f t="shared" si="48"/>
        <v>126.653007182625</v>
      </c>
      <c r="F23" s="11">
        <f t="shared" si="48"/>
        <v>134.37884062076512</v>
      </c>
      <c r="G23" s="11">
        <f t="shared" si="48"/>
        <v>142.15937549270743</v>
      </c>
      <c r="H23" s="11">
        <f t="shared" si="48"/>
        <v>150.09186864520052</v>
      </c>
      <c r="I23" s="11">
        <f t="shared" si="48"/>
        <v>158.03172849653163</v>
      </c>
      <c r="J23" s="11">
        <f t="shared" si="48"/>
        <v>166.28098472405057</v>
      </c>
      <c r="K23" s="11">
        <f t="shared" si="48"/>
        <v>174.877711634284</v>
      </c>
      <c r="L23" s="11">
        <f t="shared" si="48"/>
        <v>183.84893824112274</v>
      </c>
      <c r="N23" s="6" t="s">
        <v>39</v>
      </c>
      <c r="O23" s="15">
        <v>107.81100000000001</v>
      </c>
      <c r="P23" s="11">
        <f>O23*(1+P13)</f>
        <v>113.740605</v>
      </c>
      <c r="Q23" s="11">
        <f t="shared" ref="Q23:Y23" si="49">P23*(1+Q13)</f>
        <v>119.42763525000001</v>
      </c>
      <c r="R23" s="11">
        <f t="shared" si="49"/>
        <v>126.653007182625</v>
      </c>
      <c r="S23" s="11">
        <f t="shared" si="49"/>
        <v>135.01210565667827</v>
      </c>
      <c r="T23" s="11">
        <f t="shared" si="49"/>
        <v>143.77439131379668</v>
      </c>
      <c r="U23" s="11">
        <f t="shared" si="49"/>
        <v>152.94719747961693</v>
      </c>
      <c r="V23" s="11">
        <f t="shared" si="49"/>
        <v>162.56757620108482</v>
      </c>
      <c r="W23" s="11">
        <f t="shared" si="49"/>
        <v>172.6792794407923</v>
      </c>
      <c r="X23" s="11">
        <f t="shared" si="49"/>
        <v>183.33359098228919</v>
      </c>
      <c r="Y23" s="11">
        <f t="shared" si="49"/>
        <v>194.57194010950352</v>
      </c>
    </row>
    <row r="24" spans="1:25" ht="15.6" x14ac:dyDescent="0.3">
      <c r="A24" s="7" t="s">
        <v>40</v>
      </c>
      <c r="B24" s="16">
        <f t="shared" ref="B24:L24" si="50">SUM(B16:B23) -B21</f>
        <v>1078.875</v>
      </c>
      <c r="C24" s="16">
        <f t="shared" si="50"/>
        <v>1096.1817707600001</v>
      </c>
      <c r="D24" s="16">
        <f t="shared" si="50"/>
        <v>1213.0187338031978</v>
      </c>
      <c r="E24" s="16">
        <f t="shared" si="50"/>
        <v>1283.6268294932261</v>
      </c>
      <c r="F24" s="16">
        <f t="shared" si="50"/>
        <v>1358.5889305676055</v>
      </c>
      <c r="G24" s="16">
        <f t="shared" si="50"/>
        <v>1434.694016048953</v>
      </c>
      <c r="H24" s="16">
        <f t="shared" si="50"/>
        <v>1512.556008566813</v>
      </c>
      <c r="I24" s="16">
        <f t="shared" si="50"/>
        <v>1591.3082001375035</v>
      </c>
      <c r="J24" s="16">
        <f t="shared" si="50"/>
        <v>1673.0447151326889</v>
      </c>
      <c r="K24" s="16">
        <f t="shared" si="50"/>
        <v>1756.9026671427416</v>
      </c>
      <c r="L24" s="16">
        <f t="shared" si="50"/>
        <v>1844.2663641936056</v>
      </c>
      <c r="N24" s="7" t="s">
        <v>40</v>
      </c>
      <c r="O24" s="16">
        <f t="shared" ref="O24:Y24" si="51">SUM(O16:O23) -O21</f>
        <v>1078.875</v>
      </c>
      <c r="P24" s="16">
        <f t="shared" si="51"/>
        <v>1096.1817707600001</v>
      </c>
      <c r="Q24" s="16">
        <f t="shared" si="51"/>
        <v>1213.0187338031978</v>
      </c>
      <c r="R24" s="16">
        <f t="shared" si="51"/>
        <v>1283.6268294932261</v>
      </c>
      <c r="S24" s="16">
        <f t="shared" si="51"/>
        <v>1362.7584118189839</v>
      </c>
      <c r="T24" s="16">
        <f t="shared" si="51"/>
        <v>1445.3532521745542</v>
      </c>
      <c r="U24" s="16">
        <f t="shared" si="51"/>
        <v>1531.4331058555188</v>
      </c>
      <c r="V24" s="16">
        <f t="shared" si="51"/>
        <v>1621.3345412450294</v>
      </c>
      <c r="W24" s="16">
        <f t="shared" si="51"/>
        <v>1715.4572830479663</v>
      </c>
      <c r="X24" s="16">
        <f t="shared" si="51"/>
        <v>1812.9637124264536</v>
      </c>
      <c r="Y24" s="16">
        <f t="shared" si="51"/>
        <v>1915.3659314808961</v>
      </c>
    </row>
    <row r="25" spans="1:25" ht="15.6" x14ac:dyDescent="0.3">
      <c r="A25" s="7"/>
      <c r="B25" s="11"/>
      <c r="C25" s="11"/>
      <c r="D25" s="18"/>
      <c r="E25" s="16"/>
      <c r="F25" s="16"/>
      <c r="G25" s="16"/>
      <c r="H25" s="16"/>
      <c r="I25" s="16"/>
      <c r="J25" s="16"/>
      <c r="K25" s="16"/>
      <c r="L25" s="16"/>
      <c r="N25" s="7"/>
      <c r="O25" s="17"/>
      <c r="P25" s="11"/>
      <c r="Q25" s="18"/>
      <c r="R25" s="16"/>
      <c r="S25" s="16"/>
      <c r="T25" s="16"/>
      <c r="U25" s="16"/>
      <c r="V25" s="16"/>
      <c r="W25" s="16"/>
      <c r="X25" s="16"/>
      <c r="Y25" s="16"/>
    </row>
    <row r="26" spans="1:25" ht="15.6" x14ac:dyDescent="0.3">
      <c r="A26" s="19" t="s">
        <v>41</v>
      </c>
      <c r="B26" s="45">
        <v>1027</v>
      </c>
      <c r="C26" s="11">
        <f>B26*(1+C13)</f>
        <v>1083.4849999999999</v>
      </c>
      <c r="D26" s="18">
        <f>C26*(1+D13)-12.7</f>
        <v>1124.9592499999999</v>
      </c>
      <c r="E26" s="18">
        <f>D26*(1+E13)-10.4</f>
        <v>1182.6192846249999</v>
      </c>
      <c r="F26" s="36">
        <f>E26*(1+F13)-6.4</f>
        <v>1248.3590609871246</v>
      </c>
      <c r="G26" s="36">
        <f>F26*(1+G13)-5.1</f>
        <v>1315.5390506182794</v>
      </c>
      <c r="H26" s="36">
        <f>G26*(1+H13)-5.2</f>
        <v>1383.7461296427794</v>
      </c>
      <c r="I26" s="18">
        <f>H26*(1+I13)-5.2</f>
        <v>1451.7462999008821</v>
      </c>
      <c r="J26" s="11">
        <f>I26*(1+J13)-5.2</f>
        <v>1522.3274567557082</v>
      </c>
      <c r="K26" s="11">
        <f>J26*(1+K13)-5.2</f>
        <v>1595.8317862699785</v>
      </c>
      <c r="L26" s="11">
        <f>K26*(1+L13)-5.2</f>
        <v>1672.4979569056281</v>
      </c>
      <c r="N26" s="19" t="s">
        <v>41</v>
      </c>
      <c r="O26" s="45">
        <v>1027</v>
      </c>
      <c r="P26" s="11">
        <f>O26*(1+P13)</f>
        <v>1083.4849999999999</v>
      </c>
      <c r="Q26" s="18">
        <f>P26*(1+Q13)-12.7</f>
        <v>1124.9592499999999</v>
      </c>
      <c r="R26" s="18">
        <f>Q26*(1+R13)-10.4</f>
        <v>1182.6192846249999</v>
      </c>
      <c r="S26" s="36">
        <f>R26*(1+S13)-6.4</f>
        <v>1254.2721574102497</v>
      </c>
      <c r="T26" s="36">
        <f>S26*(1+T13)-5.1</f>
        <v>1330.574420426175</v>
      </c>
      <c r="U26" s="36">
        <f>T26*(1+U13)-5.2</f>
        <v>1410.2650684493651</v>
      </c>
      <c r="V26" s="18">
        <f>U26*(1+V13)-5.2</f>
        <v>1493.77074125483</v>
      </c>
      <c r="W26" s="11">
        <f>V26*(1+W13)-5.2</f>
        <v>1581.4832813608805</v>
      </c>
      <c r="X26" s="11">
        <f>W26*(1+X13)-5.2</f>
        <v>1673.860799820847</v>
      </c>
      <c r="Y26" s="11">
        <f>X26*(1+Y13)-5.2</f>
        <v>1771.2684668498648</v>
      </c>
    </row>
    <row r="27" spans="1:25" ht="15.6" x14ac:dyDescent="0.3">
      <c r="A27" s="31" t="s">
        <v>42</v>
      </c>
      <c r="B27" s="21">
        <f t="shared" ref="B27:L27" si="52">B26</f>
        <v>1027</v>
      </c>
      <c r="C27" s="21">
        <f t="shared" si="52"/>
        <v>1083.4849999999999</v>
      </c>
      <c r="D27" s="21">
        <f t="shared" si="52"/>
        <v>1124.9592499999999</v>
      </c>
      <c r="E27" s="21">
        <f t="shared" si="52"/>
        <v>1182.6192846249999</v>
      </c>
      <c r="F27" s="21">
        <f t="shared" si="52"/>
        <v>1248.3590609871246</v>
      </c>
      <c r="G27" s="46">
        <f t="shared" si="52"/>
        <v>1315.5390506182794</v>
      </c>
      <c r="H27" s="21">
        <f t="shared" si="52"/>
        <v>1383.7461296427794</v>
      </c>
      <c r="I27" s="21">
        <f t="shared" si="52"/>
        <v>1451.7462999008821</v>
      </c>
      <c r="J27" s="21">
        <f t="shared" si="52"/>
        <v>1522.3274567557082</v>
      </c>
      <c r="K27" s="21">
        <f t="shared" si="52"/>
        <v>1595.8317862699785</v>
      </c>
      <c r="L27" s="21">
        <f t="shared" si="52"/>
        <v>1672.4979569056281</v>
      </c>
      <c r="N27" s="31" t="s">
        <v>42</v>
      </c>
      <c r="O27" s="20">
        <f t="shared" ref="O27:Y27" si="53">O26</f>
        <v>1027</v>
      </c>
      <c r="P27" s="20">
        <f t="shared" si="53"/>
        <v>1083.4849999999999</v>
      </c>
      <c r="Q27" s="21">
        <f t="shared" si="53"/>
        <v>1124.9592499999999</v>
      </c>
      <c r="R27" s="21">
        <f t="shared" si="53"/>
        <v>1182.6192846249999</v>
      </c>
      <c r="S27" s="21">
        <f t="shared" si="53"/>
        <v>1254.2721574102497</v>
      </c>
      <c r="T27" s="22">
        <f t="shared" si="53"/>
        <v>1330.574420426175</v>
      </c>
      <c r="U27" s="21">
        <f t="shared" si="53"/>
        <v>1410.2650684493651</v>
      </c>
      <c r="V27" s="21">
        <f t="shared" si="53"/>
        <v>1493.77074125483</v>
      </c>
      <c r="W27" s="21">
        <f t="shared" si="53"/>
        <v>1581.4832813608805</v>
      </c>
      <c r="X27" s="21">
        <f t="shared" si="53"/>
        <v>1673.860799820847</v>
      </c>
      <c r="Y27" s="21">
        <f t="shared" si="53"/>
        <v>1771.2684668498648</v>
      </c>
    </row>
    <row r="28" spans="1:25" ht="15.6" x14ac:dyDescent="0.3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N28" s="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5.6" x14ac:dyDescent="0.3">
      <c r="A29" s="6" t="s">
        <v>43</v>
      </c>
      <c r="B29" s="23">
        <v>107</v>
      </c>
      <c r="C29" s="23">
        <f t="shared" ref="C29:L29" si="54">(B45*C39)</f>
        <v>113.22</v>
      </c>
      <c r="D29" s="23">
        <f t="shared" si="54"/>
        <v>140.4309375</v>
      </c>
      <c r="E29" s="23">
        <f t="shared" si="54"/>
        <v>169.44790213098</v>
      </c>
      <c r="F29" s="23">
        <f t="shared" si="54"/>
        <v>184.78621371585507</v>
      </c>
      <c r="G29" s="23">
        <f t="shared" si="54"/>
        <v>191.05480930171319</v>
      </c>
      <c r="H29" s="23">
        <f t="shared" si="54"/>
        <v>200.58725770761771</v>
      </c>
      <c r="I29" s="23">
        <f t="shared" si="54"/>
        <v>206.57256899612062</v>
      </c>
      <c r="J29" s="23">
        <f t="shared" si="54"/>
        <v>221.03362508032905</v>
      </c>
      <c r="K29" s="23">
        <f t="shared" si="54"/>
        <v>236.81159682280042</v>
      </c>
      <c r="L29" s="23">
        <f t="shared" si="54"/>
        <v>254.05021910297819</v>
      </c>
      <c r="N29" s="6" t="s">
        <v>43</v>
      </c>
      <c r="O29" s="23">
        <v>107</v>
      </c>
      <c r="P29" s="23">
        <f t="shared" ref="P29:Y29" si="55">(O45*P39)</f>
        <v>113.22</v>
      </c>
      <c r="Q29" s="23">
        <f t="shared" si="55"/>
        <v>140.4309375</v>
      </c>
      <c r="R29" s="23">
        <f t="shared" si="55"/>
        <v>169.44790213098</v>
      </c>
      <c r="S29" s="23">
        <f t="shared" si="55"/>
        <v>184.78621371585507</v>
      </c>
      <c r="T29" s="23">
        <f t="shared" si="55"/>
        <v>191.05480930171319</v>
      </c>
      <c r="U29" s="23">
        <f t="shared" si="55"/>
        <v>200.48996398103424</v>
      </c>
      <c r="V29" s="23">
        <f t="shared" si="55"/>
        <v>206.24883428174184</v>
      </c>
      <c r="W29" s="23">
        <f t="shared" si="55"/>
        <v>220.31019133038708</v>
      </c>
      <c r="X29" s="23">
        <f t="shared" si="55"/>
        <v>235.45805364743433</v>
      </c>
      <c r="Y29" s="23">
        <f t="shared" si="55"/>
        <v>251.81110699567216</v>
      </c>
    </row>
    <row r="30" spans="1:25" ht="15.6" x14ac:dyDescent="0.3">
      <c r="A30" s="7" t="s">
        <v>44</v>
      </c>
      <c r="B30" s="23">
        <f t="shared" ref="B30:L30" si="56">(B29)</f>
        <v>107</v>
      </c>
      <c r="C30" s="23">
        <f t="shared" si="56"/>
        <v>113.22</v>
      </c>
      <c r="D30" s="23">
        <f t="shared" si="56"/>
        <v>140.4309375</v>
      </c>
      <c r="E30" s="23">
        <f t="shared" si="56"/>
        <v>169.44790213098</v>
      </c>
      <c r="F30" s="23">
        <f t="shared" si="56"/>
        <v>184.78621371585507</v>
      </c>
      <c r="G30" s="23">
        <f t="shared" si="56"/>
        <v>191.05480930171319</v>
      </c>
      <c r="H30" s="23">
        <f t="shared" si="56"/>
        <v>200.58725770761771</v>
      </c>
      <c r="I30" s="23">
        <f t="shared" si="56"/>
        <v>206.57256899612062</v>
      </c>
      <c r="J30" s="23">
        <f t="shared" si="56"/>
        <v>221.03362508032905</v>
      </c>
      <c r="K30" s="23">
        <f t="shared" si="56"/>
        <v>236.81159682280042</v>
      </c>
      <c r="L30" s="23">
        <f t="shared" si="56"/>
        <v>254.05021910297819</v>
      </c>
      <c r="N30" s="7" t="s">
        <v>44</v>
      </c>
      <c r="O30" s="23">
        <f t="shared" ref="O30:Y30" si="57">(O29)</f>
        <v>107</v>
      </c>
      <c r="P30" s="23">
        <f t="shared" si="57"/>
        <v>113.22</v>
      </c>
      <c r="Q30" s="23">
        <f t="shared" si="57"/>
        <v>140.4309375</v>
      </c>
      <c r="R30" s="23">
        <f t="shared" si="57"/>
        <v>169.44790213098</v>
      </c>
      <c r="S30" s="23">
        <f t="shared" si="57"/>
        <v>184.78621371585507</v>
      </c>
      <c r="T30" s="23">
        <f t="shared" si="57"/>
        <v>191.05480930171319</v>
      </c>
      <c r="U30" s="23">
        <f t="shared" si="57"/>
        <v>200.48996398103424</v>
      </c>
      <c r="V30" s="23">
        <f t="shared" si="57"/>
        <v>206.24883428174184</v>
      </c>
      <c r="W30" s="23">
        <f t="shared" si="57"/>
        <v>220.31019133038708</v>
      </c>
      <c r="X30" s="23">
        <f t="shared" si="57"/>
        <v>235.45805364743433</v>
      </c>
      <c r="Y30" s="23">
        <f t="shared" si="57"/>
        <v>251.81110699567216</v>
      </c>
    </row>
    <row r="31" spans="1:25" ht="15.6" x14ac:dyDescent="0.3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N31" s="7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5.6" x14ac:dyDescent="0.3">
      <c r="A32" s="6" t="s">
        <v>45</v>
      </c>
      <c r="B32" s="17">
        <f t="shared" ref="B32:L32" si="58">B24-B27</f>
        <v>51.875</v>
      </c>
      <c r="C32" s="17">
        <f t="shared" si="58"/>
        <v>12.696770760000163</v>
      </c>
      <c r="D32" s="17">
        <f t="shared" si="58"/>
        <v>88.059483803197963</v>
      </c>
      <c r="E32" s="17">
        <f t="shared" si="58"/>
        <v>101.0075448682262</v>
      </c>
      <c r="F32" s="17">
        <f t="shared" si="58"/>
        <v>110.22986958048091</v>
      </c>
      <c r="G32" s="17">
        <f t="shared" si="58"/>
        <v>119.15496543067366</v>
      </c>
      <c r="H32" s="17">
        <f t="shared" si="58"/>
        <v>128.80987892403368</v>
      </c>
      <c r="I32" s="17">
        <f t="shared" si="58"/>
        <v>139.56190023662134</v>
      </c>
      <c r="J32" s="17">
        <f t="shared" si="58"/>
        <v>150.71725837698068</v>
      </c>
      <c r="K32" s="17">
        <f t="shared" si="58"/>
        <v>161.07088087276315</v>
      </c>
      <c r="L32" s="17">
        <f t="shared" si="58"/>
        <v>171.76840728797742</v>
      </c>
      <c r="N32" s="6" t="s">
        <v>45</v>
      </c>
      <c r="O32" s="17">
        <f t="shared" ref="O32:Y32" si="59">O24-O27</f>
        <v>51.875</v>
      </c>
      <c r="P32" s="17">
        <f t="shared" si="59"/>
        <v>12.696770760000163</v>
      </c>
      <c r="Q32" s="17">
        <f t="shared" si="59"/>
        <v>88.059483803197963</v>
      </c>
      <c r="R32" s="17">
        <f t="shared" si="59"/>
        <v>101.0075448682262</v>
      </c>
      <c r="S32" s="17">
        <f t="shared" si="59"/>
        <v>108.48625440873411</v>
      </c>
      <c r="T32" s="17">
        <f t="shared" si="59"/>
        <v>114.77883174837916</v>
      </c>
      <c r="U32" s="17">
        <f t="shared" si="59"/>
        <v>121.16803740615364</v>
      </c>
      <c r="V32" s="17">
        <f t="shared" si="59"/>
        <v>127.56379999019941</v>
      </c>
      <c r="W32" s="17">
        <f t="shared" si="59"/>
        <v>133.97400168708577</v>
      </c>
      <c r="X32" s="17">
        <f t="shared" si="59"/>
        <v>139.10291260560666</v>
      </c>
      <c r="Y32" s="17">
        <f t="shared" si="59"/>
        <v>144.09746463103124</v>
      </c>
    </row>
    <row r="33" spans="1:25" ht="15.6" x14ac:dyDescent="0.3">
      <c r="A33" s="7" t="s">
        <v>46</v>
      </c>
      <c r="B33" s="24">
        <f t="shared" ref="B33:L33" si="60">(B32/B11)</f>
        <v>1.9284386617100371E-2</v>
      </c>
      <c r="C33" s="24">
        <f t="shared" si="60"/>
        <v>4.473923346077332E-3</v>
      </c>
      <c r="D33" s="24">
        <f t="shared" si="60"/>
        <v>2.9551674642141239E-2</v>
      </c>
      <c r="E33" s="24">
        <f t="shared" si="60"/>
        <v>3.1963115455552228E-2</v>
      </c>
      <c r="F33" s="24">
        <f t="shared" si="60"/>
        <v>3.2876017133808541E-2</v>
      </c>
      <c r="G33" s="24">
        <f t="shared" si="60"/>
        <v>3.3592894993383061E-2</v>
      </c>
      <c r="H33" s="24">
        <f t="shared" si="60"/>
        <v>3.4395593032975819E-2</v>
      </c>
      <c r="I33" s="24">
        <f t="shared" si="60"/>
        <v>3.5394304114492327E-2</v>
      </c>
      <c r="J33" s="24">
        <f t="shared" si="60"/>
        <v>3.6327138699276867E-2</v>
      </c>
      <c r="K33" s="24">
        <f t="shared" si="60"/>
        <v>3.6914191974027843E-2</v>
      </c>
      <c r="L33" s="24">
        <f t="shared" si="60"/>
        <v>3.7444924302374845E-2</v>
      </c>
      <c r="N33" s="7" t="s">
        <v>46</v>
      </c>
      <c r="O33" s="24">
        <f t="shared" ref="O33:Y33" si="61">(O32/O11)</f>
        <v>1.9284386617100371E-2</v>
      </c>
      <c r="P33" s="24">
        <f t="shared" si="61"/>
        <v>4.473923346077332E-3</v>
      </c>
      <c r="Q33" s="24">
        <f t="shared" si="61"/>
        <v>2.9551674642141239E-2</v>
      </c>
      <c r="R33" s="24">
        <f t="shared" si="61"/>
        <v>3.1963115455552228E-2</v>
      </c>
      <c r="S33" s="24">
        <f t="shared" si="61"/>
        <v>3.2204221034930966E-2</v>
      </c>
      <c r="T33" s="24">
        <f t="shared" si="61"/>
        <v>3.1995658794687715E-2</v>
      </c>
      <c r="U33" s="24">
        <f t="shared" si="61"/>
        <v>3.1750995343275246E-2</v>
      </c>
      <c r="V33" s="24">
        <f t="shared" si="61"/>
        <v>3.144881687254767E-2</v>
      </c>
      <c r="W33" s="24">
        <f t="shared" si="61"/>
        <v>3.1095038306091439E-2</v>
      </c>
      <c r="X33" s="24">
        <f t="shared" si="61"/>
        <v>3.0409198448895215E-2</v>
      </c>
      <c r="Y33" s="24">
        <f t="shared" si="61"/>
        <v>2.968157378845316E-2</v>
      </c>
    </row>
    <row r="34" spans="1:25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5.6" x14ac:dyDescent="0.3">
      <c r="A35" s="26" t="s">
        <v>47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N35" s="26" t="s">
        <v>47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5.6" x14ac:dyDescent="0.3">
      <c r="A36" s="23" t="s">
        <v>48</v>
      </c>
      <c r="B36" s="24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4.1000000000000002E-2</v>
      </c>
      <c r="G36" s="10">
        <v>3.9899999999999998E-2</v>
      </c>
      <c r="H36" s="10">
        <v>3.8800000000000001E-2</v>
      </c>
      <c r="I36" s="10">
        <v>3.7900000000000003E-2</v>
      </c>
      <c r="J36" s="10">
        <v>3.7199999999999997E-2</v>
      </c>
      <c r="K36" s="10">
        <v>3.6700000000000003E-2</v>
      </c>
      <c r="L36" s="10">
        <v>3.6299999999999999E-2</v>
      </c>
      <c r="N36" s="23" t="s">
        <v>48</v>
      </c>
      <c r="O36" s="24">
        <v>7.9000000000000001E-2</v>
      </c>
      <c r="P36" s="10">
        <v>5.1999999999999998E-2</v>
      </c>
      <c r="Q36" s="10">
        <v>4.2000000000000003E-2</v>
      </c>
      <c r="R36" s="10">
        <v>4.1500000000000002E-2</v>
      </c>
      <c r="S36" s="10">
        <v>4.1000000000000002E-2</v>
      </c>
      <c r="T36" s="10">
        <v>3.9899999999999998E-2</v>
      </c>
      <c r="U36" s="10">
        <v>3.8800000000000001E-2</v>
      </c>
      <c r="V36" s="10">
        <v>3.7900000000000003E-2</v>
      </c>
      <c r="W36" s="10">
        <v>3.7199999999999997E-2</v>
      </c>
      <c r="X36" s="10">
        <v>3.6700000000000003E-2</v>
      </c>
      <c r="Y36" s="10">
        <v>3.6299999999999999E-2</v>
      </c>
    </row>
    <row r="37" spans="1:25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6" x14ac:dyDescent="0.3">
      <c r="A38" s="26" t="s">
        <v>49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N38" s="26" t="s">
        <v>49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x14ac:dyDescent="0.3">
      <c r="A39" s="23" t="s">
        <v>25</v>
      </c>
      <c r="B39" s="24">
        <v>4.4499999999999998E-2</v>
      </c>
      <c r="C39" s="24">
        <v>4.4999999999999998E-2</v>
      </c>
      <c r="D39" s="24">
        <v>5.2499999999999998E-2</v>
      </c>
      <c r="E39" s="24">
        <v>6.0499999999999998E-2</v>
      </c>
      <c r="F39" s="24">
        <v>6.0999999999999999E-2</v>
      </c>
      <c r="G39" s="24">
        <v>5.79E-2</v>
      </c>
      <c r="H39" s="24">
        <v>5.5800000000000002E-2</v>
      </c>
      <c r="I39" s="24">
        <v>5.2900000000000003E-2</v>
      </c>
      <c r="J39" s="24">
        <v>5.2200000000000003E-2</v>
      </c>
      <c r="K39" s="24">
        <v>5.1700000000000003E-2</v>
      </c>
      <c r="L39" s="24">
        <v>5.1299999999999998E-2</v>
      </c>
      <c r="M39" s="47"/>
      <c r="N39" s="23" t="s">
        <v>25</v>
      </c>
      <c r="O39" s="24">
        <v>4.4499999999999998E-2</v>
      </c>
      <c r="P39" s="24">
        <v>4.4999999999999998E-2</v>
      </c>
      <c r="Q39" s="24">
        <v>5.2499999999999998E-2</v>
      </c>
      <c r="R39" s="24">
        <v>6.0499999999999998E-2</v>
      </c>
      <c r="S39" s="24">
        <v>6.0999999999999999E-2</v>
      </c>
      <c r="T39" s="24">
        <v>5.79E-2</v>
      </c>
      <c r="U39" s="24">
        <v>5.5800000000000002E-2</v>
      </c>
      <c r="V39" s="24">
        <v>5.2900000000000003E-2</v>
      </c>
      <c r="W39" s="24">
        <v>5.2200000000000003E-2</v>
      </c>
      <c r="X39" s="24">
        <v>5.1700000000000003E-2</v>
      </c>
      <c r="Y39" s="24">
        <v>5.1299999999999998E-2</v>
      </c>
    </row>
    <row r="40" spans="1:25" x14ac:dyDescent="0.3">
      <c r="A40" s="25"/>
      <c r="B40" s="25"/>
      <c r="C40" s="23"/>
      <c r="D40" s="23"/>
      <c r="E40" s="23"/>
      <c r="F40" s="23"/>
      <c r="G40" s="23"/>
      <c r="H40" s="23"/>
      <c r="I40" s="23"/>
      <c r="J40" s="23"/>
      <c r="K40" s="23"/>
      <c r="L40" s="23"/>
      <c r="N40" s="25"/>
      <c r="O40" s="25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5.6" x14ac:dyDescent="0.3">
      <c r="A41" s="26" t="s">
        <v>50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N41" s="26" t="s">
        <v>50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5.6" x14ac:dyDescent="0.3">
      <c r="A42" s="23" t="s">
        <v>51</v>
      </c>
      <c r="B42" s="12">
        <v>4.0000000000000001E-3</v>
      </c>
      <c r="C42" s="10">
        <v>3.0000000000000001E-3</v>
      </c>
      <c r="D42" s="10">
        <v>8.0000000000000002E-3</v>
      </c>
      <c r="E42" s="10">
        <v>1.9E-2</v>
      </c>
      <c r="F42" s="10">
        <v>0.02</v>
      </c>
      <c r="G42" s="10">
        <v>1.7999999999999999E-2</v>
      </c>
      <c r="H42" s="10">
        <v>1.7000000000000001E-2</v>
      </c>
      <c r="I42" s="10">
        <v>1.4999999999999999E-2</v>
      </c>
      <c r="J42" s="10">
        <v>1.4999999999999999E-2</v>
      </c>
      <c r="K42" s="10">
        <v>1.4999999999999999E-2</v>
      </c>
      <c r="L42" s="10">
        <v>1.4999999999999999E-2</v>
      </c>
      <c r="N42" s="23" t="s">
        <v>51</v>
      </c>
      <c r="O42" s="12">
        <v>4.0000000000000001E-3</v>
      </c>
      <c r="P42" s="10">
        <v>3.0000000000000001E-3</v>
      </c>
      <c r="Q42" s="10">
        <v>8.0000000000000002E-3</v>
      </c>
      <c r="R42" s="10">
        <v>1.9E-2</v>
      </c>
      <c r="S42" s="10">
        <v>2.5000000000000001E-2</v>
      </c>
      <c r="T42" s="10">
        <v>2.5000000000000001E-2</v>
      </c>
      <c r="U42" s="10">
        <v>2.5000000000000001E-2</v>
      </c>
      <c r="V42" s="10">
        <v>2.5000000000000001E-2</v>
      </c>
      <c r="W42" s="10">
        <v>2.5000000000000001E-2</v>
      </c>
      <c r="X42" s="10">
        <v>2.5000000000000001E-2</v>
      </c>
      <c r="Y42" s="10">
        <v>2.5000000000000001E-2</v>
      </c>
    </row>
    <row r="43" spans="1:25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6" x14ac:dyDescent="0.3">
      <c r="A44" s="26" t="s">
        <v>52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N44" s="26" t="s">
        <v>52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x14ac:dyDescent="0.3">
      <c r="A45" s="23" t="s">
        <v>53</v>
      </c>
      <c r="B45" s="17">
        <v>2516</v>
      </c>
      <c r="C45" s="17">
        <f t="shared" ref="C45:L45" si="62">B45+B48</f>
        <v>2674.875</v>
      </c>
      <c r="D45" s="17">
        <f t="shared" si="62"/>
        <v>2800.79177076</v>
      </c>
      <c r="E45" s="17">
        <f t="shared" si="62"/>
        <v>3029.2821920631977</v>
      </c>
      <c r="F45" s="17">
        <f t="shared" si="62"/>
        <v>3299.737639062404</v>
      </c>
      <c r="G45" s="17">
        <f t="shared" si="62"/>
        <v>3594.7537223587401</v>
      </c>
      <c r="H45" s="17">
        <f t="shared" si="62"/>
        <v>3904.963497091127</v>
      </c>
      <c r="I45" s="17">
        <f t="shared" si="62"/>
        <v>4234.3606337227784</v>
      </c>
      <c r="J45" s="17">
        <f t="shared" si="62"/>
        <v>4580.4951029555205</v>
      </c>
      <c r="K45" s="17">
        <f t="shared" si="62"/>
        <v>4952.2459864128305</v>
      </c>
      <c r="L45" s="17">
        <f t="shared" si="62"/>
        <v>5350.1284641083939</v>
      </c>
      <c r="N45" s="23" t="s">
        <v>53</v>
      </c>
      <c r="O45" s="17">
        <v>2516</v>
      </c>
      <c r="P45" s="17">
        <f t="shared" ref="P45:Y45" si="63">O45+O48</f>
        <v>2674.875</v>
      </c>
      <c r="Q45" s="17">
        <f t="shared" si="63"/>
        <v>2800.79177076</v>
      </c>
      <c r="R45" s="17">
        <f t="shared" si="63"/>
        <v>3029.2821920631977</v>
      </c>
      <c r="S45" s="17">
        <f t="shared" si="63"/>
        <v>3299.737639062404</v>
      </c>
      <c r="T45" s="17">
        <f t="shared" si="63"/>
        <v>3593.0101071869931</v>
      </c>
      <c r="U45" s="17">
        <f t="shared" si="63"/>
        <v>3898.8437482370855</v>
      </c>
      <c r="V45" s="17">
        <f t="shared" si="63"/>
        <v>4220.5017496242735</v>
      </c>
      <c r="W45" s="17">
        <f t="shared" si="63"/>
        <v>4554.3143838962151</v>
      </c>
      <c r="X45" s="17">
        <f t="shared" si="63"/>
        <v>4908.5985769136878</v>
      </c>
      <c r="Y45" s="17">
        <f t="shared" si="63"/>
        <v>5283.1595431667283</v>
      </c>
    </row>
    <row r="46" spans="1:25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6" x14ac:dyDescent="0.3">
      <c r="A47" s="26" t="s">
        <v>54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N47" s="26" t="s">
        <v>54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x14ac:dyDescent="0.3">
      <c r="A48" s="23" t="s">
        <v>55</v>
      </c>
      <c r="B48" s="17">
        <f t="shared" ref="B48:L48" si="64">B24-B27+B30</f>
        <v>158.875</v>
      </c>
      <c r="C48" s="17">
        <f t="shared" si="64"/>
        <v>125.91677076000016</v>
      </c>
      <c r="D48" s="17">
        <f t="shared" si="64"/>
        <v>228.49042130319796</v>
      </c>
      <c r="E48" s="17">
        <f t="shared" si="64"/>
        <v>270.45544699920617</v>
      </c>
      <c r="F48" s="17">
        <f t="shared" si="64"/>
        <v>295.01608329633598</v>
      </c>
      <c r="G48" s="17">
        <f t="shared" si="64"/>
        <v>310.20977473238685</v>
      </c>
      <c r="H48" s="17">
        <f t="shared" si="64"/>
        <v>329.39713663165139</v>
      </c>
      <c r="I48" s="17">
        <f t="shared" si="64"/>
        <v>346.13446923274194</v>
      </c>
      <c r="J48" s="17">
        <f t="shared" si="64"/>
        <v>371.75088345730973</v>
      </c>
      <c r="K48" s="17">
        <f t="shared" si="64"/>
        <v>397.88247769556358</v>
      </c>
      <c r="L48" s="17">
        <f t="shared" si="64"/>
        <v>425.81862639095561</v>
      </c>
      <c r="N48" s="23" t="s">
        <v>55</v>
      </c>
      <c r="O48" s="17">
        <f t="shared" ref="O48:Y48" si="65">O24-O27+O30</f>
        <v>158.875</v>
      </c>
      <c r="P48" s="17">
        <f t="shared" si="65"/>
        <v>125.91677076000016</v>
      </c>
      <c r="Q48" s="17">
        <f t="shared" si="65"/>
        <v>228.49042130319796</v>
      </c>
      <c r="R48" s="17">
        <f t="shared" si="65"/>
        <v>270.45544699920617</v>
      </c>
      <c r="S48" s="17">
        <f t="shared" si="65"/>
        <v>293.27246812458918</v>
      </c>
      <c r="T48" s="17">
        <f t="shared" si="65"/>
        <v>305.83364105009235</v>
      </c>
      <c r="U48" s="17">
        <f t="shared" si="65"/>
        <v>321.65800138718788</v>
      </c>
      <c r="V48" s="17">
        <f t="shared" si="65"/>
        <v>333.81263427194125</v>
      </c>
      <c r="W48" s="17">
        <f t="shared" si="65"/>
        <v>354.28419301747283</v>
      </c>
      <c r="X48" s="17">
        <f t="shared" si="65"/>
        <v>374.56096625304099</v>
      </c>
      <c r="Y48" s="17">
        <f t="shared" si="65"/>
        <v>395.90857162670341</v>
      </c>
    </row>
    <row r="49" spans="1:25" ht="15.6" x14ac:dyDescent="0.3">
      <c r="A49" s="26" t="s">
        <v>56</v>
      </c>
      <c r="B49" s="24">
        <f t="shared" ref="B49:L49" si="66">B48/B11</f>
        <v>5.9061338289962823E-2</v>
      </c>
      <c r="C49" s="24">
        <f t="shared" si="66"/>
        <v>4.4368917972480194E-2</v>
      </c>
      <c r="D49" s="24">
        <f t="shared" si="66"/>
        <v>7.6678562008021547E-2</v>
      </c>
      <c r="E49" s="24">
        <f t="shared" si="66"/>
        <v>8.5583692676584708E-2</v>
      </c>
      <c r="F49" s="24">
        <f t="shared" si="66"/>
        <v>8.7988435857832892E-2</v>
      </c>
      <c r="G49" s="24">
        <f t="shared" si="66"/>
        <v>8.7456232737267728E-2</v>
      </c>
      <c r="H49" s="24">
        <f t="shared" si="66"/>
        <v>8.7957615925496113E-2</v>
      </c>
      <c r="I49" s="24">
        <f t="shared" si="66"/>
        <v>8.7783189020504027E-2</v>
      </c>
      <c r="J49" s="24">
        <f t="shared" si="66"/>
        <v>8.9602518320456584E-2</v>
      </c>
      <c r="K49" s="24">
        <f t="shared" si="66"/>
        <v>9.1186625944873201E-2</v>
      </c>
      <c r="L49" s="24">
        <f t="shared" si="66"/>
        <v>9.2827001679176596E-2</v>
      </c>
      <c r="N49" s="26" t="s">
        <v>56</v>
      </c>
      <c r="O49" s="24">
        <f t="shared" ref="O49:Y49" si="67">O48/O11</f>
        <v>5.9061338289962823E-2</v>
      </c>
      <c r="P49" s="24">
        <f t="shared" si="67"/>
        <v>4.4368917972480194E-2</v>
      </c>
      <c r="Q49" s="24">
        <f t="shared" si="67"/>
        <v>7.6678562008021547E-2</v>
      </c>
      <c r="R49" s="24">
        <f t="shared" si="67"/>
        <v>8.5583692676584708E-2</v>
      </c>
      <c r="S49" s="24">
        <f t="shared" si="67"/>
        <v>8.7058138733045257E-2</v>
      </c>
      <c r="T49" s="24">
        <f t="shared" si="67"/>
        <v>8.5253950383703356E-2</v>
      </c>
      <c r="U49" s="24">
        <f t="shared" si="67"/>
        <v>8.4287588730500879E-2</v>
      </c>
      <c r="V49" s="24">
        <f t="shared" si="67"/>
        <v>8.229617184316837E-2</v>
      </c>
      <c r="W49" s="24">
        <f t="shared" si="67"/>
        <v>8.2228495188577541E-2</v>
      </c>
      <c r="X49" s="24">
        <f t="shared" si="67"/>
        <v>8.1882532440514688E-2</v>
      </c>
      <c r="Y49" s="24">
        <f t="shared" si="67"/>
        <v>8.1550286205996733E-2</v>
      </c>
    </row>
  </sheetData>
  <mergeCells count="2">
    <mergeCell ref="A1:L1"/>
    <mergeCell ref="N1:Y1"/>
  </mergeCells>
  <pageMargins left="0.7" right="0.7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D88E-11C6-4A40-8E1B-33D3BFAE790A}">
  <sheetPr>
    <pageSetUpPr fitToPage="1"/>
  </sheetPr>
  <dimension ref="A1:Z49"/>
  <sheetViews>
    <sheetView topLeftCell="A30" workbookViewId="0">
      <selection activeCell="J42" sqref="J42"/>
    </sheetView>
  </sheetViews>
  <sheetFormatPr defaultColWidth="8.88671875" defaultRowHeight="14.4" x14ac:dyDescent="0.3"/>
  <cols>
    <col min="1" max="1" width="43.6640625" bestFit="1" customWidth="1"/>
    <col min="2" max="3" width="8.33203125" bestFit="1" customWidth="1"/>
    <col min="4" max="5" width="12" bestFit="1" customWidth="1"/>
    <col min="6" max="6" width="13.33203125" bestFit="1" customWidth="1"/>
    <col min="7" max="7" width="12.109375" bestFit="1" customWidth="1"/>
    <col min="8" max="8" width="13.33203125" bestFit="1" customWidth="1"/>
    <col min="9" max="9" width="12" bestFit="1" customWidth="1"/>
    <col min="10" max="10" width="11" bestFit="1" customWidth="1"/>
    <col min="11" max="12" width="12" bestFit="1" customWidth="1"/>
    <col min="14" max="14" width="43.6640625" bestFit="1" customWidth="1"/>
    <col min="15" max="16" width="8.33203125" bestFit="1" customWidth="1"/>
    <col min="17" max="18" width="12" bestFit="1" customWidth="1"/>
    <col min="19" max="21" width="13.33203125" bestFit="1" customWidth="1"/>
    <col min="22" max="25" width="12" bestFit="1" customWidth="1"/>
  </cols>
  <sheetData>
    <row r="1" spans="1:26" ht="36.6" x14ac:dyDescent="0.7">
      <c r="A1" s="77" t="s">
        <v>72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N1" s="77" t="s">
        <v>73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6" ht="21" x14ac:dyDescent="0.4">
      <c r="A2" s="3" t="s">
        <v>21</v>
      </c>
      <c r="B2" s="4">
        <v>2022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N2" s="3" t="s">
        <v>21</v>
      </c>
      <c r="O2" s="4">
        <v>2022</v>
      </c>
      <c r="P2" s="5">
        <v>2023</v>
      </c>
      <c r="Q2" s="5">
        <v>2024</v>
      </c>
      <c r="R2" s="5">
        <v>2025</v>
      </c>
      <c r="S2" s="5">
        <v>2026</v>
      </c>
      <c r="T2" s="5">
        <v>2027</v>
      </c>
      <c r="U2" s="5">
        <v>2028</v>
      </c>
      <c r="V2" s="5">
        <v>2029</v>
      </c>
      <c r="W2" s="5">
        <v>2030</v>
      </c>
      <c r="X2" s="5">
        <v>2031</v>
      </c>
      <c r="Y2" s="5">
        <v>2032</v>
      </c>
    </row>
    <row r="3" spans="1:26" ht="21" x14ac:dyDescent="0.4">
      <c r="A3" s="6" t="s">
        <v>22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N3" s="6" t="s">
        <v>22</v>
      </c>
      <c r="O3" s="4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6" ht="15.6" x14ac:dyDescent="0.3">
      <c r="A4" s="7" t="s">
        <v>23</v>
      </c>
      <c r="B4" s="8">
        <f t="shared" ref="B4:L4" si="0">B33</f>
        <v>1.9284386617100371E-2</v>
      </c>
      <c r="C4" s="8">
        <f t="shared" si="0"/>
        <v>4.473923346077332E-3</v>
      </c>
      <c r="D4" s="8">
        <f t="shared" si="0"/>
        <v>2.5289711571883436E-2</v>
      </c>
      <c r="E4" s="8">
        <f t="shared" si="0"/>
        <v>4.5406129890402568E-2</v>
      </c>
      <c r="F4" s="8">
        <f t="shared" si="0"/>
        <v>7.0187219942065282E-2</v>
      </c>
      <c r="G4" s="8">
        <f t="shared" si="0"/>
        <v>6.6940486016913867E-2</v>
      </c>
      <c r="H4" s="8">
        <f t="shared" si="0"/>
        <v>6.5728810472459334E-2</v>
      </c>
      <c r="I4" s="8">
        <f t="shared" si="0"/>
        <v>2.838945654027767E-2</v>
      </c>
      <c r="J4" s="8">
        <f t="shared" si="0"/>
        <v>2.765865624466176E-2</v>
      </c>
      <c r="K4" s="8">
        <f t="shared" si="0"/>
        <v>2.7022748912570175E-2</v>
      </c>
      <c r="L4" s="8">
        <f t="shared" si="0"/>
        <v>2.6392685662516409E-2</v>
      </c>
      <c r="N4" s="7" t="s">
        <v>23</v>
      </c>
      <c r="O4" s="8">
        <f t="shared" ref="O4:Y4" si="1">O33</f>
        <v>1.9284386617100371E-2</v>
      </c>
      <c r="P4" s="8">
        <f t="shared" si="1"/>
        <v>4.473923346077332E-3</v>
      </c>
      <c r="Q4" s="8">
        <f t="shared" si="1"/>
        <v>2.5289711571883436E-2</v>
      </c>
      <c r="R4" s="8">
        <f t="shared" si="1"/>
        <v>0.10447340807227121</v>
      </c>
      <c r="S4" s="8">
        <f t="shared" si="1"/>
        <v>7.8632523231261686E-2</v>
      </c>
      <c r="T4" s="8">
        <f t="shared" si="1"/>
        <v>6.9240715825502092E-2</v>
      </c>
      <c r="U4" s="8">
        <f t="shared" si="1"/>
        <v>6.5234049144604386E-2</v>
      </c>
      <c r="V4" s="8">
        <f t="shared" si="1"/>
        <v>6.661097518572287E-2</v>
      </c>
      <c r="W4" s="8">
        <f t="shared" si="1"/>
        <v>2.9279667614027959E-2</v>
      </c>
      <c r="X4" s="8">
        <f t="shared" si="1"/>
        <v>2.8259211657658722E-2</v>
      </c>
      <c r="Y4" s="8">
        <f t="shared" si="1"/>
        <v>2.7619783224149028E-2</v>
      </c>
    </row>
    <row r="5" spans="1:26" ht="15.6" x14ac:dyDescent="0.3">
      <c r="A5" s="7" t="s">
        <v>24</v>
      </c>
      <c r="B5" s="9">
        <f t="shared" ref="B5:L5" si="2">B36</f>
        <v>7.9000000000000001E-2</v>
      </c>
      <c r="C5" s="9">
        <f t="shared" si="2"/>
        <v>5.1999999999999998E-2</v>
      </c>
      <c r="D5" s="9">
        <f t="shared" si="2"/>
        <v>4.2000000000000003E-2</v>
      </c>
      <c r="E5" s="9">
        <f t="shared" si="2"/>
        <v>4.1500000000000002E-2</v>
      </c>
      <c r="F5" s="9">
        <f t="shared" si="2"/>
        <v>0.01</v>
      </c>
      <c r="G5" s="9">
        <f t="shared" si="2"/>
        <v>0.05</v>
      </c>
      <c r="H5" s="9">
        <f t="shared" si="2"/>
        <v>0.04</v>
      </c>
      <c r="I5" s="9">
        <f t="shared" si="2"/>
        <v>3.7900000000000003E-2</v>
      </c>
      <c r="J5" s="9">
        <f t="shared" si="2"/>
        <v>3.7199999999999997E-2</v>
      </c>
      <c r="K5" s="9">
        <f t="shared" si="2"/>
        <v>3.6700000000000003E-2</v>
      </c>
      <c r="L5" s="9">
        <f t="shared" si="2"/>
        <v>3.6299999999999999E-2</v>
      </c>
      <c r="N5" s="7" t="s">
        <v>24</v>
      </c>
      <c r="O5" s="9">
        <f t="shared" ref="O5:Y5" si="3">O36</f>
        <v>7.9000000000000001E-2</v>
      </c>
      <c r="P5" s="9">
        <f t="shared" si="3"/>
        <v>5.1999999999999998E-2</v>
      </c>
      <c r="Q5" s="9">
        <f t="shared" si="3"/>
        <v>4.2000000000000003E-2</v>
      </c>
      <c r="R5" s="9">
        <f t="shared" si="3"/>
        <v>2.3E-2</v>
      </c>
      <c r="S5" s="9">
        <f t="shared" si="3"/>
        <v>0.01</v>
      </c>
      <c r="T5" s="9">
        <f t="shared" si="3"/>
        <v>2.5000000000000001E-2</v>
      </c>
      <c r="U5" s="9">
        <f t="shared" si="3"/>
        <v>7.9000000000000001E-2</v>
      </c>
      <c r="V5" s="9">
        <f t="shared" si="3"/>
        <v>6.8000000000000005E-2</v>
      </c>
      <c r="W5" s="9">
        <f t="shared" si="3"/>
        <v>3.7199999999999997E-2</v>
      </c>
      <c r="X5" s="9">
        <f t="shared" si="3"/>
        <v>3.6700000000000003E-2</v>
      </c>
      <c r="Y5" s="9">
        <f t="shared" si="3"/>
        <v>3.6299999999999999E-2</v>
      </c>
    </row>
    <row r="6" spans="1:26" ht="15.6" x14ac:dyDescent="0.3">
      <c r="A6" s="7" t="s">
        <v>25</v>
      </c>
      <c r="B6" s="10">
        <f t="shared" ref="B6:L6" si="4">B39</f>
        <v>4.4499999999999998E-2</v>
      </c>
      <c r="C6" s="10">
        <f t="shared" si="4"/>
        <v>4.4999999999999998E-2</v>
      </c>
      <c r="D6" s="10">
        <f t="shared" si="4"/>
        <v>5.2499999999999998E-2</v>
      </c>
      <c r="E6" s="10">
        <f t="shared" si="4"/>
        <v>6.0499999999999998E-2</v>
      </c>
      <c r="F6" s="10">
        <f t="shared" si="4"/>
        <v>6.0999999999999999E-2</v>
      </c>
      <c r="G6" s="10">
        <f t="shared" si="4"/>
        <v>5.79E-2</v>
      </c>
      <c r="H6" s="10">
        <f t="shared" si="4"/>
        <v>5.5800000000000002E-2</v>
      </c>
      <c r="I6" s="10">
        <f t="shared" si="4"/>
        <v>5.2900000000000003E-2</v>
      </c>
      <c r="J6" s="10">
        <f t="shared" si="4"/>
        <v>5.2200000000000003E-2</v>
      </c>
      <c r="K6" s="10">
        <f t="shared" si="4"/>
        <v>5.1700000000000003E-2</v>
      </c>
      <c r="L6" s="10">
        <f t="shared" si="4"/>
        <v>5.1299999999999998E-2</v>
      </c>
      <c r="N6" s="7" t="s">
        <v>25</v>
      </c>
      <c r="O6" s="10">
        <f t="shared" ref="O6:Y6" si="5">O39</f>
        <v>4.4499999999999998E-2</v>
      </c>
      <c r="P6" s="10">
        <f t="shared" si="5"/>
        <v>4.4999999999999998E-2</v>
      </c>
      <c r="Q6" s="10">
        <f t="shared" si="5"/>
        <v>5.2499999999999998E-2</v>
      </c>
      <c r="R6" s="10">
        <f t="shared" si="5"/>
        <v>6.0499999999999998E-2</v>
      </c>
      <c r="S6" s="10">
        <f t="shared" si="5"/>
        <v>6.0999999999999999E-2</v>
      </c>
      <c r="T6" s="10">
        <f t="shared" si="5"/>
        <v>5.79E-2</v>
      </c>
      <c r="U6" s="10">
        <f t="shared" si="5"/>
        <v>5.5800000000000002E-2</v>
      </c>
      <c r="V6" s="10">
        <f t="shared" si="5"/>
        <v>5.2900000000000003E-2</v>
      </c>
      <c r="W6" s="10">
        <f t="shared" si="5"/>
        <v>5.2200000000000003E-2</v>
      </c>
      <c r="X6" s="10">
        <f t="shared" si="5"/>
        <v>5.1700000000000003E-2</v>
      </c>
      <c r="Y6" s="10">
        <f t="shared" si="5"/>
        <v>5.1299999999999998E-2</v>
      </c>
    </row>
    <row r="7" spans="1:26" ht="15.6" x14ac:dyDescent="0.3">
      <c r="A7" s="7" t="s">
        <v>26</v>
      </c>
      <c r="B7" s="10">
        <f t="shared" ref="B7:L7" si="6">B42</f>
        <v>4.0000000000000001E-3</v>
      </c>
      <c r="C7" s="10">
        <f t="shared" si="6"/>
        <v>3.0000000000000001E-3</v>
      </c>
      <c r="D7" s="10">
        <f t="shared" si="6"/>
        <v>8.0000000000000002E-3</v>
      </c>
      <c r="E7" s="10">
        <f t="shared" si="6"/>
        <v>1.9E-2</v>
      </c>
      <c r="F7" s="10">
        <f t="shared" si="6"/>
        <v>-4.7E-2</v>
      </c>
      <c r="G7" s="10">
        <f t="shared" si="6"/>
        <v>3.7999999999999999E-2</v>
      </c>
      <c r="H7" s="10">
        <f t="shared" si="6"/>
        <v>2.1499999999999998E-2</v>
      </c>
      <c r="I7" s="10">
        <f t="shared" si="6"/>
        <v>1.4999999999999999E-2</v>
      </c>
      <c r="J7" s="10">
        <f t="shared" si="6"/>
        <v>1.4999999999999999E-2</v>
      </c>
      <c r="K7" s="10">
        <f t="shared" si="6"/>
        <v>1.4999999999999999E-2</v>
      </c>
      <c r="L7" s="10">
        <f t="shared" si="6"/>
        <v>1.4999999999999999E-2</v>
      </c>
      <c r="N7" s="7" t="s">
        <v>26</v>
      </c>
      <c r="O7" s="10">
        <f t="shared" ref="O7:Y7" si="7">O42</f>
        <v>4.0000000000000001E-3</v>
      </c>
      <c r="P7" s="10">
        <f t="shared" si="7"/>
        <v>3.0000000000000001E-3</v>
      </c>
      <c r="Q7" s="10">
        <f t="shared" si="7"/>
        <v>8.0000000000000002E-3</v>
      </c>
      <c r="R7" s="10">
        <f t="shared" si="7"/>
        <v>1.7000000000000001E-2</v>
      </c>
      <c r="S7" s="10">
        <f t="shared" si="7"/>
        <v>-9.4E-2</v>
      </c>
      <c r="T7" s="10">
        <f t="shared" si="7"/>
        <v>7.5999999999999998E-2</v>
      </c>
      <c r="U7" s="10">
        <f t="shared" si="7"/>
        <v>4.2999999999999997E-2</v>
      </c>
      <c r="V7" s="10">
        <f t="shared" si="7"/>
        <v>3.0000000000000001E-3</v>
      </c>
      <c r="W7" s="10">
        <f t="shared" si="7"/>
        <v>1.4999999999999999E-2</v>
      </c>
      <c r="X7" s="10">
        <f t="shared" si="7"/>
        <v>1.4999999999999999E-2</v>
      </c>
      <c r="Y7" s="10">
        <f t="shared" si="7"/>
        <v>1.4999999999999999E-2</v>
      </c>
    </row>
    <row r="8" spans="1:26" ht="15.6" x14ac:dyDescent="0.3">
      <c r="A8" s="7" t="s">
        <v>27</v>
      </c>
      <c r="B8" s="10">
        <f t="shared" ref="B8:L8" si="8">B45/B11</f>
        <v>0.93531598513011149</v>
      </c>
      <c r="C8" s="10">
        <f t="shared" si="8"/>
        <v>0.94253774731760609</v>
      </c>
      <c r="D8" s="10">
        <f t="shared" si="8"/>
        <v>0.93991110980008208</v>
      </c>
      <c r="E8" s="10">
        <f t="shared" si="8"/>
        <v>0.9545758686825514</v>
      </c>
      <c r="F8" s="10">
        <f t="shared" si="8"/>
        <v>1.0940836716448457</v>
      </c>
      <c r="G8" s="10">
        <f t="shared" si="8"/>
        <v>1.1256776431913051</v>
      </c>
      <c r="H8" s="10">
        <f t="shared" si="8"/>
        <v>1.1783720051110205</v>
      </c>
      <c r="I8" s="10">
        <f t="shared" si="8"/>
        <v>1.2377950893556922</v>
      </c>
      <c r="J8" s="10">
        <f t="shared" si="8"/>
        <v>1.2596355578747944</v>
      </c>
      <c r="K8" s="10">
        <f t="shared" si="8"/>
        <v>1.2824014924875651</v>
      </c>
      <c r="L8" s="10">
        <f t="shared" si="8"/>
        <v>1.3044288429746358</v>
      </c>
      <c r="M8" s="55">
        <f>((L8-B8)/10)*100</f>
        <v>3.6911285784452428</v>
      </c>
      <c r="N8" s="7" t="s">
        <v>27</v>
      </c>
      <c r="O8" s="10">
        <f t="shared" ref="O8:Y8" si="9">O45/O11</f>
        <v>0.93531598513011149</v>
      </c>
      <c r="P8" s="10">
        <f t="shared" si="9"/>
        <v>0.94253774731760609</v>
      </c>
      <c r="Q8" s="10">
        <f t="shared" si="9"/>
        <v>0.93991110980008208</v>
      </c>
      <c r="R8" s="10">
        <f t="shared" si="9"/>
        <v>0.97339202763254395</v>
      </c>
      <c r="S8" s="10">
        <f t="shared" si="9"/>
        <v>1.2364006080743122</v>
      </c>
      <c r="T8" s="10">
        <f t="shared" si="9"/>
        <v>1.2532743773638604</v>
      </c>
      <c r="U8" s="10">
        <f t="shared" si="9"/>
        <v>1.2366627590288124</v>
      </c>
      <c r="V8" s="10">
        <f t="shared" si="9"/>
        <v>1.2737865797765739</v>
      </c>
      <c r="W8" s="10">
        <f t="shared" si="9"/>
        <v>1.3319522435116995</v>
      </c>
      <c r="X8" s="10">
        <f t="shared" si="9"/>
        <v>1.3544022979375774</v>
      </c>
      <c r="Y8" s="10">
        <f t="shared" si="9"/>
        <v>1.377473880896837</v>
      </c>
      <c r="Z8" s="55">
        <f>((Y8-O8)/10)*100</f>
        <v>4.4215789576672551</v>
      </c>
    </row>
    <row r="9" spans="1:26" ht="15.6" x14ac:dyDescent="0.3">
      <c r="A9" s="7" t="s">
        <v>28</v>
      </c>
      <c r="B9" s="10">
        <f t="shared" ref="B9:L9" si="10">B49</f>
        <v>5.9061338289962823E-2</v>
      </c>
      <c r="C9" s="10">
        <f t="shared" si="10"/>
        <v>4.4368917972480194E-2</v>
      </c>
      <c r="D9" s="10">
        <f t="shared" si="10"/>
        <v>7.241659893776374E-2</v>
      </c>
      <c r="E9" s="10">
        <f t="shared" si="10"/>
        <v>9.9026707111435061E-2</v>
      </c>
      <c r="F9" s="10">
        <f t="shared" si="10"/>
        <v>0.13065360414729441</v>
      </c>
      <c r="G9" s="10">
        <f t="shared" si="10"/>
        <v>0.12516424023404307</v>
      </c>
      <c r="H9" s="10">
        <f t="shared" si="10"/>
        <v>0.12490244447158777</v>
      </c>
      <c r="I9" s="10">
        <f t="shared" si="10"/>
        <v>8.7593444640166537E-2</v>
      </c>
      <c r="J9" s="10">
        <f t="shared" si="10"/>
        <v>8.9066091774377729E-2</v>
      </c>
      <c r="K9" s="10">
        <f t="shared" si="10"/>
        <v>8.8944550131669603E-2</v>
      </c>
      <c r="L9" s="10">
        <f t="shared" si="10"/>
        <v>8.896968229964386E-2</v>
      </c>
      <c r="N9" s="7" t="s">
        <v>28</v>
      </c>
      <c r="O9" s="10">
        <f t="shared" ref="O9:Y9" si="11">O49</f>
        <v>5.9061338289962823E-2</v>
      </c>
      <c r="P9" s="10">
        <f t="shared" si="11"/>
        <v>4.4368917972480194E-2</v>
      </c>
      <c r="Q9" s="10">
        <f t="shared" si="11"/>
        <v>7.241659893776374E-2</v>
      </c>
      <c r="R9" s="10">
        <f t="shared" si="11"/>
        <v>0.15915092936352598</v>
      </c>
      <c r="S9" s="10">
        <f t="shared" si="11"/>
        <v>0.14345448140329792</v>
      </c>
      <c r="T9" s="10">
        <f t="shared" si="11"/>
        <v>0.13426123826646727</v>
      </c>
      <c r="U9" s="10">
        <f t="shared" si="11"/>
        <v>0.12756266791189799</v>
      </c>
      <c r="V9" s="10">
        <f t="shared" si="11"/>
        <v>0.1276935708464364</v>
      </c>
      <c r="W9" s="10">
        <f t="shared" si="11"/>
        <v>9.2472653229250495E-2</v>
      </c>
      <c r="X9" s="10">
        <f t="shared" si="11"/>
        <v>9.3735993049267427E-2</v>
      </c>
      <c r="Y9" s="10">
        <f t="shared" si="11"/>
        <v>9.3710183570575076E-2</v>
      </c>
    </row>
    <row r="10" spans="1:26" ht="15.6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N10" s="7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6" ht="15.6" x14ac:dyDescent="0.3">
      <c r="A11" s="7" t="s">
        <v>29</v>
      </c>
      <c r="B11" s="6">
        <v>2690</v>
      </c>
      <c r="C11" s="11">
        <f t="shared" ref="C11:L11" si="12">B11*(1+C13)</f>
        <v>2837.95</v>
      </c>
      <c r="D11" s="11">
        <f t="shared" si="12"/>
        <v>2979.8474999999999</v>
      </c>
      <c r="E11" s="11">
        <f t="shared" si="12"/>
        <v>3160.1282737500001</v>
      </c>
      <c r="F11" s="11">
        <f t="shared" si="12"/>
        <v>3043.20352762125</v>
      </c>
      <c r="G11" s="11">
        <f t="shared" si="12"/>
        <v>3311.0054380519205</v>
      </c>
      <c r="H11" s="11">
        <f t="shared" si="12"/>
        <v>3514.6322724921138</v>
      </c>
      <c r="I11" s="11">
        <f t="shared" si="12"/>
        <v>3700.5563197069464</v>
      </c>
      <c r="J11" s="11">
        <f t="shared" si="12"/>
        <v>3893.725359595649</v>
      </c>
      <c r="K11" s="11">
        <f t="shared" si="12"/>
        <v>4095.0309606867445</v>
      </c>
      <c r="L11" s="11">
        <f t="shared" si="12"/>
        <v>4305.1060489699739</v>
      </c>
      <c r="N11" s="7" t="s">
        <v>29</v>
      </c>
      <c r="O11" s="6">
        <v>2690</v>
      </c>
      <c r="P11" s="11">
        <f t="shared" ref="P11:Y11" si="13">O11*(1+P13)</f>
        <v>2837.95</v>
      </c>
      <c r="Q11" s="11">
        <f t="shared" si="13"/>
        <v>2979.8474999999999</v>
      </c>
      <c r="R11" s="11">
        <f t="shared" si="13"/>
        <v>3099.0414000000001</v>
      </c>
      <c r="S11" s="11">
        <f t="shared" si="13"/>
        <v>2838.7219224</v>
      </c>
      <c r="T11" s="11">
        <f t="shared" si="13"/>
        <v>3125.4328365624001</v>
      </c>
      <c r="U11" s="11">
        <f t="shared" si="13"/>
        <v>3506.7356426230126</v>
      </c>
      <c r="V11" s="11">
        <f t="shared" si="13"/>
        <v>3755.7138732492463</v>
      </c>
      <c r="W11" s="11">
        <f t="shared" si="13"/>
        <v>3951.7621374328569</v>
      </c>
      <c r="X11" s="11">
        <f t="shared" si="13"/>
        <v>4156.0682399381358</v>
      </c>
      <c r="Y11" s="11">
        <f t="shared" si="13"/>
        <v>4369.2745406469621</v>
      </c>
    </row>
    <row r="12" spans="1:26" ht="15.6" x14ac:dyDescent="0.3">
      <c r="A12" s="7" t="s">
        <v>26</v>
      </c>
      <c r="B12" s="8">
        <v>4.0000000000000001E-3</v>
      </c>
      <c r="C12" s="10">
        <f t="shared" ref="C12:L12" si="14">C42</f>
        <v>3.0000000000000001E-3</v>
      </c>
      <c r="D12" s="10">
        <f t="shared" si="14"/>
        <v>8.0000000000000002E-3</v>
      </c>
      <c r="E12" s="10">
        <f t="shared" si="14"/>
        <v>1.9E-2</v>
      </c>
      <c r="F12" s="10">
        <f t="shared" si="14"/>
        <v>-4.7E-2</v>
      </c>
      <c r="G12" s="10">
        <f t="shared" si="14"/>
        <v>3.7999999999999999E-2</v>
      </c>
      <c r="H12" s="10">
        <f t="shared" si="14"/>
        <v>2.1499999999999998E-2</v>
      </c>
      <c r="I12" s="10">
        <f t="shared" si="14"/>
        <v>1.4999999999999999E-2</v>
      </c>
      <c r="J12" s="10">
        <f t="shared" si="14"/>
        <v>1.4999999999999999E-2</v>
      </c>
      <c r="K12" s="10">
        <f t="shared" si="14"/>
        <v>1.4999999999999999E-2</v>
      </c>
      <c r="L12" s="10">
        <f t="shared" si="14"/>
        <v>1.4999999999999999E-2</v>
      </c>
      <c r="N12" s="7" t="s">
        <v>26</v>
      </c>
      <c r="O12" s="8">
        <v>4.0000000000000001E-3</v>
      </c>
      <c r="P12" s="10">
        <f t="shared" ref="P12:Y12" si="15">P42</f>
        <v>3.0000000000000001E-3</v>
      </c>
      <c r="Q12" s="10">
        <f t="shared" si="15"/>
        <v>8.0000000000000002E-3</v>
      </c>
      <c r="R12" s="10">
        <f t="shared" si="15"/>
        <v>1.7000000000000001E-2</v>
      </c>
      <c r="S12" s="10">
        <f t="shared" si="15"/>
        <v>-9.4E-2</v>
      </c>
      <c r="T12" s="10">
        <f t="shared" si="15"/>
        <v>7.5999999999999998E-2</v>
      </c>
      <c r="U12" s="10">
        <f t="shared" si="15"/>
        <v>4.2999999999999997E-2</v>
      </c>
      <c r="V12" s="10">
        <f t="shared" si="15"/>
        <v>3.0000000000000001E-3</v>
      </c>
      <c r="W12" s="10">
        <f t="shared" si="15"/>
        <v>1.4999999999999999E-2</v>
      </c>
      <c r="X12" s="10">
        <f t="shared" si="15"/>
        <v>1.4999999999999999E-2</v>
      </c>
      <c r="Y12" s="10">
        <f t="shared" si="15"/>
        <v>1.4999999999999999E-2</v>
      </c>
    </row>
    <row r="13" spans="1:26" ht="15.6" x14ac:dyDescent="0.3">
      <c r="A13" s="7" t="s">
        <v>30</v>
      </c>
      <c r="B13" s="8">
        <f t="shared" ref="B13:L13" si="16">(B36+B12)</f>
        <v>8.3000000000000004E-2</v>
      </c>
      <c r="C13" s="8">
        <f t="shared" si="16"/>
        <v>5.5E-2</v>
      </c>
      <c r="D13" s="8">
        <f t="shared" si="16"/>
        <v>0.05</v>
      </c>
      <c r="E13" s="8">
        <f t="shared" si="16"/>
        <v>6.0499999999999998E-2</v>
      </c>
      <c r="F13" s="8">
        <f t="shared" si="16"/>
        <v>-3.6999999999999998E-2</v>
      </c>
      <c r="G13" s="8">
        <f t="shared" si="16"/>
        <v>8.7999999999999995E-2</v>
      </c>
      <c r="H13" s="8">
        <f t="shared" si="16"/>
        <v>6.1499999999999999E-2</v>
      </c>
      <c r="I13" s="8">
        <f t="shared" si="16"/>
        <v>5.2900000000000003E-2</v>
      </c>
      <c r="J13" s="8">
        <f t="shared" si="16"/>
        <v>5.2199999999999996E-2</v>
      </c>
      <c r="K13" s="8">
        <f t="shared" si="16"/>
        <v>5.1700000000000003E-2</v>
      </c>
      <c r="L13" s="8">
        <f t="shared" si="16"/>
        <v>5.1299999999999998E-2</v>
      </c>
      <c r="N13" s="7" t="s">
        <v>30</v>
      </c>
      <c r="O13" s="8">
        <f t="shared" ref="O13:Y13" si="17">(O36+O12)</f>
        <v>8.3000000000000004E-2</v>
      </c>
      <c r="P13" s="8">
        <f t="shared" si="17"/>
        <v>5.5E-2</v>
      </c>
      <c r="Q13" s="8">
        <f t="shared" si="17"/>
        <v>0.05</v>
      </c>
      <c r="R13" s="8">
        <f t="shared" si="17"/>
        <v>0.04</v>
      </c>
      <c r="S13" s="8">
        <f t="shared" si="17"/>
        <v>-8.4000000000000005E-2</v>
      </c>
      <c r="T13" s="8">
        <f t="shared" si="17"/>
        <v>0.10100000000000001</v>
      </c>
      <c r="U13" s="8">
        <f t="shared" si="17"/>
        <v>0.122</v>
      </c>
      <c r="V13" s="8">
        <f t="shared" si="17"/>
        <v>7.1000000000000008E-2</v>
      </c>
      <c r="W13" s="8">
        <f t="shared" si="17"/>
        <v>5.2199999999999996E-2</v>
      </c>
      <c r="X13" s="8">
        <f t="shared" si="17"/>
        <v>5.1700000000000003E-2</v>
      </c>
      <c r="Y13" s="8">
        <f t="shared" si="17"/>
        <v>5.1299999999999998E-2</v>
      </c>
    </row>
    <row r="14" spans="1:26" ht="15.6" x14ac:dyDescent="0.3">
      <c r="A14" s="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N14" s="7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6" ht="17.399999999999999" x14ac:dyDescent="0.35">
      <c r="A15" s="30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N15" s="30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6" ht="15.6" x14ac:dyDescent="0.3">
      <c r="A16" s="6" t="s">
        <v>32</v>
      </c>
      <c r="B16" s="11">
        <v>380.78800000000001</v>
      </c>
      <c r="C16" s="11">
        <f t="shared" ref="C16:L16" si="18">B16*1.01*(1+C5)</f>
        <v>404.59486576000006</v>
      </c>
      <c r="D16" s="11">
        <f t="shared" si="18"/>
        <v>425.80372862313925</v>
      </c>
      <c r="E16" s="11">
        <f t="shared" si="18"/>
        <v>447.9093291946096</v>
      </c>
      <c r="F16" s="11">
        <f t="shared" si="18"/>
        <v>456.91230671142125</v>
      </c>
      <c r="G16" s="11">
        <f t="shared" si="18"/>
        <v>484.55550126746226</v>
      </c>
      <c r="H16" s="11">
        <f t="shared" si="18"/>
        <v>508.97709853134239</v>
      </c>
      <c r="I16" s="11">
        <f t="shared" si="18"/>
        <v>533.55000387133714</v>
      </c>
      <c r="J16" s="11">
        <f t="shared" si="18"/>
        <v>558.93204465550434</v>
      </c>
      <c r="K16" s="11">
        <f t="shared" si="18"/>
        <v>585.2392992013049</v>
      </c>
      <c r="L16" s="11">
        <f t="shared" si="18"/>
        <v>612.54832061993534</v>
      </c>
      <c r="N16" s="6" t="s">
        <v>32</v>
      </c>
      <c r="O16" s="11">
        <v>380.78800000000001</v>
      </c>
      <c r="P16" s="11">
        <f t="shared" ref="P16:Y16" si="19">O16*1.01*(1+P5)</f>
        <v>404.59486576000006</v>
      </c>
      <c r="Q16" s="11">
        <f t="shared" si="19"/>
        <v>425.80372862313925</v>
      </c>
      <c r="R16" s="11">
        <f t="shared" si="19"/>
        <v>439.95318652528613</v>
      </c>
      <c r="S16" s="11">
        <f t="shared" si="19"/>
        <v>448.79624557444441</v>
      </c>
      <c r="T16" s="11">
        <f t="shared" si="19"/>
        <v>464.61631323094349</v>
      </c>
      <c r="U16" s="11">
        <f t="shared" si="19"/>
        <v>506.33421199594989</v>
      </c>
      <c r="V16" s="11">
        <f t="shared" si="19"/>
        <v>546.17258779579129</v>
      </c>
      <c r="W16" s="11">
        <f t="shared" si="19"/>
        <v>572.1551101424127</v>
      </c>
      <c r="X16" s="11">
        <f t="shared" si="19"/>
        <v>599.08473471148557</v>
      </c>
      <c r="Y16" s="11">
        <f t="shared" si="19"/>
        <v>627.03982568732761</v>
      </c>
    </row>
    <row r="17" spans="1:25" ht="15.6" x14ac:dyDescent="0.3">
      <c r="A17" s="6" t="s">
        <v>33</v>
      </c>
      <c r="B17" s="11">
        <v>224</v>
      </c>
      <c r="C17" s="11">
        <f>C11*(0.083)+(B17*0.0109)</f>
        <v>237.99144999999999</v>
      </c>
      <c r="D17" s="11">
        <f>D11*(0.083)+(C17*0.0109)</f>
        <v>249.92144930500001</v>
      </c>
      <c r="E17" s="11">
        <f>E11*(0.083)+(D17*0.0109)</f>
        <v>265.01479051867454</v>
      </c>
      <c r="F17" s="11">
        <f>F11*(0.12)+(E17*0.0109)</f>
        <v>368.07308453120351</v>
      </c>
      <c r="G17" s="11">
        <f>G11*(0.12)+(F17*0.0109)</f>
        <v>401.33264918762052</v>
      </c>
      <c r="H17" s="11">
        <f>H11*(0.12)+(G17*0.0109)</f>
        <v>426.13039857519868</v>
      </c>
      <c r="I17" s="11">
        <f>I11*(0.083)+(H17*0.0109)</f>
        <v>311.79099588014623</v>
      </c>
      <c r="J17" s="11">
        <f>J11*(0.083)+(I17*0.0109)</f>
        <v>326.57772670153247</v>
      </c>
      <c r="K17" s="11">
        <f>K11*(0.083)+(J17*0.0109)</f>
        <v>343.4472669580465</v>
      </c>
      <c r="L17" s="11">
        <f>L11*(0.083)+(K17*0.0109)</f>
        <v>361.06737727435058</v>
      </c>
      <c r="N17" s="6" t="s">
        <v>33</v>
      </c>
      <c r="O17" s="11">
        <v>224</v>
      </c>
      <c r="P17" s="11">
        <f>P11*(0.083)+(O17*0.0109)</f>
        <v>237.99144999999999</v>
      </c>
      <c r="Q17" s="11">
        <f>Q11*(0.083)+(P17*0.0109)</f>
        <v>249.92144930500001</v>
      </c>
      <c r="R17" s="11">
        <f>R11*(0.12)+(Q17*0.0109)</f>
        <v>374.60911179742453</v>
      </c>
      <c r="S17" s="11">
        <f>S11*(0.12)+(R17*0.0109)</f>
        <v>344.72987000659197</v>
      </c>
      <c r="T17" s="11">
        <f>T11*(0.12)+(S17*0.0109)</f>
        <v>378.80949597055985</v>
      </c>
      <c r="U17" s="11">
        <f>U11*(0.12)+(T17*0.0109)</f>
        <v>424.93730062084057</v>
      </c>
      <c r="V17" s="11">
        <f>V11*(0.12)+(U17*0.0109)</f>
        <v>455.3174813666767</v>
      </c>
      <c r="W17" s="11">
        <f>W11*(0.083)+(V17*0.0109)</f>
        <v>332.95921795382395</v>
      </c>
      <c r="X17" s="11">
        <f>X11*(0.083)+(W17*0.0109)</f>
        <v>348.58291939056198</v>
      </c>
      <c r="Y17" s="11">
        <f>Y11*(0.083)+(X17*0.0109)</f>
        <v>366.44934069505496</v>
      </c>
    </row>
    <row r="18" spans="1:25" ht="15.6" x14ac:dyDescent="0.3">
      <c r="A18" s="6" t="s">
        <v>34</v>
      </c>
      <c r="B18" s="11">
        <v>124.276</v>
      </c>
      <c r="C18" s="11">
        <v>130.46700000000001</v>
      </c>
      <c r="D18" s="11">
        <f t="shared" ref="D18:L18" si="20">D11*0.0547</f>
        <v>162.99765825</v>
      </c>
      <c r="E18" s="11">
        <f t="shared" si="20"/>
        <v>172.85901657412501</v>
      </c>
      <c r="F18" s="11">
        <f t="shared" si="20"/>
        <v>166.46323296088238</v>
      </c>
      <c r="G18" s="11">
        <f t="shared" si="20"/>
        <v>181.11199746144004</v>
      </c>
      <c r="H18" s="11">
        <f t="shared" si="20"/>
        <v>192.25038530531862</v>
      </c>
      <c r="I18" s="11">
        <f t="shared" si="20"/>
        <v>202.42043068796997</v>
      </c>
      <c r="J18" s="11">
        <f t="shared" si="20"/>
        <v>212.986777169882</v>
      </c>
      <c r="K18" s="11">
        <f t="shared" si="20"/>
        <v>223.99819354956492</v>
      </c>
      <c r="L18" s="11">
        <f t="shared" si="20"/>
        <v>235.48930087865756</v>
      </c>
      <c r="N18" s="6" t="s">
        <v>34</v>
      </c>
      <c r="O18" s="11">
        <v>124.276</v>
      </c>
      <c r="P18" s="11">
        <v>130.46700000000001</v>
      </c>
      <c r="Q18" s="11">
        <f t="shared" ref="Q18:Y18" si="21">Q11*0.0547</f>
        <v>162.99765825</v>
      </c>
      <c r="R18" s="11">
        <f t="shared" si="21"/>
        <v>169.51756458</v>
      </c>
      <c r="S18" s="11">
        <f t="shared" si="21"/>
        <v>155.27808915527999</v>
      </c>
      <c r="T18" s="11">
        <f t="shared" si="21"/>
        <v>170.96117615996329</v>
      </c>
      <c r="U18" s="11">
        <f t="shared" si="21"/>
        <v>191.8184396514788</v>
      </c>
      <c r="V18" s="11">
        <f t="shared" si="21"/>
        <v>205.43754886673378</v>
      </c>
      <c r="W18" s="11">
        <f t="shared" si="21"/>
        <v>216.16138891757726</v>
      </c>
      <c r="X18" s="11">
        <f t="shared" si="21"/>
        <v>227.33693272461602</v>
      </c>
      <c r="Y18" s="11">
        <f t="shared" si="21"/>
        <v>238.99931737338883</v>
      </c>
    </row>
    <row r="19" spans="1:25" ht="15.6" x14ac:dyDescent="0.3">
      <c r="A19" s="6" t="s">
        <v>35</v>
      </c>
      <c r="B19" s="11">
        <f>168-B30</f>
        <v>61</v>
      </c>
      <c r="C19" s="13">
        <f>B19*(1+C13)</f>
        <v>64.35499999999999</v>
      </c>
      <c r="D19" s="13">
        <f t="shared" ref="D19:L19" si="22">C19*(1+D13)</f>
        <v>67.572749999999999</v>
      </c>
      <c r="E19" s="13">
        <f t="shared" si="22"/>
        <v>71.660901374999995</v>
      </c>
      <c r="F19" s="13">
        <f t="shared" si="22"/>
        <v>69.009448024124993</v>
      </c>
      <c r="G19" s="13">
        <f t="shared" si="22"/>
        <v>75.082279450247995</v>
      </c>
      <c r="H19" s="13">
        <f t="shared" si="22"/>
        <v>79.699839636438256</v>
      </c>
      <c r="I19" s="13">
        <f t="shared" si="22"/>
        <v>83.915961153205842</v>
      </c>
      <c r="J19" s="13">
        <f t="shared" si="22"/>
        <v>88.296374325403193</v>
      </c>
      <c r="K19" s="13">
        <f t="shared" si="22"/>
        <v>92.86129687802655</v>
      </c>
      <c r="L19" s="13">
        <f t="shared" si="22"/>
        <v>97.625081407869303</v>
      </c>
      <c r="N19" s="6" t="s">
        <v>35</v>
      </c>
      <c r="O19" s="11">
        <f>168-O30</f>
        <v>61</v>
      </c>
      <c r="P19" s="13">
        <f>O19*(1+P13)</f>
        <v>64.35499999999999</v>
      </c>
      <c r="Q19" s="13">
        <f t="shared" ref="Q19:Y19" si="23">P19*(1+Q13)</f>
        <v>67.572749999999999</v>
      </c>
      <c r="R19" s="13">
        <f t="shared" si="23"/>
        <v>70.275660000000002</v>
      </c>
      <c r="S19" s="13">
        <f t="shared" si="23"/>
        <v>64.37250456000001</v>
      </c>
      <c r="T19" s="13">
        <f t="shared" si="23"/>
        <v>70.874127520560009</v>
      </c>
      <c r="U19" s="13">
        <f t="shared" si="23"/>
        <v>79.520771078068321</v>
      </c>
      <c r="V19" s="13">
        <f t="shared" si="23"/>
        <v>85.166745824611169</v>
      </c>
      <c r="W19" s="13">
        <f t="shared" si="23"/>
        <v>89.61244995665588</v>
      </c>
      <c r="X19" s="13">
        <f t="shared" si="23"/>
        <v>94.24541361941499</v>
      </c>
      <c r="Y19" s="13">
        <f t="shared" si="23"/>
        <v>99.080203338090968</v>
      </c>
    </row>
    <row r="20" spans="1:25" ht="15.6" x14ac:dyDescent="0.3">
      <c r="A20" s="6" t="s">
        <v>36</v>
      </c>
      <c r="B20" s="11">
        <v>128</v>
      </c>
      <c r="C20" s="11">
        <v>79.760000000000005</v>
      </c>
      <c r="D20" s="11">
        <f t="shared" ref="D20:L20" si="24">((D11*0.011)/27.8)*100</f>
        <v>117.90763489208631</v>
      </c>
      <c r="E20" s="11">
        <f>((E11*0.011)/27.8)*100+132.7/2</f>
        <v>191.39104680305752</v>
      </c>
      <c r="F20" s="11">
        <f t="shared" si="24"/>
        <v>120.41452807134441</v>
      </c>
      <c r="G20" s="11">
        <f t="shared" si="24"/>
        <v>131.01100654162275</v>
      </c>
      <c r="H20" s="11">
        <f t="shared" si="24"/>
        <v>139.06818344393255</v>
      </c>
      <c r="I20" s="11">
        <f>((I11*0.011)/27.8)*100</f>
        <v>146.42489034811658</v>
      </c>
      <c r="J20" s="11">
        <f t="shared" si="24"/>
        <v>154.06826962428826</v>
      </c>
      <c r="K20" s="11">
        <f t="shared" si="24"/>
        <v>162.03359916386398</v>
      </c>
      <c r="L20" s="11">
        <f t="shared" si="24"/>
        <v>170.34592280097019</v>
      </c>
      <c r="N20" s="6" t="s">
        <v>36</v>
      </c>
      <c r="O20" s="11">
        <v>128</v>
      </c>
      <c r="P20" s="11">
        <v>79.760000000000005</v>
      </c>
      <c r="Q20" s="11">
        <f t="shared" ref="Q20:Y20" si="25">((Q11*0.011)/27.8)*100</f>
        <v>117.90763489208631</v>
      </c>
      <c r="R20" s="11">
        <f>((R11*0.011)/27.8)*100+132.7</f>
        <v>255.32394028776974</v>
      </c>
      <c r="S20" s="11">
        <f t="shared" si="25"/>
        <v>112.32352930359713</v>
      </c>
      <c r="T20" s="11">
        <f t="shared" si="25"/>
        <v>123.66820576326043</v>
      </c>
      <c r="U20" s="11">
        <f t="shared" si="25"/>
        <v>138.75572686637818</v>
      </c>
      <c r="V20" s="11">
        <f t="shared" si="25"/>
        <v>148.60738347389102</v>
      </c>
      <c r="W20" s="11">
        <f t="shared" si="25"/>
        <v>156.36468889122813</v>
      </c>
      <c r="X20" s="11">
        <f t="shared" si="25"/>
        <v>164.44874330690465</v>
      </c>
      <c r="Y20" s="11">
        <f t="shared" si="25"/>
        <v>172.88496383854886</v>
      </c>
    </row>
    <row r="21" spans="1:25" ht="15.6" x14ac:dyDescent="0.3">
      <c r="A21" s="6" t="s">
        <v>37</v>
      </c>
      <c r="B21" s="10">
        <v>2.2700000000000001E-2</v>
      </c>
      <c r="C21" s="27">
        <v>2.3E-2</v>
      </c>
      <c r="D21" s="27">
        <v>2.3285714279999998E-2</v>
      </c>
      <c r="E21" s="27">
        <v>2.357142856E-2</v>
      </c>
      <c r="F21" s="27">
        <v>2.3857142839999994E-2</v>
      </c>
      <c r="G21" s="27">
        <v>2.4142857119999993E-2</v>
      </c>
      <c r="H21" s="27">
        <v>2.4428571399999991E-2</v>
      </c>
      <c r="I21" s="27">
        <v>2.4714285679999989E-2</v>
      </c>
      <c r="J21" s="27">
        <v>2.4999999959999988E-2</v>
      </c>
      <c r="K21" s="27">
        <v>2.5000000000000001E-2</v>
      </c>
      <c r="L21" s="27">
        <v>2.5000000000000001E-2</v>
      </c>
      <c r="N21" s="6" t="s">
        <v>37</v>
      </c>
      <c r="O21" s="10">
        <v>2.2700000000000001E-2</v>
      </c>
      <c r="P21" s="27">
        <v>2.3E-2</v>
      </c>
      <c r="Q21" s="27">
        <v>2.3285714279999998E-2</v>
      </c>
      <c r="R21" s="27">
        <v>2.357142856E-2</v>
      </c>
      <c r="S21" s="27">
        <v>2.3857142839999994E-2</v>
      </c>
      <c r="T21" s="27">
        <v>2.4142857119999993E-2</v>
      </c>
      <c r="U21" s="27">
        <v>2.4428571399999991E-2</v>
      </c>
      <c r="V21" s="27">
        <v>2.4714285679999989E-2</v>
      </c>
      <c r="W21" s="27">
        <v>2.4999999959999988E-2</v>
      </c>
      <c r="X21" s="27">
        <v>2.5000000000000001E-2</v>
      </c>
      <c r="Y21" s="27">
        <v>2.5000000000000001E-2</v>
      </c>
    </row>
    <row r="22" spans="1:25" ht="15.6" x14ac:dyDescent="0.3">
      <c r="A22" s="6" t="s">
        <v>38</v>
      </c>
      <c r="B22" s="11">
        <v>53</v>
      </c>
      <c r="C22" s="11">
        <f t="shared" ref="C22:L22" si="26">C11*C21</f>
        <v>65.272849999999991</v>
      </c>
      <c r="D22" s="11">
        <f t="shared" si="26"/>
        <v>69.387877482972286</v>
      </c>
      <c r="E22" s="11">
        <f t="shared" si="26"/>
        <v>74.488737845134253</v>
      </c>
      <c r="F22" s="11">
        <f t="shared" si="26"/>
        <v>72.602141249652036</v>
      </c>
      <c r="G22" s="11">
        <f t="shared" si="26"/>
        <v>79.937131214430508</v>
      </c>
      <c r="H22" s="11">
        <f t="shared" si="26"/>
        <v>85.857445413317819</v>
      </c>
      <c r="I22" s="11">
        <f t="shared" si="26"/>
        <v>91.456606060166848</v>
      </c>
      <c r="J22" s="11">
        <f t="shared" si="26"/>
        <v>97.343133834142165</v>
      </c>
      <c r="K22" s="11">
        <f t="shared" si="26"/>
        <v>102.37577401716862</v>
      </c>
      <c r="L22" s="11">
        <f t="shared" si="26"/>
        <v>107.62765122424935</v>
      </c>
      <c r="N22" s="6" t="s">
        <v>38</v>
      </c>
      <c r="O22" s="11">
        <v>53</v>
      </c>
      <c r="P22" s="11">
        <f t="shared" ref="P22:Y22" si="27">P11*P21</f>
        <v>65.272849999999991</v>
      </c>
      <c r="Q22" s="11">
        <f t="shared" si="27"/>
        <v>69.387877482972286</v>
      </c>
      <c r="R22" s="11">
        <f t="shared" si="27"/>
        <v>73.048832964582388</v>
      </c>
      <c r="S22" s="11">
        <f t="shared" si="27"/>
        <v>67.723794385736184</v>
      </c>
      <c r="T22" s="11">
        <f t="shared" si="27"/>
        <v>75.456878411282318</v>
      </c>
      <c r="U22" s="11">
        <f t="shared" si="27"/>
        <v>85.664542026741117</v>
      </c>
      <c r="V22" s="11">
        <f t="shared" si="27"/>
        <v>92.819785595821145</v>
      </c>
      <c r="W22" s="11">
        <f t="shared" si="27"/>
        <v>98.794053277750891</v>
      </c>
      <c r="X22" s="11">
        <f t="shared" si="27"/>
        <v>103.90170599845339</v>
      </c>
      <c r="Y22" s="11">
        <f t="shared" si="27"/>
        <v>109.23186351617406</v>
      </c>
    </row>
    <row r="23" spans="1:25" ht="15.6" x14ac:dyDescent="0.3">
      <c r="A23" s="6" t="s">
        <v>39</v>
      </c>
      <c r="B23" s="15">
        <v>107.81100000000001</v>
      </c>
      <c r="C23" s="11">
        <f>B23*(1+C13)</f>
        <v>113.740605</v>
      </c>
      <c r="D23" s="11">
        <f t="shared" ref="D23:L23" si="28">C23*(1+D13)</f>
        <v>119.42763525000001</v>
      </c>
      <c r="E23" s="11">
        <f t="shared" si="28"/>
        <v>126.653007182625</v>
      </c>
      <c r="F23" s="11">
        <f t="shared" si="28"/>
        <v>121.96684591686787</v>
      </c>
      <c r="G23" s="11">
        <f t="shared" si="28"/>
        <v>132.69992835755224</v>
      </c>
      <c r="H23" s="11">
        <f t="shared" si="28"/>
        <v>140.86097395154172</v>
      </c>
      <c r="I23" s="11">
        <f t="shared" si="28"/>
        <v>148.31251947357828</v>
      </c>
      <c r="J23" s="11">
        <f t="shared" si="28"/>
        <v>156.05443299009906</v>
      </c>
      <c r="K23" s="11">
        <f t="shared" si="28"/>
        <v>164.1224471756872</v>
      </c>
      <c r="L23" s="11">
        <f t="shared" si="28"/>
        <v>172.54192871579994</v>
      </c>
      <c r="N23" s="6" t="s">
        <v>39</v>
      </c>
      <c r="O23" s="15">
        <v>107.81100000000001</v>
      </c>
      <c r="P23" s="11">
        <f>O23*(1+P13)</f>
        <v>113.740605</v>
      </c>
      <c r="Q23" s="11">
        <f t="shared" ref="Q23:Y23" si="29">P23*(1+Q13)</f>
        <v>119.42763525000001</v>
      </c>
      <c r="R23" s="11">
        <f t="shared" si="29"/>
        <v>124.20474066000001</v>
      </c>
      <c r="S23" s="11">
        <f t="shared" si="29"/>
        <v>113.77154244456001</v>
      </c>
      <c r="T23" s="11">
        <f t="shared" si="29"/>
        <v>125.26246823146057</v>
      </c>
      <c r="U23" s="11">
        <f t="shared" si="29"/>
        <v>140.54448935569874</v>
      </c>
      <c r="V23" s="11">
        <f t="shared" si="29"/>
        <v>150.52314809995335</v>
      </c>
      <c r="W23" s="11">
        <f t="shared" si="29"/>
        <v>158.38045643077092</v>
      </c>
      <c r="X23" s="11">
        <f t="shared" si="29"/>
        <v>166.5687260282418</v>
      </c>
      <c r="Y23" s="11">
        <f t="shared" si="29"/>
        <v>175.1137016734906</v>
      </c>
    </row>
    <row r="24" spans="1:25" ht="15.6" x14ac:dyDescent="0.3">
      <c r="A24" s="7" t="s">
        <v>40</v>
      </c>
      <c r="B24" s="16">
        <f t="shared" ref="B24:L24" si="30">SUM(B16:B20,B22:B23)</f>
        <v>1078.875</v>
      </c>
      <c r="C24" s="16">
        <f t="shared" si="30"/>
        <v>1096.1817707600001</v>
      </c>
      <c r="D24" s="16">
        <f t="shared" si="30"/>
        <v>1213.0187338031978</v>
      </c>
      <c r="E24" s="16">
        <f t="shared" si="30"/>
        <v>1349.976829493226</v>
      </c>
      <c r="F24" s="16">
        <f t="shared" si="30"/>
        <v>1375.4415874654965</v>
      </c>
      <c r="G24" s="16">
        <f t="shared" si="30"/>
        <v>1485.7304934803763</v>
      </c>
      <c r="H24" s="16">
        <f t="shared" si="30"/>
        <v>1572.8443248570902</v>
      </c>
      <c r="I24" s="16">
        <f t="shared" si="30"/>
        <v>1517.871407474521</v>
      </c>
      <c r="J24" s="16">
        <f t="shared" si="30"/>
        <v>1594.2587593008514</v>
      </c>
      <c r="K24" s="16">
        <f t="shared" si="30"/>
        <v>1674.0778769436627</v>
      </c>
      <c r="L24" s="16">
        <f t="shared" si="30"/>
        <v>1757.2455829218322</v>
      </c>
      <c r="N24" s="7" t="s">
        <v>40</v>
      </c>
      <c r="O24" s="16">
        <f t="shared" ref="O24:Y24" si="31">SUM(O16:O20,O22:O23)</f>
        <v>1078.875</v>
      </c>
      <c r="P24" s="16">
        <f t="shared" si="31"/>
        <v>1096.1817707600001</v>
      </c>
      <c r="Q24" s="16">
        <f t="shared" si="31"/>
        <v>1213.0187338031978</v>
      </c>
      <c r="R24" s="16">
        <f t="shared" si="31"/>
        <v>1506.9330368150627</v>
      </c>
      <c r="S24" s="16">
        <f t="shared" si="31"/>
        <v>1306.9955754302098</v>
      </c>
      <c r="T24" s="16">
        <f t="shared" si="31"/>
        <v>1409.6486652880301</v>
      </c>
      <c r="U24" s="16">
        <f t="shared" si="31"/>
        <v>1567.5754815951557</v>
      </c>
      <c r="V24" s="16">
        <f t="shared" si="31"/>
        <v>1684.0446810234785</v>
      </c>
      <c r="W24" s="16">
        <f t="shared" si="31"/>
        <v>1624.4273655702195</v>
      </c>
      <c r="X24" s="16">
        <f t="shared" si="31"/>
        <v>1704.1691757796782</v>
      </c>
      <c r="Y24" s="16">
        <f t="shared" si="31"/>
        <v>1788.7992161220759</v>
      </c>
    </row>
    <row r="25" spans="1:25" ht="15.6" x14ac:dyDescent="0.3">
      <c r="A25" s="7"/>
      <c r="B25" s="17"/>
      <c r="C25" s="11"/>
      <c r="D25" s="18"/>
      <c r="E25" s="16"/>
      <c r="F25" s="16"/>
      <c r="G25" s="16"/>
      <c r="H25" s="16"/>
      <c r="I25" s="16"/>
      <c r="J25" s="16"/>
      <c r="K25" s="16"/>
      <c r="L25" s="16"/>
      <c r="N25" s="7"/>
      <c r="O25" s="17"/>
      <c r="P25" s="11"/>
      <c r="Q25" s="18"/>
      <c r="R25" s="16"/>
      <c r="S25" s="16"/>
      <c r="T25" s="16"/>
      <c r="U25" s="16"/>
      <c r="V25" s="16"/>
      <c r="W25" s="16"/>
      <c r="X25" s="16"/>
      <c r="Y25" s="16"/>
    </row>
    <row r="26" spans="1:25" ht="15.6" x14ac:dyDescent="0.3">
      <c r="A26" s="19" t="s">
        <v>41</v>
      </c>
      <c r="B26">
        <v>1027</v>
      </c>
      <c r="C26" s="11">
        <f>B26*(1+C13)</f>
        <v>1083.4849999999999</v>
      </c>
      <c r="D26" s="11">
        <f t="shared" ref="D26:L26" si="32">C26*(1+D13)</f>
        <v>1137.6592499999999</v>
      </c>
      <c r="E26" s="11">
        <f t="shared" si="32"/>
        <v>1206.4876346249998</v>
      </c>
      <c r="F26" s="11">
        <f t="shared" si="32"/>
        <v>1161.8475921438749</v>
      </c>
      <c r="G26" s="11">
        <f t="shared" si="32"/>
        <v>1264.0901802525359</v>
      </c>
      <c r="H26" s="11">
        <f t="shared" si="32"/>
        <v>1341.831726338067</v>
      </c>
      <c r="I26" s="11">
        <f t="shared" si="32"/>
        <v>1412.8146246613508</v>
      </c>
      <c r="J26" s="11">
        <f t="shared" si="32"/>
        <v>1486.5635480686733</v>
      </c>
      <c r="K26" s="11">
        <f t="shared" si="32"/>
        <v>1563.4188835038237</v>
      </c>
      <c r="L26" s="11">
        <f t="shared" si="32"/>
        <v>1643.6222722275697</v>
      </c>
      <c r="N26" s="19" t="s">
        <v>41</v>
      </c>
      <c r="O26">
        <v>1027</v>
      </c>
      <c r="P26" s="11">
        <f>O26*(1+P13)</f>
        <v>1083.4849999999999</v>
      </c>
      <c r="Q26" s="11">
        <f t="shared" ref="Q26:Y26" si="33">P26*(1+Q13)</f>
        <v>1137.6592499999999</v>
      </c>
      <c r="R26" s="11">
        <f t="shared" si="33"/>
        <v>1183.16562</v>
      </c>
      <c r="S26" s="11">
        <f t="shared" si="33"/>
        <v>1083.77970792</v>
      </c>
      <c r="T26" s="11">
        <f t="shared" si="33"/>
        <v>1193.24145841992</v>
      </c>
      <c r="U26" s="11">
        <f t="shared" si="33"/>
        <v>1338.8169163471503</v>
      </c>
      <c r="V26" s="11">
        <f t="shared" si="33"/>
        <v>1433.8729174077978</v>
      </c>
      <c r="W26" s="11">
        <f t="shared" si="33"/>
        <v>1508.7210836964848</v>
      </c>
      <c r="X26" s="11">
        <f t="shared" si="33"/>
        <v>1586.7219637235933</v>
      </c>
      <c r="Y26" s="11">
        <f t="shared" si="33"/>
        <v>1668.1208004626135</v>
      </c>
    </row>
    <row r="27" spans="1:25" ht="15.6" x14ac:dyDescent="0.3">
      <c r="A27" s="31" t="s">
        <v>42</v>
      </c>
      <c r="B27" s="20">
        <f t="shared" ref="B27:L27" si="34">B26</f>
        <v>1027</v>
      </c>
      <c r="C27" s="20">
        <f t="shared" si="34"/>
        <v>1083.4849999999999</v>
      </c>
      <c r="D27" s="21">
        <f t="shared" si="34"/>
        <v>1137.6592499999999</v>
      </c>
      <c r="E27" s="21">
        <f t="shared" si="34"/>
        <v>1206.4876346249998</v>
      </c>
      <c r="F27" s="21">
        <f t="shared" si="34"/>
        <v>1161.8475921438749</v>
      </c>
      <c r="G27" s="22">
        <f t="shared" si="34"/>
        <v>1264.0901802525359</v>
      </c>
      <c r="H27" s="21">
        <f t="shared" si="34"/>
        <v>1341.831726338067</v>
      </c>
      <c r="I27" s="21">
        <f t="shared" si="34"/>
        <v>1412.8146246613508</v>
      </c>
      <c r="J27" s="21">
        <f t="shared" si="34"/>
        <v>1486.5635480686733</v>
      </c>
      <c r="K27" s="21">
        <f t="shared" si="34"/>
        <v>1563.4188835038237</v>
      </c>
      <c r="L27" s="21">
        <f t="shared" si="34"/>
        <v>1643.6222722275697</v>
      </c>
      <c r="N27" s="31" t="s">
        <v>42</v>
      </c>
      <c r="O27" s="20">
        <f t="shared" ref="O27:Y27" si="35">O26</f>
        <v>1027</v>
      </c>
      <c r="P27" s="20">
        <f t="shared" si="35"/>
        <v>1083.4849999999999</v>
      </c>
      <c r="Q27" s="21">
        <f t="shared" si="35"/>
        <v>1137.6592499999999</v>
      </c>
      <c r="R27" s="21">
        <f t="shared" si="35"/>
        <v>1183.16562</v>
      </c>
      <c r="S27" s="21">
        <f t="shared" si="35"/>
        <v>1083.77970792</v>
      </c>
      <c r="T27" s="22">
        <f t="shared" si="35"/>
        <v>1193.24145841992</v>
      </c>
      <c r="U27" s="21">
        <f t="shared" si="35"/>
        <v>1338.8169163471503</v>
      </c>
      <c r="V27" s="21">
        <f t="shared" si="35"/>
        <v>1433.8729174077978</v>
      </c>
      <c r="W27" s="21">
        <f t="shared" si="35"/>
        <v>1508.7210836964848</v>
      </c>
      <c r="X27" s="21">
        <f t="shared" si="35"/>
        <v>1586.7219637235933</v>
      </c>
      <c r="Y27" s="21">
        <f t="shared" si="35"/>
        <v>1668.1208004626135</v>
      </c>
    </row>
    <row r="28" spans="1:25" ht="15.6" x14ac:dyDescent="0.3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N28" s="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5.6" x14ac:dyDescent="0.3">
      <c r="A29" s="6" t="s">
        <v>43</v>
      </c>
      <c r="B29" s="23">
        <v>107</v>
      </c>
      <c r="C29" s="23">
        <f t="shared" ref="C29:L29" si="36">(B45*C39)</f>
        <v>113.22</v>
      </c>
      <c r="D29" s="23">
        <f t="shared" si="36"/>
        <v>140.4309375</v>
      </c>
      <c r="E29" s="23">
        <f t="shared" si="36"/>
        <v>169.44790213098</v>
      </c>
      <c r="F29" s="23">
        <f t="shared" si="36"/>
        <v>184.01151371585507</v>
      </c>
      <c r="G29" s="23">
        <f t="shared" si="36"/>
        <v>192.77916683671319</v>
      </c>
      <c r="H29" s="23">
        <f t="shared" si="36"/>
        <v>207.97356373397335</v>
      </c>
      <c r="I29" s="23">
        <f t="shared" si="36"/>
        <v>219.08769231489859</v>
      </c>
      <c r="J29" s="23">
        <f t="shared" si="36"/>
        <v>239.10368898978993</v>
      </c>
      <c r="K29" s="23">
        <f t="shared" si="36"/>
        <v>253.57169313370235</v>
      </c>
      <c r="L29" s="23">
        <f t="shared" si="36"/>
        <v>269.4006067488711</v>
      </c>
      <c r="N29" s="6" t="s">
        <v>43</v>
      </c>
      <c r="O29" s="23">
        <v>107</v>
      </c>
      <c r="P29" s="23">
        <f t="shared" ref="P29:Y29" si="37">(O45*P39)</f>
        <v>113.22</v>
      </c>
      <c r="Q29" s="23">
        <f t="shared" si="37"/>
        <v>140.4309375</v>
      </c>
      <c r="R29" s="23">
        <f t="shared" si="37"/>
        <v>169.44790213098</v>
      </c>
      <c r="S29" s="23">
        <f t="shared" si="37"/>
        <v>184.01151371585507</v>
      </c>
      <c r="T29" s="23">
        <f t="shared" si="37"/>
        <v>203.21727588743502</v>
      </c>
      <c r="U29" s="23">
        <f t="shared" si="37"/>
        <v>218.56998898673007</v>
      </c>
      <c r="V29" s="23">
        <f t="shared" si="37"/>
        <v>229.40875193701601</v>
      </c>
      <c r="W29" s="23">
        <f t="shared" si="37"/>
        <v>249.7236479055756</v>
      </c>
      <c r="X29" s="23">
        <f t="shared" si="37"/>
        <v>272.12597159503724</v>
      </c>
      <c r="Y29" s="23">
        <f t="shared" si="37"/>
        <v>288.76710361480451</v>
      </c>
    </row>
    <row r="30" spans="1:25" ht="15.6" x14ac:dyDescent="0.3">
      <c r="A30" s="7" t="s">
        <v>44</v>
      </c>
      <c r="B30" s="23">
        <f t="shared" ref="B30:L30" si="38">(B29)</f>
        <v>107</v>
      </c>
      <c r="C30" s="23">
        <f t="shared" si="38"/>
        <v>113.22</v>
      </c>
      <c r="D30" s="23">
        <f t="shared" si="38"/>
        <v>140.4309375</v>
      </c>
      <c r="E30" s="23">
        <f t="shared" si="38"/>
        <v>169.44790213098</v>
      </c>
      <c r="F30" s="23">
        <f t="shared" si="38"/>
        <v>184.01151371585507</v>
      </c>
      <c r="G30" s="23">
        <f t="shared" si="38"/>
        <v>192.77916683671319</v>
      </c>
      <c r="H30" s="23">
        <f t="shared" si="38"/>
        <v>207.97356373397335</v>
      </c>
      <c r="I30" s="23">
        <f t="shared" si="38"/>
        <v>219.08769231489859</v>
      </c>
      <c r="J30" s="23">
        <f t="shared" si="38"/>
        <v>239.10368898978993</v>
      </c>
      <c r="K30" s="23">
        <f t="shared" si="38"/>
        <v>253.57169313370235</v>
      </c>
      <c r="L30" s="23">
        <f t="shared" si="38"/>
        <v>269.4006067488711</v>
      </c>
      <c r="N30" s="7" t="s">
        <v>44</v>
      </c>
      <c r="O30" s="23">
        <f t="shared" ref="O30:Y30" si="39">(O29)</f>
        <v>107</v>
      </c>
      <c r="P30" s="23">
        <f t="shared" si="39"/>
        <v>113.22</v>
      </c>
      <c r="Q30" s="23">
        <f t="shared" si="39"/>
        <v>140.4309375</v>
      </c>
      <c r="R30" s="23">
        <f t="shared" si="39"/>
        <v>169.44790213098</v>
      </c>
      <c r="S30" s="23">
        <f t="shared" si="39"/>
        <v>184.01151371585507</v>
      </c>
      <c r="T30" s="23">
        <f t="shared" si="39"/>
        <v>203.21727588743502</v>
      </c>
      <c r="U30" s="23">
        <f t="shared" si="39"/>
        <v>218.56998898673007</v>
      </c>
      <c r="V30" s="23">
        <f t="shared" si="39"/>
        <v>229.40875193701601</v>
      </c>
      <c r="W30" s="23">
        <f t="shared" si="39"/>
        <v>249.7236479055756</v>
      </c>
      <c r="X30" s="23">
        <f t="shared" si="39"/>
        <v>272.12597159503724</v>
      </c>
      <c r="Y30" s="23">
        <f t="shared" si="39"/>
        <v>288.76710361480451</v>
      </c>
    </row>
    <row r="31" spans="1:25" ht="15.6" x14ac:dyDescent="0.3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N31" s="7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5.6" x14ac:dyDescent="0.3">
      <c r="A32" s="6" t="s">
        <v>45</v>
      </c>
      <c r="B32" s="17">
        <f t="shared" ref="B32:L32" si="40">B24-B27</f>
        <v>51.875</v>
      </c>
      <c r="C32" s="17">
        <f t="shared" si="40"/>
        <v>12.696770760000163</v>
      </c>
      <c r="D32" s="17">
        <f t="shared" si="40"/>
        <v>75.359483803197918</v>
      </c>
      <c r="E32" s="17">
        <f t="shared" si="40"/>
        <v>143.48919486822615</v>
      </c>
      <c r="F32" s="17">
        <f t="shared" si="40"/>
        <v>213.59399532162161</v>
      </c>
      <c r="G32" s="17">
        <f t="shared" si="40"/>
        <v>221.64031322784035</v>
      </c>
      <c r="H32" s="17">
        <f t="shared" si="40"/>
        <v>231.01259851902319</v>
      </c>
      <c r="I32" s="17">
        <f t="shared" si="40"/>
        <v>105.05678281317023</v>
      </c>
      <c r="J32" s="17">
        <f t="shared" si="40"/>
        <v>107.69521123217805</v>
      </c>
      <c r="K32" s="17">
        <f t="shared" si="40"/>
        <v>110.65899343983892</v>
      </c>
      <c r="L32" s="17">
        <f t="shared" si="40"/>
        <v>113.6233106942625</v>
      </c>
      <c r="N32" s="6" t="s">
        <v>45</v>
      </c>
      <c r="O32" s="17">
        <f t="shared" ref="O32:Y32" si="41">O24-O27</f>
        <v>51.875</v>
      </c>
      <c r="P32" s="17">
        <f t="shared" si="41"/>
        <v>12.696770760000163</v>
      </c>
      <c r="Q32" s="17">
        <f t="shared" si="41"/>
        <v>75.359483803197918</v>
      </c>
      <c r="R32" s="17">
        <f t="shared" si="41"/>
        <v>323.76741681506269</v>
      </c>
      <c r="S32" s="17">
        <f t="shared" si="41"/>
        <v>223.21586751020982</v>
      </c>
      <c r="T32" s="17">
        <f t="shared" si="41"/>
        <v>216.40720686811005</v>
      </c>
      <c r="U32" s="17">
        <f t="shared" si="41"/>
        <v>228.75856524800543</v>
      </c>
      <c r="V32" s="17">
        <f t="shared" si="41"/>
        <v>250.17176361568067</v>
      </c>
      <c r="W32" s="17">
        <f t="shared" si="41"/>
        <v>115.70628187373472</v>
      </c>
      <c r="X32" s="17">
        <f t="shared" si="41"/>
        <v>117.44721205608494</v>
      </c>
      <c r="Y32" s="17">
        <f t="shared" si="41"/>
        <v>120.67841565946242</v>
      </c>
    </row>
    <row r="33" spans="1:25" ht="15.6" x14ac:dyDescent="0.3">
      <c r="A33" s="7" t="s">
        <v>46</v>
      </c>
      <c r="B33" s="24">
        <f t="shared" ref="B33:L33" si="42">(B32/B11)</f>
        <v>1.9284386617100371E-2</v>
      </c>
      <c r="C33" s="24">
        <f t="shared" si="42"/>
        <v>4.473923346077332E-3</v>
      </c>
      <c r="D33" s="24">
        <f t="shared" si="42"/>
        <v>2.5289711571883436E-2</v>
      </c>
      <c r="E33" s="24">
        <f t="shared" si="42"/>
        <v>4.5406129890402568E-2</v>
      </c>
      <c r="F33" s="24">
        <f t="shared" si="42"/>
        <v>7.0187219942065282E-2</v>
      </c>
      <c r="G33" s="24">
        <f t="shared" si="42"/>
        <v>6.6940486016913867E-2</v>
      </c>
      <c r="H33" s="24">
        <f t="shared" si="42"/>
        <v>6.5728810472459334E-2</v>
      </c>
      <c r="I33" s="24">
        <f t="shared" si="42"/>
        <v>2.838945654027767E-2</v>
      </c>
      <c r="J33" s="24">
        <f t="shared" si="42"/>
        <v>2.765865624466176E-2</v>
      </c>
      <c r="K33" s="24">
        <f t="shared" si="42"/>
        <v>2.7022748912570175E-2</v>
      </c>
      <c r="L33" s="24">
        <f t="shared" si="42"/>
        <v>2.6392685662516409E-2</v>
      </c>
      <c r="N33" s="7" t="s">
        <v>46</v>
      </c>
      <c r="O33" s="24">
        <f t="shared" ref="O33:Y33" si="43">(O32/O11)</f>
        <v>1.9284386617100371E-2</v>
      </c>
      <c r="P33" s="24">
        <f t="shared" si="43"/>
        <v>4.473923346077332E-3</v>
      </c>
      <c r="Q33" s="24">
        <f t="shared" si="43"/>
        <v>2.5289711571883436E-2</v>
      </c>
      <c r="R33" s="24">
        <f t="shared" si="43"/>
        <v>0.10447340807227121</v>
      </c>
      <c r="S33" s="24">
        <f t="shared" si="43"/>
        <v>7.8632523231261686E-2</v>
      </c>
      <c r="T33" s="24">
        <f t="shared" si="43"/>
        <v>6.9240715825502092E-2</v>
      </c>
      <c r="U33" s="24">
        <f t="shared" si="43"/>
        <v>6.5234049144604386E-2</v>
      </c>
      <c r="V33" s="24">
        <f t="shared" si="43"/>
        <v>6.661097518572287E-2</v>
      </c>
      <c r="W33" s="24">
        <f t="shared" si="43"/>
        <v>2.9279667614027959E-2</v>
      </c>
      <c r="X33" s="24">
        <f t="shared" si="43"/>
        <v>2.8259211657658722E-2</v>
      </c>
      <c r="Y33" s="24">
        <f t="shared" si="43"/>
        <v>2.7619783224149028E-2</v>
      </c>
    </row>
    <row r="34" spans="1:25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5.6" x14ac:dyDescent="0.3">
      <c r="A35" s="26" t="s">
        <v>47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N35" s="26" t="s">
        <v>47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5.6" x14ac:dyDescent="0.3">
      <c r="A36" s="23" t="s">
        <v>48</v>
      </c>
      <c r="B36" s="24">
        <v>7.9000000000000001E-2</v>
      </c>
      <c r="C36" s="10">
        <v>5.1999999999999998E-2</v>
      </c>
      <c r="D36" s="10">
        <v>4.2000000000000003E-2</v>
      </c>
      <c r="E36" s="10">
        <v>4.1500000000000002E-2</v>
      </c>
      <c r="F36" s="10">
        <v>0.01</v>
      </c>
      <c r="G36" s="10">
        <v>0.05</v>
      </c>
      <c r="H36" s="10">
        <v>0.04</v>
      </c>
      <c r="I36" s="10">
        <v>3.7900000000000003E-2</v>
      </c>
      <c r="J36" s="10">
        <v>3.7199999999999997E-2</v>
      </c>
      <c r="K36" s="10">
        <v>3.6700000000000003E-2</v>
      </c>
      <c r="L36" s="10">
        <v>3.6299999999999999E-2</v>
      </c>
      <c r="N36" s="23" t="s">
        <v>48</v>
      </c>
      <c r="O36" s="24">
        <v>7.9000000000000001E-2</v>
      </c>
      <c r="P36" s="10">
        <v>5.1999999999999998E-2</v>
      </c>
      <c r="Q36" s="10">
        <v>4.2000000000000003E-2</v>
      </c>
      <c r="R36" s="10">
        <v>2.3E-2</v>
      </c>
      <c r="S36" s="10">
        <v>0.01</v>
      </c>
      <c r="T36" s="10">
        <v>2.5000000000000001E-2</v>
      </c>
      <c r="U36" s="10">
        <v>7.9000000000000001E-2</v>
      </c>
      <c r="V36" s="10">
        <v>6.8000000000000005E-2</v>
      </c>
      <c r="W36" s="10">
        <v>3.7199999999999997E-2</v>
      </c>
      <c r="X36" s="10">
        <v>3.6700000000000003E-2</v>
      </c>
      <c r="Y36" s="10">
        <v>3.6299999999999999E-2</v>
      </c>
    </row>
    <row r="37" spans="1:25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6" x14ac:dyDescent="0.3">
      <c r="A38" s="26" t="s">
        <v>49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N38" s="26" t="s">
        <v>49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x14ac:dyDescent="0.3">
      <c r="A39" s="23" t="s">
        <v>25</v>
      </c>
      <c r="B39" s="24">
        <v>4.4499999999999998E-2</v>
      </c>
      <c r="C39" s="24">
        <v>4.4999999999999998E-2</v>
      </c>
      <c r="D39" s="24">
        <v>5.2499999999999998E-2</v>
      </c>
      <c r="E39" s="24">
        <v>6.0499999999999998E-2</v>
      </c>
      <c r="F39" s="24">
        <v>6.0999999999999999E-2</v>
      </c>
      <c r="G39" s="24">
        <v>5.79E-2</v>
      </c>
      <c r="H39" s="24">
        <v>5.5800000000000002E-2</v>
      </c>
      <c r="I39" s="24">
        <v>5.2900000000000003E-2</v>
      </c>
      <c r="J39" s="24">
        <v>5.2200000000000003E-2</v>
      </c>
      <c r="K39" s="24">
        <v>5.1700000000000003E-2</v>
      </c>
      <c r="L39" s="24">
        <v>5.1299999999999998E-2</v>
      </c>
      <c r="N39" s="23" t="s">
        <v>25</v>
      </c>
      <c r="O39" s="24">
        <v>4.4499999999999998E-2</v>
      </c>
      <c r="P39" s="24">
        <v>4.4999999999999998E-2</v>
      </c>
      <c r="Q39" s="24">
        <v>5.2499999999999998E-2</v>
      </c>
      <c r="R39" s="24">
        <v>6.0499999999999998E-2</v>
      </c>
      <c r="S39" s="24">
        <v>6.0999999999999999E-2</v>
      </c>
      <c r="T39" s="24">
        <v>5.79E-2</v>
      </c>
      <c r="U39" s="24">
        <v>5.5800000000000002E-2</v>
      </c>
      <c r="V39" s="24">
        <v>5.2900000000000003E-2</v>
      </c>
      <c r="W39" s="24">
        <v>5.2200000000000003E-2</v>
      </c>
      <c r="X39" s="24">
        <v>5.1700000000000003E-2</v>
      </c>
      <c r="Y39" s="24">
        <v>5.1299999999999998E-2</v>
      </c>
    </row>
    <row r="40" spans="1:25" x14ac:dyDescent="0.3">
      <c r="A40" s="25"/>
      <c r="B40" s="28"/>
      <c r="C40" s="23"/>
      <c r="D40" s="23"/>
      <c r="E40" s="23"/>
      <c r="F40" s="23"/>
      <c r="G40" s="23"/>
      <c r="H40" s="23"/>
      <c r="I40" s="23"/>
      <c r="J40" s="23"/>
      <c r="K40" s="23"/>
      <c r="L40" s="23"/>
      <c r="N40" s="28"/>
      <c r="O40" s="28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5.6" x14ac:dyDescent="0.3">
      <c r="A41" s="26" t="s">
        <v>50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N41" s="26" t="s">
        <v>50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5.6" x14ac:dyDescent="0.3">
      <c r="A42" s="23" t="s">
        <v>51</v>
      </c>
      <c r="B42" s="8">
        <v>4.0000000000000001E-3</v>
      </c>
      <c r="C42" s="10">
        <v>3.0000000000000001E-3</v>
      </c>
      <c r="D42" s="10">
        <v>8.0000000000000002E-3</v>
      </c>
      <c r="E42" s="10">
        <v>1.9E-2</v>
      </c>
      <c r="F42" s="10">
        <v>-4.7E-2</v>
      </c>
      <c r="G42" s="10">
        <v>3.7999999999999999E-2</v>
      </c>
      <c r="H42" s="10">
        <v>2.1499999999999998E-2</v>
      </c>
      <c r="I42" s="10">
        <v>1.4999999999999999E-2</v>
      </c>
      <c r="J42" s="10">
        <v>1.4999999999999999E-2</v>
      </c>
      <c r="K42" s="10">
        <v>1.4999999999999999E-2</v>
      </c>
      <c r="L42" s="10">
        <v>1.4999999999999999E-2</v>
      </c>
      <c r="N42" s="23" t="s">
        <v>51</v>
      </c>
      <c r="O42" s="8">
        <v>4.0000000000000001E-3</v>
      </c>
      <c r="P42" s="10">
        <v>3.0000000000000001E-3</v>
      </c>
      <c r="Q42" s="10">
        <v>8.0000000000000002E-3</v>
      </c>
      <c r="R42" s="10">
        <v>1.7000000000000001E-2</v>
      </c>
      <c r="S42" s="10">
        <v>-9.4E-2</v>
      </c>
      <c r="T42" s="10">
        <v>7.5999999999999998E-2</v>
      </c>
      <c r="U42" s="10">
        <v>4.2999999999999997E-2</v>
      </c>
      <c r="V42" s="10">
        <v>3.0000000000000001E-3</v>
      </c>
      <c r="W42" s="10">
        <v>1.4999999999999999E-2</v>
      </c>
      <c r="X42" s="10">
        <v>1.4999999999999999E-2</v>
      </c>
      <c r="Y42" s="10">
        <v>1.4999999999999999E-2</v>
      </c>
    </row>
    <row r="43" spans="1:25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6" x14ac:dyDescent="0.3">
      <c r="A44" s="26" t="s">
        <v>52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N44" s="26" t="s">
        <v>52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x14ac:dyDescent="0.3">
      <c r="A45" s="23" t="s">
        <v>53</v>
      </c>
      <c r="B45" s="17">
        <v>2516</v>
      </c>
      <c r="C45" s="17">
        <f t="shared" ref="C45:L45" si="44">B45+B48</f>
        <v>2674.875</v>
      </c>
      <c r="D45" s="17">
        <f t="shared" si="44"/>
        <v>2800.79177076</v>
      </c>
      <c r="E45" s="17">
        <f t="shared" si="44"/>
        <v>3016.5821920631979</v>
      </c>
      <c r="F45" s="17">
        <f t="shared" si="44"/>
        <v>3329.5192890624039</v>
      </c>
      <c r="G45" s="17">
        <f t="shared" si="44"/>
        <v>3727.1247980998805</v>
      </c>
      <c r="H45" s="17">
        <f t="shared" si="44"/>
        <v>4141.5442781644342</v>
      </c>
      <c r="I45" s="17">
        <f t="shared" si="44"/>
        <v>4580.5304404174312</v>
      </c>
      <c r="J45" s="17">
        <f t="shared" si="44"/>
        <v>4904.6749155455</v>
      </c>
      <c r="K45" s="17">
        <f t="shared" si="44"/>
        <v>5251.4738157674683</v>
      </c>
      <c r="L45" s="17">
        <f t="shared" si="44"/>
        <v>5615.7045023410092</v>
      </c>
      <c r="N45" s="23" t="s">
        <v>53</v>
      </c>
      <c r="O45" s="17">
        <v>2516</v>
      </c>
      <c r="P45" s="17">
        <f t="shared" ref="P45:Y45" si="45">O45+O48</f>
        <v>2674.875</v>
      </c>
      <c r="Q45" s="17">
        <f t="shared" si="45"/>
        <v>2800.79177076</v>
      </c>
      <c r="R45" s="17">
        <f t="shared" si="45"/>
        <v>3016.5821920631979</v>
      </c>
      <c r="S45" s="17">
        <f t="shared" si="45"/>
        <v>3509.7975110092407</v>
      </c>
      <c r="T45" s="17">
        <f t="shared" si="45"/>
        <v>3917.0248922353057</v>
      </c>
      <c r="U45" s="17">
        <f t="shared" si="45"/>
        <v>4336.6493749908504</v>
      </c>
      <c r="V45" s="17">
        <f t="shared" si="45"/>
        <v>4783.9779292255862</v>
      </c>
      <c r="W45" s="17">
        <f t="shared" si="45"/>
        <v>5263.558444778283</v>
      </c>
      <c r="X45" s="17">
        <f t="shared" si="45"/>
        <v>5628.9883745575935</v>
      </c>
      <c r="Y45" s="17">
        <f t="shared" si="45"/>
        <v>6018.5615582087157</v>
      </c>
    </row>
    <row r="46" spans="1:25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6" x14ac:dyDescent="0.3">
      <c r="A47" s="26" t="s">
        <v>54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N47" s="26" t="s">
        <v>54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x14ac:dyDescent="0.3">
      <c r="A48" s="23" t="s">
        <v>55</v>
      </c>
      <c r="B48" s="17">
        <f t="shared" ref="B48:L48" si="46">B24-B27+B30</f>
        <v>158.875</v>
      </c>
      <c r="C48" s="17">
        <f t="shared" si="46"/>
        <v>125.91677076000016</v>
      </c>
      <c r="D48" s="17">
        <f t="shared" si="46"/>
        <v>215.79042130319792</v>
      </c>
      <c r="E48" s="17">
        <f t="shared" si="46"/>
        <v>312.93709699920612</v>
      </c>
      <c r="F48" s="17">
        <f t="shared" si="46"/>
        <v>397.60550903747668</v>
      </c>
      <c r="G48" s="17">
        <f t="shared" si="46"/>
        <v>414.41948006455357</v>
      </c>
      <c r="H48" s="17">
        <f t="shared" si="46"/>
        <v>438.98616225299656</v>
      </c>
      <c r="I48" s="17">
        <f t="shared" si="46"/>
        <v>324.14447512806885</v>
      </c>
      <c r="J48" s="17">
        <f t="shared" si="46"/>
        <v>346.79890022196798</v>
      </c>
      <c r="K48" s="17">
        <f t="shared" si="46"/>
        <v>364.23068657354128</v>
      </c>
      <c r="L48" s="17">
        <f t="shared" si="46"/>
        <v>383.0239174431336</v>
      </c>
      <c r="N48" s="23" t="s">
        <v>55</v>
      </c>
      <c r="O48" s="17">
        <f t="shared" ref="O48:Y48" si="47">O24-O27+O30</f>
        <v>158.875</v>
      </c>
      <c r="P48" s="17">
        <f t="shared" si="47"/>
        <v>125.91677076000016</v>
      </c>
      <c r="Q48" s="17">
        <f t="shared" si="47"/>
        <v>215.79042130319792</v>
      </c>
      <c r="R48" s="17">
        <f t="shared" si="47"/>
        <v>493.21531894604266</v>
      </c>
      <c r="S48" s="17">
        <f t="shared" si="47"/>
        <v>407.22738122606489</v>
      </c>
      <c r="T48" s="17">
        <f t="shared" si="47"/>
        <v>419.62448275554505</v>
      </c>
      <c r="U48" s="17">
        <f t="shared" si="47"/>
        <v>447.32855423473552</v>
      </c>
      <c r="V48" s="17">
        <f t="shared" si="47"/>
        <v>479.58051555269668</v>
      </c>
      <c r="W48" s="17">
        <f t="shared" si="47"/>
        <v>365.42992977931033</v>
      </c>
      <c r="X48" s="17">
        <f t="shared" si="47"/>
        <v>389.57318365112218</v>
      </c>
      <c r="Y48" s="17">
        <f t="shared" si="47"/>
        <v>409.44551927426693</v>
      </c>
    </row>
    <row r="49" spans="1:25" ht="15.6" x14ac:dyDescent="0.3">
      <c r="A49" s="26" t="s">
        <v>56</v>
      </c>
      <c r="B49" s="24">
        <f t="shared" ref="B49:L49" si="48">B48/B11</f>
        <v>5.9061338289962823E-2</v>
      </c>
      <c r="C49" s="24">
        <f t="shared" si="48"/>
        <v>4.4368917972480194E-2</v>
      </c>
      <c r="D49" s="24">
        <f t="shared" si="48"/>
        <v>7.241659893776374E-2</v>
      </c>
      <c r="E49" s="24">
        <f t="shared" si="48"/>
        <v>9.9026707111435061E-2</v>
      </c>
      <c r="F49" s="24">
        <f t="shared" si="48"/>
        <v>0.13065360414729441</v>
      </c>
      <c r="G49" s="24">
        <f t="shared" si="48"/>
        <v>0.12516424023404307</v>
      </c>
      <c r="H49" s="24">
        <f t="shared" si="48"/>
        <v>0.12490244447158777</v>
      </c>
      <c r="I49" s="24">
        <f t="shared" si="48"/>
        <v>8.7593444640166537E-2</v>
      </c>
      <c r="J49" s="24">
        <f t="shared" si="48"/>
        <v>8.9066091774377729E-2</v>
      </c>
      <c r="K49" s="24">
        <f t="shared" si="48"/>
        <v>8.8944550131669603E-2</v>
      </c>
      <c r="L49" s="24">
        <f t="shared" si="48"/>
        <v>8.896968229964386E-2</v>
      </c>
      <c r="N49" s="26" t="s">
        <v>56</v>
      </c>
      <c r="O49" s="24">
        <f t="shared" ref="O49:Y49" si="49">O48/O11</f>
        <v>5.9061338289962823E-2</v>
      </c>
      <c r="P49" s="24">
        <f t="shared" si="49"/>
        <v>4.4368917972480194E-2</v>
      </c>
      <c r="Q49" s="24">
        <f t="shared" si="49"/>
        <v>7.241659893776374E-2</v>
      </c>
      <c r="R49" s="24">
        <f t="shared" si="49"/>
        <v>0.15915092936352598</v>
      </c>
      <c r="S49" s="24">
        <f t="shared" si="49"/>
        <v>0.14345448140329792</v>
      </c>
      <c r="T49" s="24">
        <f t="shared" si="49"/>
        <v>0.13426123826646727</v>
      </c>
      <c r="U49" s="24">
        <f t="shared" si="49"/>
        <v>0.12756266791189799</v>
      </c>
      <c r="V49" s="24">
        <f t="shared" si="49"/>
        <v>0.1276935708464364</v>
      </c>
      <c r="W49" s="24">
        <f t="shared" si="49"/>
        <v>9.2472653229250495E-2</v>
      </c>
      <c r="X49" s="24">
        <f t="shared" si="49"/>
        <v>9.3735993049267427E-2</v>
      </c>
      <c r="Y49" s="24">
        <f t="shared" si="49"/>
        <v>9.3710183570575076E-2</v>
      </c>
    </row>
  </sheetData>
  <mergeCells count="2">
    <mergeCell ref="A1:L1"/>
    <mergeCell ref="N1:Y1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G G 9 W H d H l T G n A A A A 9 w A A A B I A H A B D b 2 5 m a W c v U G F j a 2 F n Z S 5 4 b W w g o h g A K K A U A A A A A A A A A A A A A A A A A A A A A A A A A A A A h Y + x C s I w G I R f p W R v k k Y q U t I U d H C x I A j i G t L Y B t u / 0 q S m 7 + b g I / k K V r T q 5 n h 3 3 8 H d / X r j 2 d D U w U V 3 1 r S Q o g h T F G h Q b W G g T F H v j u E C Z Y J v p T r J U g c j D D Y Z r E l R 5 d w 5 I c R 7 j / 0 M t 1 1 J G K U R O e S b n a p 0 I 0 M D 1 k l Q G n 1 a x f 8 W E n z / G i M Y j h j F c T y P M e V k c n l u 4 E u w c f A z / T H 5 q q 9 d 3 2 m h I V w v O Z k k J + 8 T 4 g F Q S w M E F A A C A A g A J G G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h v V g o i k e 4 D g A A A B E A A A A T A B w A R m 9 y b X V s Y X M v U 2 V j d G l v b j E u b S C i G A A o o B Q A A A A A A A A A A A A A A A A A A A A A A A A A A A A r T k 0 u y c z P U w i G 0 I b W A F B L A Q I t A B Q A A g A I A C R h v V h 3 R 5 U x p w A A A P c A A A A S A A A A A A A A A A A A A A A A A A A A A A B D b 2 5 m a W c v U G F j a 2 F n Z S 5 4 b W x Q S w E C L Q A U A A I A C A A k Y b 1 Y D 8 r p q 6 Q A A A D p A A A A E w A A A A A A A A A A A A A A A A D z A A A A W 0 N v b n R l b n R f V H l w Z X N d L n h t b F B L A Q I t A B Q A A g A I A C R h v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b O x 0 V K 6 S Q r U + K R 1 C t s G 0 A A A A A A I A A A A A A A N m A A D A A A A A E A A A A H T r s h O C N i V e v T V 3 Y d h q M v c A A A A A B I A A A K A A A A A Q A A A A L 4 g Z a e M f m h 9 u b A Z k K N i J s l A A A A C F G n E u q A u N b t 9 m G C H Z i y v R C X r D X A 3 L n f z H 4 3 s C H Y s L f k I + C I 1 O G Y j u l s O G e L c U R Y K s g f f 4 5 c 8 T 0 H + 8 I X V y Y + d B x a h 5 k a i D l C t x + a s Z 4 y 4 9 r x Q A A A B h W r O S 2 z s l U 8 U v q y 7 K I v e V 8 e S L o Q = = < / D a t a M a s h u p > 
</file>

<file path=customXml/itemProps1.xml><?xml version="1.0" encoding="utf-8"?>
<ds:datastoreItem xmlns:ds="http://schemas.openxmlformats.org/officeDocument/2006/customXml" ds:itemID="{507257E2-C86F-4107-80FD-6D960515D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 Page</vt:lpstr>
      <vt:lpstr>1.1 ST Baseline</vt:lpstr>
      <vt:lpstr>1.2 ST Uncertainty </vt:lpstr>
      <vt:lpstr>1.3 ST High Growth</vt:lpstr>
      <vt:lpstr>1.4 ST worse case</vt:lpstr>
      <vt:lpstr>1.5 Historic Model</vt:lpstr>
      <vt:lpstr>2.1 Labour </vt:lpstr>
      <vt:lpstr>2.2 Conservative </vt:lpstr>
      <vt:lpstr>2.3 Health Crisis</vt:lpstr>
      <vt:lpstr>2.4 War</vt:lpstr>
      <vt:lpstr>2.5 Housing Crisis</vt:lpstr>
      <vt:lpstr>2.6 Immigration</vt:lpstr>
      <vt:lpstr>3.1 LT Baseline</vt:lpstr>
      <vt:lpstr>3.2 LT Uncertainty</vt:lpstr>
      <vt:lpstr>3.3 LT High Growth</vt:lpstr>
      <vt:lpstr>3.4 Climate Change</vt:lpstr>
      <vt:lpstr>3.5 2010-2050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Thakrar, Vikram</dc:creator>
  <cp:keywords/>
  <dc:description/>
  <cp:lastModifiedBy>Thakrar, Vikram</cp:lastModifiedBy>
  <cp:revision/>
  <cp:lastPrinted>2024-06-03T04:38:39Z</cp:lastPrinted>
  <dcterms:created xsi:type="dcterms:W3CDTF">2024-05-28T07:53:03Z</dcterms:created>
  <dcterms:modified xsi:type="dcterms:W3CDTF">2024-06-03T04:39:12Z</dcterms:modified>
  <cp:category/>
  <cp:contentStatus/>
</cp:coreProperties>
</file>