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w/Documents/School/Mathematical Modeling/Week 3/"/>
    </mc:Choice>
  </mc:AlternateContent>
  <bookViews>
    <workbookView xWindow="50320" yWindow="2480" windowWidth="21680" windowHeight="16880" tabRatio="500" firstSheet="2" activeTab="4"/>
  </bookViews>
  <sheets>
    <sheet name="page 113 #2" sheetId="1" r:id="rId1"/>
    <sheet name="Page 121 #2.a" sheetId="2" r:id="rId2"/>
    <sheet name="Page 127 #10" sheetId="3" r:id="rId3"/>
    <sheet name="Page 136 #7" sheetId="4" r:id="rId4"/>
    <sheet name="page 146 #5" sheetId="5" r:id="rId5"/>
    <sheet name="p157 #4" sheetId="6" r:id="rId6"/>
    <sheet name="p169 #11" sheetId="7" r:id="rId7"/>
    <sheet name="p181 #5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2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64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D46" i="5"/>
  <c r="C46" i="5"/>
  <c r="N1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H16" i="5"/>
  <c r="I16" i="5"/>
  <c r="B38" i="5"/>
  <c r="B37" i="5"/>
  <c r="B42" i="5"/>
  <c r="B41" i="5"/>
  <c r="B40" i="5"/>
  <c r="A40" i="5"/>
  <c r="A39" i="5"/>
  <c r="A38" i="5"/>
  <c r="A37" i="5"/>
  <c r="D37" i="5"/>
  <c r="E3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C58" i="7"/>
  <c r="D58" i="7"/>
  <c r="E58" i="7"/>
  <c r="F58" i="7"/>
  <c r="G58" i="7"/>
  <c r="G61" i="7"/>
  <c r="G62" i="7"/>
  <c r="G63" i="7"/>
  <c r="G64" i="7"/>
  <c r="G65" i="7"/>
  <c r="G60" i="7"/>
  <c r="F61" i="7"/>
  <c r="F62" i="7"/>
  <c r="F63" i="7"/>
  <c r="F64" i="7"/>
  <c r="F65" i="7"/>
  <c r="F60" i="7"/>
  <c r="E61" i="7"/>
  <c r="E62" i="7"/>
  <c r="E63" i="7"/>
  <c r="E64" i="7"/>
  <c r="E65" i="7"/>
  <c r="E60" i="7"/>
  <c r="D61" i="7"/>
  <c r="D62" i="7"/>
  <c r="D63" i="7"/>
  <c r="D64" i="7"/>
  <c r="D65" i="7"/>
  <c r="D60" i="7"/>
  <c r="C60" i="7"/>
  <c r="C61" i="7"/>
  <c r="C62" i="7"/>
  <c r="C63" i="7"/>
  <c r="C64" i="7"/>
  <c r="C65" i="7"/>
  <c r="C69" i="7"/>
  <c r="H61" i="7"/>
  <c r="H62" i="7"/>
  <c r="H63" i="7"/>
  <c r="H64" i="7"/>
  <c r="H65" i="7"/>
  <c r="H60" i="7"/>
  <c r="C11" i="7"/>
  <c r="C9" i="7"/>
  <c r="D10" i="7"/>
  <c r="C7" i="7"/>
  <c r="D8" i="7"/>
  <c r="E9" i="7"/>
  <c r="C5" i="7"/>
  <c r="D6" i="7"/>
  <c r="E7" i="7"/>
  <c r="C3" i="7"/>
  <c r="D4" i="7"/>
  <c r="E5" i="7"/>
  <c r="F8" i="7"/>
  <c r="F6" i="7"/>
  <c r="G7" i="7"/>
  <c r="B37" i="7"/>
  <c r="B35" i="7"/>
  <c r="C36" i="7"/>
  <c r="B33" i="7"/>
  <c r="C34" i="7"/>
  <c r="D35" i="7"/>
  <c r="B31" i="7"/>
  <c r="C32" i="7"/>
  <c r="D33" i="7"/>
  <c r="E34" i="7"/>
  <c r="B29" i="7"/>
  <c r="C30" i="7"/>
  <c r="D31" i="7"/>
  <c r="E32" i="7"/>
  <c r="F33" i="7"/>
  <c r="C29" i="7"/>
  <c r="D29" i="7"/>
  <c r="E29" i="7"/>
  <c r="F29" i="7"/>
  <c r="G29" i="7"/>
  <c r="H29" i="7"/>
  <c r="C24" i="7"/>
  <c r="C22" i="7"/>
  <c r="D23" i="7"/>
  <c r="C20" i="7"/>
  <c r="D21" i="7"/>
  <c r="E22" i="7"/>
  <c r="C18" i="7"/>
  <c r="D19" i="7"/>
  <c r="E20" i="7"/>
  <c r="F21" i="7"/>
  <c r="C16" i="7"/>
  <c r="D17" i="7"/>
  <c r="E18" i="7"/>
  <c r="F19" i="7"/>
  <c r="G20" i="7"/>
  <c r="F31" i="5"/>
  <c r="F3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D14" i="4"/>
  <c r="D15" i="4"/>
  <c r="D16" i="4"/>
  <c r="D17" i="4"/>
  <c r="D18" i="4"/>
  <c r="D19" i="4"/>
  <c r="D20" i="4"/>
  <c r="D21" i="4"/>
  <c r="D22" i="4"/>
  <c r="E14" i="4"/>
  <c r="E15" i="4"/>
  <c r="E16" i="4"/>
  <c r="E17" i="4"/>
  <c r="E18" i="4"/>
  <c r="E19" i="4"/>
  <c r="E20" i="4"/>
  <c r="E21" i="4"/>
  <c r="E22" i="4"/>
  <c r="F22" i="4"/>
  <c r="C2" i="4"/>
  <c r="C3" i="4"/>
  <c r="C4" i="4"/>
  <c r="C5" i="4"/>
  <c r="C6" i="4"/>
  <c r="C7" i="4"/>
  <c r="C8" i="4"/>
  <c r="C9" i="4"/>
  <c r="C10" i="4"/>
  <c r="D2" i="4"/>
  <c r="D3" i="4"/>
  <c r="D4" i="4"/>
  <c r="D5" i="4"/>
  <c r="D6" i="4"/>
  <c r="D7" i="4"/>
  <c r="D8" i="4"/>
  <c r="D9" i="4"/>
  <c r="D10" i="4"/>
  <c r="E10" i="4"/>
  <c r="F19" i="3"/>
  <c r="F20" i="3"/>
  <c r="F21" i="3"/>
  <c r="F14" i="3"/>
  <c r="F15" i="3"/>
  <c r="F16" i="3"/>
  <c r="F17" i="3"/>
  <c r="F18" i="3"/>
  <c r="F13" i="3"/>
  <c r="D23" i="3"/>
  <c r="E21" i="3"/>
  <c r="D21" i="3"/>
  <c r="E14" i="3"/>
  <c r="E15" i="3"/>
  <c r="E16" i="3"/>
  <c r="E17" i="3"/>
  <c r="E18" i="3"/>
  <c r="E19" i="3"/>
  <c r="E20" i="3"/>
  <c r="E13" i="3"/>
  <c r="D14" i="3"/>
  <c r="D15" i="3"/>
  <c r="D16" i="3"/>
  <c r="D17" i="3"/>
  <c r="D18" i="3"/>
  <c r="D19" i="3"/>
  <c r="D20" i="3"/>
  <c r="D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13" i="3"/>
  <c r="B13" i="3"/>
  <c r="D3" i="1"/>
  <c r="D4" i="1"/>
  <c r="D5" i="1"/>
  <c r="D6" i="1"/>
  <c r="D7" i="1"/>
  <c r="D8" i="1"/>
  <c r="D9" i="1"/>
  <c r="D10" i="1"/>
  <c r="D11" i="1"/>
  <c r="D12" i="1"/>
  <c r="F5" i="1"/>
  <c r="K5" i="1"/>
  <c r="C3" i="1"/>
  <c r="C4" i="1"/>
  <c r="C5" i="1"/>
  <c r="C6" i="1"/>
  <c r="C7" i="1"/>
  <c r="C8" i="1"/>
  <c r="C9" i="1"/>
  <c r="C10" i="1"/>
  <c r="C11" i="1"/>
  <c r="C12" i="1"/>
  <c r="C2" i="1"/>
  <c r="B31" i="1"/>
  <c r="H5" i="1"/>
</calcChain>
</file>

<file path=xl/sharedStrings.xml><?xml version="1.0" encoding="utf-8"?>
<sst xmlns="http://schemas.openxmlformats.org/spreadsheetml/2006/main" count="101" uniqueCount="54">
  <si>
    <t>S(x10^-3)</t>
  </si>
  <si>
    <t>e(x10^5)</t>
  </si>
  <si>
    <t>e = 3.96S</t>
  </si>
  <si>
    <t>ln y</t>
  </si>
  <si>
    <t>x</t>
  </si>
  <si>
    <t>y</t>
  </si>
  <si>
    <t>r</t>
  </si>
  <si>
    <t>Body</t>
  </si>
  <si>
    <t>Period (sec)</t>
  </si>
  <si>
    <t>Distance from sun (m)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</si>
  <si>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</si>
  <si>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</si>
  <si>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</si>
  <si>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</si>
  <si>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</si>
  <si>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</si>
  <si>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</si>
  <si>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</si>
  <si>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sun distance exponent</t>
  </si>
  <si>
    <t>Period  exponent</t>
  </si>
  <si>
    <t>distance (x)</t>
  </si>
  <si>
    <t>period (y)</t>
  </si>
  <si>
    <t>y=ax^(3/2)</t>
  </si>
  <si>
    <t>length</t>
  </si>
  <si>
    <t>weight</t>
  </si>
  <si>
    <t>sum:</t>
  </si>
  <si>
    <t>girth</t>
  </si>
  <si>
    <t>wl^2g</t>
  </si>
  <si>
    <t>l^4g^2</t>
  </si>
  <si>
    <t>.008l^3</t>
  </si>
  <si>
    <t>.126l^2g</t>
  </si>
  <si>
    <t>sse .0126l^2g</t>
  </si>
  <si>
    <t>sse .008l^3</t>
  </si>
  <si>
    <t>totals:</t>
  </si>
  <si>
    <t>pop p</t>
  </si>
  <si>
    <t>mean velocity v (ft/sec)</t>
  </si>
  <si>
    <t>logP</t>
  </si>
  <si>
    <t>logV</t>
  </si>
  <si>
    <t>X diameter</t>
  </si>
  <si>
    <t>Y volume</t>
  </si>
  <si>
    <t>length (in)</t>
  </si>
  <si>
    <t>weight (oz)</t>
  </si>
  <si>
    <t>1885-1917</t>
  </si>
  <si>
    <t>1917-1919</t>
  </si>
  <si>
    <t xml:space="preserve"> C 0.15</t>
  </si>
  <si>
    <t>.12LogP+.05</t>
  </si>
  <si>
    <t>logv</t>
  </si>
  <si>
    <t>logp</t>
  </si>
  <si>
    <t>log(logp)</t>
  </si>
  <si>
    <t>V =.9(logP)</t>
  </si>
  <si>
    <t>M1 Obs - Pred</t>
  </si>
  <si>
    <t>M1 1.122P^12</t>
  </si>
  <si>
    <t>M2 V =.9(logP)</t>
  </si>
  <si>
    <t>M2 Obs -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</si>
</sst>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3" fontId="0" fillId="0" borderId="0" xfId="0" applyNumberFormat="1"/>
    <xf numFmtId="15" fontId="0" fillId="0" borderId="0" xfId="0" applyNumberFormat="1"/>
    <xf numFmtId="3" fontId="0" fillId="0" borderId="1" xfId="0" applyNumberForma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113 #2'!$B$1</c:f>
              <c:strCache>
                <c:ptCount val="1"/>
                <c:pt idx="0">
                  <c:v>e(x10^5)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113 #2'!$A$2:$A$12</c:f>
              <c:numCache>
                <c:formatCode>General</c:formatCode>
                <c:ptCount val="11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'page 113 #2'!$B$2:$B$12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19.0</c:v>
                </c:pt>
                <c:pt idx="2">
                  <c:v>57.0</c:v>
                </c:pt>
                <c:pt idx="3">
                  <c:v>94.0</c:v>
                </c:pt>
                <c:pt idx="4">
                  <c:v>134.0</c:v>
                </c:pt>
                <c:pt idx="5">
                  <c:v>173.0</c:v>
                </c:pt>
                <c:pt idx="6">
                  <c:v>216.0</c:v>
                </c:pt>
                <c:pt idx="7">
                  <c:v>256.0</c:v>
                </c:pt>
                <c:pt idx="8">
                  <c:v>297.0</c:v>
                </c:pt>
                <c:pt idx="9">
                  <c:v>343.0</c:v>
                </c:pt>
                <c:pt idx="10">
                  <c:v>390.0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78816"/>
        <c:axId val="1447284464"/>
      </c:scatterChart>
      <c:valAx>
        <c:axId val="14472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S(x10^03)</a:t>
                </a:r>
              </a:p>
            </c:rich>
          </c:tx>
          <c:layout>
            <c:manualLayout>
              <c:xMode val="edge"/>
              <c:yMode val="edge"/>
              <c:x val="0.445582020997375"/>
              <c:y val="0.86942111402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84464"/>
        <c:crosses val="autoZero"/>
        <c:crossBetween val="midCat"/>
      </c:valAx>
      <c:valAx>
        <c:axId val="14472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146 #5'!$D$63</c:f>
              <c:strCache>
                <c:ptCount val="1"/>
                <c:pt idx="0">
                  <c:v>mean velocity v (ft/sec)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.5"/>
            <c:dispRSqr val="0"/>
            <c:dispEq val="0"/>
          </c:trendline>
          <c:xVal>
            <c:numRef>
              <c:f>'page 146 #5'!$C$64:$C$78</c:f>
              <c:numCache>
                <c:formatCode>General</c:formatCode>
                <c:ptCount val="15"/>
                <c:pt idx="0">
                  <c:v>5.533960067956448</c:v>
                </c:pt>
                <c:pt idx="1">
                  <c:v>6.038524392040428</c:v>
                </c:pt>
                <c:pt idx="2">
                  <c:v>3.739651443709377</c:v>
                </c:pt>
                <c:pt idx="3">
                  <c:v>4.693507108634517</c:v>
                </c:pt>
                <c:pt idx="4">
                  <c:v>6.127104798364807</c:v>
                </c:pt>
                <c:pt idx="5">
                  <c:v>2.562292864456475</c:v>
                </c:pt>
                <c:pt idx="6">
                  <c:v>3.397940008672037</c:v>
                </c:pt>
                <c:pt idx="7">
                  <c:v>4.893206753059848</c:v>
                </c:pt>
                <c:pt idx="8">
                  <c:v>5.938030618399617</c:v>
                </c:pt>
                <c:pt idx="9">
                  <c:v>4.146128035678238</c:v>
                </c:pt>
                <c:pt idx="10">
                  <c:v>4.374748346010103</c:v>
                </c:pt>
                <c:pt idx="11">
                  <c:v>4.8494194137969</c:v>
                </c:pt>
                <c:pt idx="12">
                  <c:v>5.483587296968894</c:v>
                </c:pt>
                <c:pt idx="13">
                  <c:v>5.139879086401236</c:v>
                </c:pt>
                <c:pt idx="14">
                  <c:v>6.415307292225567</c:v>
                </c:pt>
              </c:numCache>
            </c:numRef>
          </c:xVal>
          <c:yVal>
            <c:numRef>
              <c:f>'page 146 #5'!$D$64:$D$78</c:f>
              <c:numCache>
                <c:formatCode>General</c:formatCode>
                <c:ptCount val="15"/>
                <c:pt idx="0">
                  <c:v>4.81</c:v>
                </c:pt>
                <c:pt idx="1">
                  <c:v>5.88</c:v>
                </c:pt>
                <c:pt idx="2">
                  <c:v>3.31</c:v>
                </c:pt>
                <c:pt idx="3">
                  <c:v>4.9</c:v>
                </c:pt>
                <c:pt idx="4">
                  <c:v>5.62</c:v>
                </c:pt>
                <c:pt idx="5">
                  <c:v>2.76</c:v>
                </c:pt>
                <c:pt idx="6">
                  <c:v>2.27</c:v>
                </c:pt>
                <c:pt idx="7">
                  <c:v>3.85</c:v>
                </c:pt>
                <c:pt idx="8">
                  <c:v>5.21</c:v>
                </c:pt>
                <c:pt idx="9">
                  <c:v>3.7</c:v>
                </c:pt>
                <c:pt idx="10">
                  <c:v>3.27</c:v>
                </c:pt>
                <c:pt idx="11">
                  <c:v>4.31</c:v>
                </c:pt>
                <c:pt idx="12">
                  <c:v>4.42</c:v>
                </c:pt>
                <c:pt idx="13">
                  <c:v>4.39</c:v>
                </c:pt>
                <c:pt idx="14">
                  <c:v>5.05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'page 146 #5'!$E$63</c:f>
              <c:strCache>
                <c:ptCount val="1"/>
                <c:pt idx="0">
                  <c:v>V =.9(logP)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146 #5'!$C$64:$C$78</c:f>
              <c:numCache>
                <c:formatCode>General</c:formatCode>
                <c:ptCount val="15"/>
                <c:pt idx="0">
                  <c:v>5.533960067956448</c:v>
                </c:pt>
                <c:pt idx="1">
                  <c:v>6.038524392040428</c:v>
                </c:pt>
                <c:pt idx="2">
                  <c:v>3.739651443709377</c:v>
                </c:pt>
                <c:pt idx="3">
                  <c:v>4.693507108634517</c:v>
                </c:pt>
                <c:pt idx="4">
                  <c:v>6.127104798364807</c:v>
                </c:pt>
                <c:pt idx="5">
                  <c:v>2.562292864456475</c:v>
                </c:pt>
                <c:pt idx="6">
                  <c:v>3.397940008672037</c:v>
                </c:pt>
                <c:pt idx="7">
                  <c:v>4.893206753059848</c:v>
                </c:pt>
                <c:pt idx="8">
                  <c:v>5.938030618399617</c:v>
                </c:pt>
                <c:pt idx="9">
                  <c:v>4.146128035678238</c:v>
                </c:pt>
                <c:pt idx="10">
                  <c:v>4.374748346010103</c:v>
                </c:pt>
                <c:pt idx="11">
                  <c:v>4.8494194137969</c:v>
                </c:pt>
                <c:pt idx="12">
                  <c:v>5.483587296968894</c:v>
                </c:pt>
                <c:pt idx="13">
                  <c:v>5.139879086401236</c:v>
                </c:pt>
                <c:pt idx="14">
                  <c:v>6.415307292225567</c:v>
                </c:pt>
              </c:numCache>
            </c:numRef>
          </c:xVal>
          <c:yVal>
            <c:numRef>
              <c:f>'page 146 #5'!$E$64:$E$78</c:f>
              <c:numCache>
                <c:formatCode>General</c:formatCode>
                <c:ptCount val="15"/>
                <c:pt idx="0">
                  <c:v>4.980564061160804</c:v>
                </c:pt>
                <c:pt idx="1">
                  <c:v>5.434671952836385</c:v>
                </c:pt>
                <c:pt idx="2">
                  <c:v>3.365686299338439</c:v>
                </c:pt>
                <c:pt idx="3">
                  <c:v>4.224156397771066</c:v>
                </c:pt>
                <c:pt idx="4">
                  <c:v>5.514394318528327</c:v>
                </c:pt>
                <c:pt idx="5">
                  <c:v>2.306063578010827</c:v>
                </c:pt>
                <c:pt idx="6">
                  <c:v>3.058146007804834</c:v>
                </c:pt>
                <c:pt idx="7">
                  <c:v>4.403886077753864</c:v>
                </c:pt>
                <c:pt idx="8">
                  <c:v>5.344227556559655</c:v>
                </c:pt>
                <c:pt idx="9">
                  <c:v>3.731515232110414</c:v>
                </c:pt>
                <c:pt idx="10">
                  <c:v>3.937273511409093</c:v>
                </c:pt>
                <c:pt idx="11">
                  <c:v>4.364477472417209</c:v>
                </c:pt>
                <c:pt idx="12">
                  <c:v>4.935228567272004</c:v>
                </c:pt>
                <c:pt idx="13">
                  <c:v>4.625891177761113</c:v>
                </c:pt>
                <c:pt idx="14">
                  <c:v>5.773776563003011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545696"/>
        <c:axId val="1485763984"/>
      </c:scatterChart>
      <c:valAx>
        <c:axId val="14855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63984"/>
        <c:crosses val="autoZero"/>
        <c:crossBetween val="midCat"/>
      </c:valAx>
      <c:valAx>
        <c:axId val="1485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4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'p157 #4'!$B$1</c:f>
              <c:strCache>
                <c:ptCount val="1"/>
                <c:pt idx="0">
                  <c:v>Y 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'p157 #4'!$A$2:$A$15</c:f>
              <c:numCache>
                <c:formatCode>General</c:formatCode>
                <c:ptCount val="14"/>
                <c:pt idx="0">
                  <c:v>17.0</c:v>
                </c:pt>
                <c:pt idx="1">
                  <c:v>19.0</c:v>
                </c:pt>
                <c:pt idx="2">
                  <c:v>20.0</c:v>
                </c:pt>
                <c:pt idx="3">
                  <c:v>22.0</c:v>
                </c:pt>
                <c:pt idx="4">
                  <c:v>23.0</c:v>
                </c:pt>
                <c:pt idx="5">
                  <c:v>25.0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36.0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41.0</c:v>
                </c:pt>
              </c:numCache>
            </c:numRef>
          </c:xVal>
          <c:yVal>
            <c:numRef>
              <c:f>'p157 #4'!$B$2:$B$15</c:f>
              <c:numCache>
                <c:formatCode>General</c:formatCode>
                <c:ptCount val="14"/>
                <c:pt idx="0">
                  <c:v>19.0</c:v>
                </c:pt>
                <c:pt idx="1">
                  <c:v>25.0</c:v>
                </c:pt>
                <c:pt idx="2">
                  <c:v>32.0</c:v>
                </c:pt>
                <c:pt idx="3">
                  <c:v>51.0</c:v>
                </c:pt>
                <c:pt idx="4">
                  <c:v>57.0</c:v>
                </c:pt>
                <c:pt idx="5">
                  <c:v>71.0</c:v>
                </c:pt>
                <c:pt idx="6">
                  <c:v>141.0</c:v>
                </c:pt>
                <c:pt idx="7">
                  <c:v>123.0</c:v>
                </c:pt>
                <c:pt idx="8">
                  <c:v>187.0</c:v>
                </c:pt>
                <c:pt idx="9">
                  <c:v>192.0</c:v>
                </c:pt>
                <c:pt idx="10">
                  <c:v>205.0</c:v>
                </c:pt>
                <c:pt idx="11">
                  <c:v>252.0</c:v>
                </c:pt>
                <c:pt idx="12">
                  <c:v>248.0</c:v>
                </c:pt>
                <c:pt idx="13">
                  <c:v>294.0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934944"/>
        <c:axId val="1461627360"/>
      </c:scatterChart>
      <c:valAx>
        <c:axId val="1485934944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27360"/>
        <c:crosses val="autoZero"/>
        <c:crossBetween val="midCat"/>
      </c:valAx>
      <c:valAx>
        <c:axId val="1461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'p169 #11'!$B$1</c:f>
              <c:strCache>
                <c:ptCount val="1"/>
                <c:pt idx="0">
                  <c:v>weight (oz)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'p169 #11'!$A$2:$A$12</c:f>
              <c:numCache>
                <c:formatCode>General</c:formatCode>
                <c:ptCount val="11"/>
                <c:pt idx="0">
                  <c:v>12.5</c:v>
                </c:pt>
                <c:pt idx="2">
                  <c:v>12.625</c:v>
                </c:pt>
                <c:pt idx="4">
                  <c:v>14.125</c:v>
                </c:pt>
                <c:pt idx="6">
                  <c:v>14.5</c:v>
                </c:pt>
                <c:pt idx="8">
                  <c:v>17.25</c:v>
                </c:pt>
                <c:pt idx="10">
                  <c:v>17.75</c:v>
                </c:pt>
              </c:numCache>
            </c:numRef>
          </c:xVal>
          <c:yVal>
            <c:numRef>
              <c:f>'p169 #11'!$B$2:$B$12</c:f>
              <c:numCache>
                <c:formatCode>General</c:formatCode>
                <c:ptCount val="11"/>
                <c:pt idx="0">
                  <c:v>17.0</c:v>
                </c:pt>
                <c:pt idx="2">
                  <c:v>16.5</c:v>
                </c:pt>
                <c:pt idx="4">
                  <c:v>23.0</c:v>
                </c:pt>
                <c:pt idx="6">
                  <c:v>26.5</c:v>
                </c:pt>
                <c:pt idx="8">
                  <c:v>41.0</c:v>
                </c:pt>
                <c:pt idx="10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90560"/>
        <c:axId val="1464636896"/>
      </c:scatterChart>
      <c:valAx>
        <c:axId val="1486890560"/>
        <c:scaling>
          <c:orientation val="minMax"/>
          <c:min val="1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36896"/>
        <c:crosses val="autoZero"/>
        <c:crossBetween val="midCat"/>
      </c:valAx>
      <c:valAx>
        <c:axId val="14646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113 #2'!$B$1</c:f>
              <c:strCache>
                <c:ptCount val="1"/>
                <c:pt idx="0">
                  <c:v>e(x10^5)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113 #2'!$A$2:$A$12</c:f>
              <c:numCache>
                <c:formatCode>General</c:formatCode>
                <c:ptCount val="11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'page 113 #2'!$B$2:$B$12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19.0</c:v>
                </c:pt>
                <c:pt idx="2">
                  <c:v>57.0</c:v>
                </c:pt>
                <c:pt idx="3">
                  <c:v>94.0</c:v>
                </c:pt>
                <c:pt idx="4">
                  <c:v>134.0</c:v>
                </c:pt>
                <c:pt idx="5">
                  <c:v>173.0</c:v>
                </c:pt>
                <c:pt idx="6">
                  <c:v>216.0</c:v>
                </c:pt>
                <c:pt idx="7">
                  <c:v>256.0</c:v>
                </c:pt>
                <c:pt idx="8">
                  <c:v>297.0</c:v>
                </c:pt>
                <c:pt idx="9">
                  <c:v>343.0</c:v>
                </c:pt>
                <c:pt idx="10">
                  <c:v>390.0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'page 113 #2'!$C$1</c:f>
              <c:strCache>
                <c:ptCount val="1"/>
                <c:pt idx="0">
                  <c:v>e = 3.96S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113 #2'!$A$2:$A$12</c:f>
              <c:numCache>
                <c:formatCode>General</c:formatCode>
                <c:ptCount val="11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'page 113 #2'!$C$2:$C$12</c:f>
              <c:numCache>
                <c:formatCode>General</c:formatCode>
                <c:ptCount val="11"/>
                <c:pt idx="0">
                  <c:v>19.8</c:v>
                </c:pt>
                <c:pt idx="1">
                  <c:v>39.6</c:v>
                </c:pt>
                <c:pt idx="2">
                  <c:v>79.2</c:v>
                </c:pt>
                <c:pt idx="3">
                  <c:v>118.8</c:v>
                </c:pt>
                <c:pt idx="4">
                  <c:v>158.4</c:v>
                </c:pt>
                <c:pt idx="5">
                  <c:v>198.0</c:v>
                </c:pt>
                <c:pt idx="6">
                  <c:v>237.6</c:v>
                </c:pt>
                <c:pt idx="7">
                  <c:v>277.2</c:v>
                </c:pt>
                <c:pt idx="8">
                  <c:v>316.8</c:v>
                </c:pt>
                <c:pt idx="9">
                  <c:v>356.4</c:v>
                </c:pt>
                <c:pt idx="10">
                  <c:v>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14544"/>
        <c:axId val="1447317024"/>
      </c:scatterChart>
      <c:valAx>
        <c:axId val="14473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17024"/>
        <c:crosses val="autoZero"/>
        <c:crossBetween val="midCat"/>
      </c:valAx>
      <c:valAx>
        <c:axId val="1447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1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121 #2.a'!$B$1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121 #2.a'!$A$2:$A$7</c:f>
              <c:numCache>
                <c:formatCode>General</c:formatCode>
                <c:ptCount val="6"/>
                <c:pt idx="0">
                  <c:v>1.0</c:v>
                </c:pt>
                <c:pt idx="1">
                  <c:v>2.3</c:v>
                </c:pt>
                <c:pt idx="2">
                  <c:v>3.7</c:v>
                </c:pt>
                <c:pt idx="3">
                  <c:v>4.2</c:v>
                </c:pt>
                <c:pt idx="4">
                  <c:v>6.1</c:v>
                </c:pt>
                <c:pt idx="5">
                  <c:v>7.0</c:v>
                </c:pt>
              </c:numCache>
            </c:numRef>
          </c:xVal>
          <c:yVal>
            <c:numRef>
              <c:f>'Page 121 #2.a'!$B$2:$B$7</c:f>
              <c:numCache>
                <c:formatCode>General</c:formatCode>
                <c:ptCount val="6"/>
                <c:pt idx="0">
                  <c:v>3.6</c:v>
                </c:pt>
                <c:pt idx="1">
                  <c:v>3.0</c:v>
                </c:pt>
                <c:pt idx="2">
                  <c:v>3.2</c:v>
                </c:pt>
                <c:pt idx="3">
                  <c:v>5.1</c:v>
                </c:pt>
                <c:pt idx="4">
                  <c:v>5.3</c:v>
                </c:pt>
                <c:pt idx="5">
                  <c:v>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021904"/>
        <c:axId val="1349025312"/>
      </c:scatterChart>
      <c:valAx>
        <c:axId val="13490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25312"/>
        <c:crosses val="autoZero"/>
        <c:crossBetween val="midCat"/>
      </c:valAx>
      <c:valAx>
        <c:axId val="13490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127 #10'!$C$12</c:f>
              <c:strCache>
                <c:ptCount val="1"/>
                <c:pt idx="0">
                  <c:v>period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127 #10'!$B$13:$B$20</c:f>
              <c:numCache>
                <c:formatCode>General</c:formatCode>
                <c:ptCount val="8"/>
                <c:pt idx="0">
                  <c:v>5.79E10</c:v>
                </c:pt>
                <c:pt idx="1">
                  <c:v>1.08E11</c:v>
                </c:pt>
                <c:pt idx="2">
                  <c:v>1.5E11</c:v>
                </c:pt>
                <c:pt idx="3">
                  <c:v>2.28E11</c:v>
                </c:pt>
                <c:pt idx="4">
                  <c:v>7.79E11</c:v>
                </c:pt>
                <c:pt idx="5">
                  <c:v>1.43E12</c:v>
                </c:pt>
                <c:pt idx="6">
                  <c:v>2.87E12</c:v>
                </c:pt>
                <c:pt idx="7">
                  <c:v>4.5E12</c:v>
                </c:pt>
              </c:numCache>
            </c:numRef>
          </c:xVal>
          <c:yVal>
            <c:numRef>
              <c:f>'Page 127 #10'!$C$13:$C$20</c:f>
              <c:numCache>
                <c:formatCode>General</c:formatCode>
                <c:ptCount val="8"/>
                <c:pt idx="0">
                  <c:v>7.6E6</c:v>
                </c:pt>
                <c:pt idx="1">
                  <c:v>1.94E7</c:v>
                </c:pt>
                <c:pt idx="2">
                  <c:v>3.16E7</c:v>
                </c:pt>
                <c:pt idx="3">
                  <c:v>5.94E7</c:v>
                </c:pt>
                <c:pt idx="4">
                  <c:v>3.74E8</c:v>
                </c:pt>
                <c:pt idx="5">
                  <c:v>9.35E8</c:v>
                </c:pt>
                <c:pt idx="6">
                  <c:v>2.64E9</c:v>
                </c:pt>
                <c:pt idx="7">
                  <c:v>5.22E9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66992"/>
        <c:axId val="1348169040"/>
      </c:scatterChart>
      <c:valAx>
        <c:axId val="13481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69040"/>
        <c:crosses val="autoZero"/>
        <c:crossBetween val="midCat"/>
      </c:valAx>
      <c:valAx>
        <c:axId val="134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127 #10'!$C$27</c:f>
              <c:strCache>
                <c:ptCount val="1"/>
                <c:pt idx="0">
                  <c:v>period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127 #10'!$B$28:$B$35</c:f>
              <c:numCache>
                <c:formatCode>General</c:formatCode>
                <c:ptCount val="8"/>
                <c:pt idx="0">
                  <c:v>5.79E10</c:v>
                </c:pt>
                <c:pt idx="1">
                  <c:v>1.08E11</c:v>
                </c:pt>
                <c:pt idx="2">
                  <c:v>1.5E11</c:v>
                </c:pt>
                <c:pt idx="3">
                  <c:v>2.28E11</c:v>
                </c:pt>
                <c:pt idx="4">
                  <c:v>7.79E11</c:v>
                </c:pt>
                <c:pt idx="5">
                  <c:v>1.43E12</c:v>
                </c:pt>
                <c:pt idx="6">
                  <c:v>2.87E12</c:v>
                </c:pt>
                <c:pt idx="7">
                  <c:v>4.5E12</c:v>
                </c:pt>
              </c:numCache>
            </c:numRef>
          </c:xVal>
          <c:yVal>
            <c:numRef>
              <c:f>'Page 127 #10'!$C$28:$C$35</c:f>
              <c:numCache>
                <c:formatCode>General</c:formatCode>
                <c:ptCount val="8"/>
                <c:pt idx="0">
                  <c:v>7.6E6</c:v>
                </c:pt>
                <c:pt idx="1">
                  <c:v>1.94E7</c:v>
                </c:pt>
                <c:pt idx="2">
                  <c:v>3.16E7</c:v>
                </c:pt>
                <c:pt idx="3">
                  <c:v>5.94E7</c:v>
                </c:pt>
                <c:pt idx="4">
                  <c:v>3.74E8</c:v>
                </c:pt>
                <c:pt idx="5">
                  <c:v>9.35E8</c:v>
                </c:pt>
                <c:pt idx="6">
                  <c:v>2.64E9</c:v>
                </c:pt>
                <c:pt idx="7">
                  <c:v>5.22E9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'Page 127 #10'!$D$27</c:f>
              <c:strCache>
                <c:ptCount val="1"/>
                <c:pt idx="0">
                  <c:v>y=ax^(3/2)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127 #10'!$B$28:$B$35</c:f>
              <c:numCache>
                <c:formatCode>General</c:formatCode>
                <c:ptCount val="8"/>
                <c:pt idx="0">
                  <c:v>5.79E10</c:v>
                </c:pt>
                <c:pt idx="1">
                  <c:v>1.08E11</c:v>
                </c:pt>
                <c:pt idx="2">
                  <c:v>1.5E11</c:v>
                </c:pt>
                <c:pt idx="3">
                  <c:v>2.28E11</c:v>
                </c:pt>
                <c:pt idx="4">
                  <c:v>7.79E11</c:v>
                </c:pt>
                <c:pt idx="5">
                  <c:v>1.43E12</c:v>
                </c:pt>
                <c:pt idx="6">
                  <c:v>2.87E12</c:v>
                </c:pt>
                <c:pt idx="7">
                  <c:v>4.5E12</c:v>
                </c:pt>
              </c:numCache>
            </c:numRef>
          </c:xVal>
          <c:yVal>
            <c:numRef>
              <c:f>'Page 127 #10'!$D$28:$D$35</c:f>
              <c:numCache>
                <c:formatCode>General</c:formatCode>
                <c:ptCount val="8"/>
                <c:pt idx="0">
                  <c:v>7.60758262342039E6</c:v>
                </c:pt>
                <c:pt idx="1">
                  <c:v>1.93804771583365E7</c:v>
                </c:pt>
                <c:pt idx="2">
                  <c:v>3.1722376901136E7</c:v>
                </c:pt>
                <c:pt idx="3">
                  <c:v>5.94471587705539E7</c:v>
                </c:pt>
                <c:pt idx="4">
                  <c:v>3.75435225922678E8</c:v>
                </c:pt>
                <c:pt idx="5">
                  <c:v>9.33754888269012E8</c:v>
                </c:pt>
                <c:pt idx="6">
                  <c:v>2.65492145590959E9</c:v>
                </c:pt>
                <c:pt idx="7">
                  <c:v>5.21251842192992E9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38176"/>
        <c:axId val="1447340656"/>
      </c:scatterChart>
      <c:valAx>
        <c:axId val="14473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40656"/>
        <c:crosses val="autoZero"/>
        <c:crossBetween val="midCat"/>
      </c:valAx>
      <c:valAx>
        <c:axId val="14473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080927384077"/>
          <c:y val="0.0258732476072207"/>
          <c:w val="0.883252405949256"/>
          <c:h val="0.827127908167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'Page 136 #7'!$B$25</c:f>
              <c:strCache>
                <c:ptCount val="1"/>
                <c:pt idx="0">
                  <c:v>weight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'Page 136 #7'!$A$26:$A$33</c:f>
              <c:numCache>
                <c:formatCode>General</c:formatCode>
                <c:ptCount val="8"/>
                <c:pt idx="0">
                  <c:v>14.5</c:v>
                </c:pt>
                <c:pt idx="1">
                  <c:v>12.5</c:v>
                </c:pt>
                <c:pt idx="2">
                  <c:v>17.25</c:v>
                </c:pt>
                <c:pt idx="3">
                  <c:v>14.5</c:v>
                </c:pt>
                <c:pt idx="4">
                  <c:v>12.625</c:v>
                </c:pt>
                <c:pt idx="5">
                  <c:v>17.75</c:v>
                </c:pt>
                <c:pt idx="6">
                  <c:v>14.125</c:v>
                </c:pt>
                <c:pt idx="7">
                  <c:v>12.625</c:v>
                </c:pt>
              </c:numCache>
            </c:numRef>
          </c:xVal>
          <c:yVal>
            <c:numRef>
              <c:f>'Page 136 #7'!$B$26:$B$33</c:f>
              <c:numCache>
                <c:formatCode>General</c:formatCode>
                <c:ptCount val="8"/>
                <c:pt idx="0">
                  <c:v>27.0</c:v>
                </c:pt>
                <c:pt idx="1">
                  <c:v>17.0</c:v>
                </c:pt>
                <c:pt idx="2">
                  <c:v>41.0</c:v>
                </c:pt>
                <c:pt idx="3">
                  <c:v>26.0</c:v>
                </c:pt>
                <c:pt idx="4">
                  <c:v>17.0</c:v>
                </c:pt>
                <c:pt idx="5">
                  <c:v>49.0</c:v>
                </c:pt>
                <c:pt idx="6">
                  <c:v>23.0</c:v>
                </c:pt>
                <c:pt idx="7">
                  <c:v>16.0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'Page 136 #7'!$C$25</c:f>
              <c:strCache>
                <c:ptCount val="1"/>
                <c:pt idx="0">
                  <c:v>.008l^3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'Page 136 #7'!$A$26:$A$33</c:f>
              <c:numCache>
                <c:formatCode>General</c:formatCode>
                <c:ptCount val="8"/>
                <c:pt idx="0">
                  <c:v>14.5</c:v>
                </c:pt>
                <c:pt idx="1">
                  <c:v>12.5</c:v>
                </c:pt>
                <c:pt idx="2">
                  <c:v>17.25</c:v>
                </c:pt>
                <c:pt idx="3">
                  <c:v>14.5</c:v>
                </c:pt>
                <c:pt idx="4">
                  <c:v>12.625</c:v>
                </c:pt>
                <c:pt idx="5">
                  <c:v>17.75</c:v>
                </c:pt>
                <c:pt idx="6">
                  <c:v>14.125</c:v>
                </c:pt>
                <c:pt idx="7">
                  <c:v>12.625</c:v>
                </c:pt>
              </c:numCache>
            </c:numRef>
          </c:xVal>
          <c:yVal>
            <c:numRef>
              <c:f>'Page 136 #7'!$C$26:$C$33</c:f>
              <c:numCache>
                <c:formatCode>General</c:formatCode>
                <c:ptCount val="8"/>
                <c:pt idx="0">
                  <c:v>24.389</c:v>
                </c:pt>
                <c:pt idx="1">
                  <c:v>15.625</c:v>
                </c:pt>
                <c:pt idx="2">
                  <c:v>41.063625</c:v>
                </c:pt>
                <c:pt idx="3">
                  <c:v>24.389</c:v>
                </c:pt>
                <c:pt idx="4">
                  <c:v>16.098453125</c:v>
                </c:pt>
                <c:pt idx="5">
                  <c:v>44.738875</c:v>
                </c:pt>
                <c:pt idx="6">
                  <c:v>22.545265625</c:v>
                </c:pt>
                <c:pt idx="7">
                  <c:v>16.098453125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'Page 136 #7'!$D$25</c:f>
              <c:strCache>
                <c:ptCount val="1"/>
                <c:pt idx="0">
                  <c:v>.126l^2g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'Page 136 #7'!$A$26:$A$33</c:f>
              <c:numCache>
                <c:formatCode>General</c:formatCode>
                <c:ptCount val="8"/>
                <c:pt idx="0">
                  <c:v>14.5</c:v>
                </c:pt>
                <c:pt idx="1">
                  <c:v>12.5</c:v>
                </c:pt>
                <c:pt idx="2">
                  <c:v>17.25</c:v>
                </c:pt>
                <c:pt idx="3">
                  <c:v>14.5</c:v>
                </c:pt>
                <c:pt idx="4">
                  <c:v>12.625</c:v>
                </c:pt>
                <c:pt idx="5">
                  <c:v>17.75</c:v>
                </c:pt>
                <c:pt idx="6">
                  <c:v>14.125</c:v>
                </c:pt>
                <c:pt idx="7">
                  <c:v>12.625</c:v>
                </c:pt>
              </c:numCache>
            </c:numRef>
          </c:xVal>
          <c:yVal>
            <c:numRef>
              <c:f>'Page 136 #7'!$D$26:$D$33</c:f>
              <c:numCache>
                <c:formatCode>General</c:formatCode>
                <c:ptCount val="8"/>
                <c:pt idx="0">
                  <c:v>25.8292125</c:v>
                </c:pt>
                <c:pt idx="1">
                  <c:v>16.48828125</c:v>
                </c:pt>
                <c:pt idx="2">
                  <c:v>41.2421625</c:v>
                </c:pt>
                <c:pt idx="3">
                  <c:v>25.8292125</c:v>
                </c:pt>
                <c:pt idx="4">
                  <c:v>17.0707359375</c:v>
                </c:pt>
                <c:pt idx="5">
                  <c:v>49.62234375</c:v>
                </c:pt>
                <c:pt idx="6">
                  <c:v>22.625071875</c:v>
                </c:pt>
                <c:pt idx="7">
                  <c:v>17.0707359375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97024"/>
        <c:axId val="1447399504"/>
      </c:scatterChart>
      <c:valAx>
        <c:axId val="1447397024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99504"/>
        <c:crosses val="autoZero"/>
        <c:crossBetween val="midCat"/>
      </c:valAx>
      <c:valAx>
        <c:axId val="14473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9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146 #5'!$B$19</c:f>
              <c:strCache>
                <c:ptCount val="1"/>
                <c:pt idx="0">
                  <c:v>logV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146 #5'!$A$20:$A$34</c:f>
              <c:numCache>
                <c:formatCode>General</c:formatCode>
                <c:ptCount val="15"/>
                <c:pt idx="0">
                  <c:v>5.533960067956448</c:v>
                </c:pt>
                <c:pt idx="1">
                  <c:v>6.038524392040428</c:v>
                </c:pt>
                <c:pt idx="2">
                  <c:v>3.739651443709377</c:v>
                </c:pt>
                <c:pt idx="3">
                  <c:v>4.693507108634517</c:v>
                </c:pt>
                <c:pt idx="4">
                  <c:v>6.127104798364807</c:v>
                </c:pt>
                <c:pt idx="5">
                  <c:v>2.562292864456475</c:v>
                </c:pt>
                <c:pt idx="6">
                  <c:v>3.397940008672037</c:v>
                </c:pt>
                <c:pt idx="7">
                  <c:v>4.893206753059848</c:v>
                </c:pt>
                <c:pt idx="8">
                  <c:v>5.938030618399617</c:v>
                </c:pt>
                <c:pt idx="9">
                  <c:v>4.146128035678238</c:v>
                </c:pt>
                <c:pt idx="10">
                  <c:v>4.374748346010103</c:v>
                </c:pt>
                <c:pt idx="11">
                  <c:v>4.8494194137969</c:v>
                </c:pt>
                <c:pt idx="12">
                  <c:v>5.483587296968894</c:v>
                </c:pt>
                <c:pt idx="13">
                  <c:v>5.139879086401236</c:v>
                </c:pt>
                <c:pt idx="14">
                  <c:v>6.415307292225567</c:v>
                </c:pt>
              </c:numCache>
            </c:numRef>
          </c:xVal>
          <c:yVal>
            <c:numRef>
              <c:f>'page 146 #5'!$B$20:$B$34</c:f>
              <c:numCache>
                <c:formatCode>General</c:formatCode>
                <c:ptCount val="15"/>
                <c:pt idx="0">
                  <c:v>0.682145076373832</c:v>
                </c:pt>
                <c:pt idx="1">
                  <c:v>0.769377326076138</c:v>
                </c:pt>
                <c:pt idx="2">
                  <c:v>0.519827993775719</c:v>
                </c:pt>
                <c:pt idx="3">
                  <c:v>0.690196080028514</c:v>
                </c:pt>
                <c:pt idx="4">
                  <c:v>0.749736315569061</c:v>
                </c:pt>
                <c:pt idx="5">
                  <c:v>0.440909082065218</c:v>
                </c:pt>
                <c:pt idx="6">
                  <c:v>0.356025857193123</c:v>
                </c:pt>
                <c:pt idx="7">
                  <c:v>0.585460729508501</c:v>
                </c:pt>
                <c:pt idx="8">
                  <c:v>0.716837723299524</c:v>
                </c:pt>
                <c:pt idx="9">
                  <c:v>0.568201724066995</c:v>
                </c:pt>
                <c:pt idx="10">
                  <c:v>0.514547752660286</c:v>
                </c:pt>
                <c:pt idx="11">
                  <c:v>0.634477270160731</c:v>
                </c:pt>
                <c:pt idx="12">
                  <c:v>0.645422269349092</c:v>
                </c:pt>
                <c:pt idx="13">
                  <c:v>0.642464520242121</c:v>
                </c:pt>
                <c:pt idx="14">
                  <c:v>0.703291378118661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087840"/>
        <c:axId val="1349089888"/>
      </c:scatterChart>
      <c:valAx>
        <c:axId val="13490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89888"/>
        <c:crosses val="autoZero"/>
        <c:crossBetween val="midCat"/>
      </c:valAx>
      <c:valAx>
        <c:axId val="13490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146 #5'!$B$19</c:f>
              <c:strCache>
                <c:ptCount val="1"/>
                <c:pt idx="0">
                  <c:v>logV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146 #5'!$A$20:$A$34</c:f>
              <c:numCache>
                <c:formatCode>General</c:formatCode>
                <c:ptCount val="15"/>
                <c:pt idx="0">
                  <c:v>5.533960067956448</c:v>
                </c:pt>
                <c:pt idx="1">
                  <c:v>6.038524392040428</c:v>
                </c:pt>
                <c:pt idx="2">
                  <c:v>3.739651443709377</c:v>
                </c:pt>
                <c:pt idx="3">
                  <c:v>4.693507108634517</c:v>
                </c:pt>
                <c:pt idx="4">
                  <c:v>6.127104798364807</c:v>
                </c:pt>
                <c:pt idx="5">
                  <c:v>2.562292864456475</c:v>
                </c:pt>
                <c:pt idx="6">
                  <c:v>3.397940008672037</c:v>
                </c:pt>
                <c:pt idx="7">
                  <c:v>4.893206753059848</c:v>
                </c:pt>
                <c:pt idx="8">
                  <c:v>5.938030618399617</c:v>
                </c:pt>
                <c:pt idx="9">
                  <c:v>4.146128035678238</c:v>
                </c:pt>
                <c:pt idx="10">
                  <c:v>4.374748346010103</c:v>
                </c:pt>
                <c:pt idx="11">
                  <c:v>4.8494194137969</c:v>
                </c:pt>
                <c:pt idx="12">
                  <c:v>5.483587296968894</c:v>
                </c:pt>
                <c:pt idx="13">
                  <c:v>5.139879086401236</c:v>
                </c:pt>
                <c:pt idx="14">
                  <c:v>6.415307292225567</c:v>
                </c:pt>
              </c:numCache>
            </c:numRef>
          </c:xVal>
          <c:yVal>
            <c:numRef>
              <c:f>'page 146 #5'!$B$20:$B$34</c:f>
              <c:numCache>
                <c:formatCode>General</c:formatCode>
                <c:ptCount val="15"/>
                <c:pt idx="0">
                  <c:v>0.682145076373832</c:v>
                </c:pt>
                <c:pt idx="1">
                  <c:v>0.769377326076138</c:v>
                </c:pt>
                <c:pt idx="2">
                  <c:v>0.519827993775719</c:v>
                </c:pt>
                <c:pt idx="3">
                  <c:v>0.690196080028514</c:v>
                </c:pt>
                <c:pt idx="4">
                  <c:v>0.749736315569061</c:v>
                </c:pt>
                <c:pt idx="5">
                  <c:v>0.440909082065218</c:v>
                </c:pt>
                <c:pt idx="6">
                  <c:v>0.356025857193123</c:v>
                </c:pt>
                <c:pt idx="7">
                  <c:v>0.585460729508501</c:v>
                </c:pt>
                <c:pt idx="8">
                  <c:v>0.716837723299524</c:v>
                </c:pt>
                <c:pt idx="9">
                  <c:v>0.568201724066995</c:v>
                </c:pt>
                <c:pt idx="10">
                  <c:v>0.514547752660286</c:v>
                </c:pt>
                <c:pt idx="11">
                  <c:v>0.634477270160731</c:v>
                </c:pt>
                <c:pt idx="12">
                  <c:v>0.645422269349092</c:v>
                </c:pt>
                <c:pt idx="13">
                  <c:v>0.642464520242121</c:v>
                </c:pt>
                <c:pt idx="14">
                  <c:v>0.703291378118661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'page 146 #5'!$C$19</c:f>
              <c:strCache>
                <c:ptCount val="1"/>
                <c:pt idx="0">
                  <c:v>.12LogP+.05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146 #5'!$A$20:$A$34</c:f>
              <c:numCache>
                <c:formatCode>General</c:formatCode>
                <c:ptCount val="15"/>
                <c:pt idx="0">
                  <c:v>5.533960067956448</c:v>
                </c:pt>
                <c:pt idx="1">
                  <c:v>6.038524392040428</c:v>
                </c:pt>
                <c:pt idx="2">
                  <c:v>3.739651443709377</c:v>
                </c:pt>
                <c:pt idx="3">
                  <c:v>4.693507108634517</c:v>
                </c:pt>
                <c:pt idx="4">
                  <c:v>6.127104798364807</c:v>
                </c:pt>
                <c:pt idx="5">
                  <c:v>2.562292864456475</c:v>
                </c:pt>
                <c:pt idx="6">
                  <c:v>3.397940008672037</c:v>
                </c:pt>
                <c:pt idx="7">
                  <c:v>4.893206753059848</c:v>
                </c:pt>
                <c:pt idx="8">
                  <c:v>5.938030618399617</c:v>
                </c:pt>
                <c:pt idx="9">
                  <c:v>4.146128035678238</c:v>
                </c:pt>
                <c:pt idx="10">
                  <c:v>4.374748346010103</c:v>
                </c:pt>
                <c:pt idx="11">
                  <c:v>4.8494194137969</c:v>
                </c:pt>
                <c:pt idx="12">
                  <c:v>5.483587296968894</c:v>
                </c:pt>
                <c:pt idx="13">
                  <c:v>5.139879086401236</c:v>
                </c:pt>
                <c:pt idx="14">
                  <c:v>6.415307292225567</c:v>
                </c:pt>
              </c:numCache>
            </c:numRef>
          </c:xVal>
          <c:yVal>
            <c:numRef>
              <c:f>'page 146 #5'!$C$20:$C$34</c:f>
              <c:numCache>
                <c:formatCode>General</c:formatCode>
                <c:ptCount val="15"/>
                <c:pt idx="0">
                  <c:v>0.714075208154774</c:v>
                </c:pt>
                <c:pt idx="1">
                  <c:v>0.774622927044851</c:v>
                </c:pt>
                <c:pt idx="2">
                  <c:v>0.498758173245125</c:v>
                </c:pt>
                <c:pt idx="3">
                  <c:v>0.613220853036142</c:v>
                </c:pt>
                <c:pt idx="4">
                  <c:v>0.785252575803777</c:v>
                </c:pt>
                <c:pt idx="5">
                  <c:v>0.357475143734777</c:v>
                </c:pt>
                <c:pt idx="6">
                  <c:v>0.457752801040644</c:v>
                </c:pt>
                <c:pt idx="7">
                  <c:v>0.637184810367182</c:v>
                </c:pt>
                <c:pt idx="8">
                  <c:v>0.762563674207954</c:v>
                </c:pt>
                <c:pt idx="9">
                  <c:v>0.547535364281389</c:v>
                </c:pt>
                <c:pt idx="10">
                  <c:v>0.574969801521212</c:v>
                </c:pt>
                <c:pt idx="11">
                  <c:v>0.631930329655628</c:v>
                </c:pt>
                <c:pt idx="12">
                  <c:v>0.708030475636267</c:v>
                </c:pt>
                <c:pt idx="13">
                  <c:v>0.666785490368148</c:v>
                </c:pt>
                <c:pt idx="14">
                  <c:v>0.819836875067068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374352"/>
        <c:axId val="1492205456"/>
      </c:scatterChart>
      <c:valAx>
        <c:axId val="14923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5456"/>
        <c:crosses val="autoZero"/>
        <c:crossBetween val="midCat"/>
      </c:valAx>
      <c:valAx>
        <c:axId val="14922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'page 146 #5'!$L$1</c:f>
              <c:strCache>
                <c:ptCount val="1"/>
                <c:pt idx="0">
                  <c:v>mean velocity v (ft/sec)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'page 146 #5'!$K$2:$K$16</c:f>
              <c:numCache>
                <c:formatCode>General</c:formatCode>
                <c:ptCount val="15"/>
                <c:pt idx="0" formatCode="#,##0">
                  <c:v>341948.0</c:v>
                </c:pt>
                <c:pt idx="1">
                  <c:v>1.092759E6</c:v>
                </c:pt>
                <c:pt idx="2">
                  <c:v>5491.0</c:v>
                </c:pt>
                <c:pt idx="3">
                  <c:v>49375.0</c:v>
                </c:pt>
                <c:pt idx="4">
                  <c:v>1.34E6</c:v>
                </c:pt>
                <c:pt idx="5">
                  <c:v>365.0</c:v>
                </c:pt>
                <c:pt idx="6">
                  <c:v>2500.0</c:v>
                </c:pt>
                <c:pt idx="7">
                  <c:v>78200.0</c:v>
                </c:pt>
                <c:pt idx="8">
                  <c:v>867023.0</c:v>
                </c:pt>
                <c:pt idx="9">
                  <c:v>14000.0</c:v>
                </c:pt>
                <c:pt idx="10">
                  <c:v>23700.0</c:v>
                </c:pt>
                <c:pt idx="11">
                  <c:v>70700.0</c:v>
                </c:pt>
                <c:pt idx="12">
                  <c:v>304500.0</c:v>
                </c:pt>
                <c:pt idx="13">
                  <c:v>138000.0</c:v>
                </c:pt>
                <c:pt idx="14">
                  <c:v>2.602E6</c:v>
                </c:pt>
              </c:numCache>
            </c:numRef>
          </c:xVal>
          <c:yVal>
            <c:numRef>
              <c:f>'page 146 #5'!$L$2:$L$16</c:f>
              <c:numCache>
                <c:formatCode>General</c:formatCode>
                <c:ptCount val="15"/>
                <c:pt idx="0">
                  <c:v>4.81</c:v>
                </c:pt>
                <c:pt idx="1">
                  <c:v>5.88</c:v>
                </c:pt>
                <c:pt idx="2">
                  <c:v>3.31</c:v>
                </c:pt>
                <c:pt idx="3">
                  <c:v>4.9</c:v>
                </c:pt>
                <c:pt idx="4">
                  <c:v>5.62</c:v>
                </c:pt>
                <c:pt idx="5">
                  <c:v>2.76</c:v>
                </c:pt>
                <c:pt idx="6">
                  <c:v>2.27</c:v>
                </c:pt>
                <c:pt idx="7">
                  <c:v>3.85</c:v>
                </c:pt>
                <c:pt idx="8">
                  <c:v>5.21</c:v>
                </c:pt>
                <c:pt idx="9">
                  <c:v>3.7</c:v>
                </c:pt>
                <c:pt idx="10">
                  <c:v>3.27</c:v>
                </c:pt>
                <c:pt idx="11">
                  <c:v>4.31</c:v>
                </c:pt>
                <c:pt idx="12">
                  <c:v>4.42</c:v>
                </c:pt>
                <c:pt idx="13">
                  <c:v>4.39</c:v>
                </c:pt>
                <c:pt idx="14">
                  <c:v>5.05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'page 146 #5'!$M$1</c:f>
              <c:strCache>
                <c:ptCount val="1"/>
                <c:pt idx="0">
                  <c:v>M1 1.122P^12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'page 146 #5'!$K$2:$K$16</c:f>
              <c:numCache>
                <c:formatCode>General</c:formatCode>
                <c:ptCount val="15"/>
                <c:pt idx="0" formatCode="#,##0">
                  <c:v>341948.0</c:v>
                </c:pt>
                <c:pt idx="1">
                  <c:v>1.092759E6</c:v>
                </c:pt>
                <c:pt idx="2">
                  <c:v>5491.0</c:v>
                </c:pt>
                <c:pt idx="3">
                  <c:v>49375.0</c:v>
                </c:pt>
                <c:pt idx="4">
                  <c:v>1.34E6</c:v>
                </c:pt>
                <c:pt idx="5">
                  <c:v>365.0</c:v>
                </c:pt>
                <c:pt idx="6">
                  <c:v>2500.0</c:v>
                </c:pt>
                <c:pt idx="7">
                  <c:v>78200.0</c:v>
                </c:pt>
                <c:pt idx="8">
                  <c:v>867023.0</c:v>
                </c:pt>
                <c:pt idx="9">
                  <c:v>14000.0</c:v>
                </c:pt>
                <c:pt idx="10">
                  <c:v>23700.0</c:v>
                </c:pt>
                <c:pt idx="11">
                  <c:v>70700.0</c:v>
                </c:pt>
                <c:pt idx="12">
                  <c:v>304500.0</c:v>
                </c:pt>
                <c:pt idx="13">
                  <c:v>138000.0</c:v>
                </c:pt>
                <c:pt idx="14">
                  <c:v>2.602E6</c:v>
                </c:pt>
              </c:numCache>
            </c:numRef>
          </c:xVal>
          <c:yVal>
            <c:numRef>
              <c:f>'page 146 #5'!$M$2:$M$16</c:f>
              <c:numCache>
                <c:formatCode>General</c:formatCode>
                <c:ptCount val="15"/>
                <c:pt idx="0">
                  <c:v>5.176879605630702</c:v>
                </c:pt>
                <c:pt idx="1">
                  <c:v>5.951354001556163</c:v>
                </c:pt>
                <c:pt idx="2">
                  <c:v>3.153196458864906</c:v>
                </c:pt>
                <c:pt idx="3">
                  <c:v>4.104060080933194</c:v>
                </c:pt>
                <c:pt idx="4">
                  <c:v>6.098814620159324</c:v>
                </c:pt>
                <c:pt idx="5">
                  <c:v>2.277550422992532</c:v>
                </c:pt>
                <c:pt idx="6">
                  <c:v>2.869099818274567</c:v>
                </c:pt>
                <c:pt idx="7">
                  <c:v>4.336882613880104</c:v>
                </c:pt>
                <c:pt idx="8">
                  <c:v>5.78837329388381</c:v>
                </c:pt>
                <c:pt idx="9">
                  <c:v>3.5279971140536</c:v>
                </c:pt>
                <c:pt idx="10">
                  <c:v>3.758050903822734</c:v>
                </c:pt>
                <c:pt idx="11">
                  <c:v>4.284727299609397</c:v>
                </c:pt>
                <c:pt idx="12">
                  <c:v>5.105324276936535</c:v>
                </c:pt>
                <c:pt idx="13">
                  <c:v>4.64278259085535</c:v>
                </c:pt>
                <c:pt idx="14">
                  <c:v>6.604344695590357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89600"/>
        <c:axId val="1492534080"/>
      </c:scatterChart>
      <c:valAx>
        <c:axId val="144758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4080"/>
        <c:crosses val="autoZero"/>
        <c:crossBetween val="midCat"/>
      </c:valAx>
      <c:valAx>
        <c:axId val="1492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5.xml"/><Relationship Id="rId1" Type="http://schemas.openxmlformats.org/officeDocument/2006/relationships/chart" Target="../charts/chart4.xm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13</xdr:row>
      <xdr:rowOff>82550</xdr:rowOff>
    </xdr:from>
    <xdr:to>
      <xdr:col>13</xdr:col>
      <xdr:colOff>495300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13</xdr:row>
      <xdr:rowOff>120650</xdr:rowOff>
    </xdr:from>
    <xdr:to>
      <xdr:col>6</xdr:col>
      <xdr:colOff>654050</xdr:colOff>
      <xdr:row>27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13</xdr:row>
      <xdr:rowOff>82550</xdr:rowOff>
    </xdr:from>
    <xdr:to>
      <xdr:col>10</xdr:col>
      <xdr:colOff>774700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1422400</xdr:colOff>
      <xdr:row>24</xdr:row>
      <xdr:rowOff>6350</xdr:rowOff>
    </xdr:from>
    <xdr:to>
      <xdr:col>10</xdr:col>
      <xdr:colOff>393700</xdr:colOff>
      <xdr:row>37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381000</xdr:colOff>
      <xdr:row>12</xdr:row>
      <xdr:rowOff>0</xdr:rowOff>
    </xdr:to>
    <xdr:pic>
      <xdr:nvPicPr>
        <xdr:cNvPr id="4" name="Picture 3" descr="/Users/andre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2235200"/>
          <a:ext cx="381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241300</xdr:colOff>
      <xdr:row>12</xdr:row>
      <xdr:rowOff>0</xdr:rowOff>
    </xdr:to>
    <xdr:pic>
      <xdr:nvPicPr>
        <xdr:cNvPr id="5" name="Picture 4" descr="/Users/andre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2352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1168400</xdr:colOff>
      <xdr:row>23</xdr:row>
      <xdr:rowOff>120650</xdr:rowOff>
    </xdr:from>
    <xdr:to>
      <xdr:col>10</xdr:col>
      <xdr:colOff>139700</xdr:colOff>
      <xdr:row>37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330200</xdr:colOff>
      <xdr:row>1</xdr:row>
      <xdr:rowOff>0</xdr:rowOff>
    </xdr:to>
    <xdr:pic>
      <xdr:nvPicPr>
        <xdr:cNvPr id="2" name="Picture 1" descr="/Users/andre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330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114300</xdr:rowOff>
    </xdr:to>
    <xdr:pic>
      <xdr:nvPicPr>
        <xdr:cNvPr id="3" name="Picture 2" descr="/Users/andrew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711201</xdr:colOff>
      <xdr:row>5</xdr:row>
      <xdr:rowOff>186460</xdr:rowOff>
    </xdr:from>
    <xdr:to>
      <xdr:col>12</xdr:col>
      <xdr:colOff>324427</xdr:colOff>
      <xdr:row>19</xdr:row>
      <xdr:rowOff>80242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25</xdr:row>
      <xdr:rowOff>69850</xdr:rowOff>
    </xdr:from>
    <xdr:to>
      <xdr:col>9</xdr:col>
      <xdr:colOff>768350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22</xdr:row>
      <xdr:rowOff>171450</xdr:rowOff>
    </xdr:from>
    <xdr:to>
      <xdr:col>13</xdr:col>
      <xdr:colOff>152400</xdr:colOff>
      <xdr:row>36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654050</xdr:colOff>
      <xdr:row>24</xdr:row>
      <xdr:rowOff>57150</xdr:rowOff>
    </xdr:from>
    <xdr:to>
      <xdr:col>7</xdr:col>
      <xdr:colOff>273050</xdr:colOff>
      <xdr:row>37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48</xdr:row>
      <xdr:rowOff>57150</xdr:rowOff>
    </xdr:from>
    <xdr:to>
      <xdr:col>12</xdr:col>
      <xdr:colOff>355600</xdr:colOff>
      <xdr:row>61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13</xdr:row>
      <xdr:rowOff>82550</xdr:rowOff>
    </xdr:from>
    <xdr:to>
      <xdr:col>9</xdr:col>
      <xdr:colOff>819150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42</xdr:row>
      <xdr:rowOff>82550</xdr:rowOff>
    </xdr:from>
    <xdr:to>
      <xdr:col>7</xdr:col>
      <xdr:colOff>285750</xdr:colOff>
      <xdr:row>55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1" sqref="E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</row>
    <row r="2" spans="1:11" x14ac:dyDescent="0.2">
      <c r="A2">
        <v>5</v>
      </c>
      <c r="B2">
        <v>0</v>
      </c>
      <c r="C2">
        <f>3.96 *A:A</f>
        <v>19.8</v>
      </c>
      <c r="D2">
        <v>0</v>
      </c>
    </row>
    <row r="3" spans="1:11" x14ac:dyDescent="0.2">
      <c r="A3">
        <v>10</v>
      </c>
      <c r="B3">
        <v>19</v>
      </c>
      <c r="C3">
        <f t="shared" ref="C3:C12" si="0">3.96 *A:A</f>
        <v>39.6</v>
      </c>
      <c r="D3">
        <f t="shared" ref="D3:D12" si="1">LN(B:B)</f>
        <v>2.9444389791664403</v>
      </c>
    </row>
    <row r="4" spans="1:11" x14ac:dyDescent="0.2">
      <c r="A4">
        <v>20</v>
      </c>
      <c r="B4">
        <v>57</v>
      </c>
      <c r="C4">
        <f t="shared" si="0"/>
        <v>79.2</v>
      </c>
      <c r="D4">
        <f t="shared" si="1"/>
        <v>4.0430512678345503</v>
      </c>
    </row>
    <row r="5" spans="1:11" x14ac:dyDescent="0.2">
      <c r="A5">
        <v>30</v>
      </c>
      <c r="B5">
        <v>94</v>
      </c>
      <c r="C5">
        <f t="shared" si="0"/>
        <v>118.8</v>
      </c>
      <c r="D5">
        <f t="shared" si="1"/>
        <v>4.5432947822700038</v>
      </c>
      <c r="F5">
        <f>LN(165)</f>
        <v>5.1059454739005803</v>
      </c>
      <c r="H5">
        <f>134/40</f>
        <v>3.35</v>
      </c>
      <c r="K5">
        <f>LN(3)+ 3</f>
        <v>4.09861228866811</v>
      </c>
    </row>
    <row r="6" spans="1:11" x14ac:dyDescent="0.2">
      <c r="A6">
        <v>40</v>
      </c>
      <c r="B6">
        <v>134</v>
      </c>
      <c r="C6">
        <f t="shared" si="0"/>
        <v>158.4</v>
      </c>
      <c r="D6">
        <f t="shared" si="1"/>
        <v>4.8978397999509111</v>
      </c>
    </row>
    <row r="7" spans="1:11" x14ac:dyDescent="0.2">
      <c r="A7">
        <v>50</v>
      </c>
      <c r="B7">
        <v>173</v>
      </c>
      <c r="C7">
        <f t="shared" si="0"/>
        <v>198</v>
      </c>
      <c r="D7">
        <f t="shared" si="1"/>
        <v>5.1532915944977793</v>
      </c>
    </row>
    <row r="8" spans="1:11" x14ac:dyDescent="0.2">
      <c r="A8">
        <v>60</v>
      </c>
      <c r="B8">
        <v>216</v>
      </c>
      <c r="C8">
        <f t="shared" si="0"/>
        <v>237.6</v>
      </c>
      <c r="D8">
        <f t="shared" si="1"/>
        <v>5.3752784076841653</v>
      </c>
    </row>
    <row r="9" spans="1:11" x14ac:dyDescent="0.2">
      <c r="A9">
        <v>70</v>
      </c>
      <c r="B9">
        <v>256</v>
      </c>
      <c r="C9">
        <f t="shared" si="0"/>
        <v>277.2</v>
      </c>
      <c r="D9">
        <f t="shared" si="1"/>
        <v>5.5451774444795623</v>
      </c>
    </row>
    <row r="10" spans="1:11" x14ac:dyDescent="0.2">
      <c r="A10">
        <v>80</v>
      </c>
      <c r="B10">
        <v>297</v>
      </c>
      <c r="C10">
        <f t="shared" si="0"/>
        <v>316.8</v>
      </c>
      <c r="D10">
        <f t="shared" si="1"/>
        <v>5.6937321388026998</v>
      </c>
    </row>
    <row r="11" spans="1:11" x14ac:dyDescent="0.2">
      <c r="A11">
        <v>90</v>
      </c>
      <c r="B11">
        <v>343</v>
      </c>
      <c r="C11">
        <f t="shared" si="0"/>
        <v>356.4</v>
      </c>
      <c r="D11">
        <f t="shared" si="1"/>
        <v>5.8377304471659395</v>
      </c>
    </row>
    <row r="12" spans="1:11" x14ac:dyDescent="0.2">
      <c r="A12">
        <v>100</v>
      </c>
      <c r="B12">
        <v>390</v>
      </c>
      <c r="C12">
        <f t="shared" si="0"/>
        <v>396</v>
      </c>
      <c r="D12">
        <f t="shared" si="1"/>
        <v>5.9661467391236922</v>
      </c>
    </row>
    <row r="31" spans="2:2" x14ac:dyDescent="0.2">
      <c r="B31">
        <f>(134-94)/(40-30)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1</v>
      </c>
      <c r="B2">
        <v>3.6</v>
      </c>
      <c r="C2">
        <v>1</v>
      </c>
    </row>
    <row r="3" spans="1:3" x14ac:dyDescent="0.2">
      <c r="A3">
        <v>2.2999999999999998</v>
      </c>
      <c r="B3">
        <v>3</v>
      </c>
      <c r="C3">
        <v>2</v>
      </c>
    </row>
    <row r="4" spans="1:3" x14ac:dyDescent="0.2">
      <c r="A4">
        <v>3.7</v>
      </c>
      <c r="B4">
        <v>3.2</v>
      </c>
      <c r="C4">
        <v>3</v>
      </c>
    </row>
    <row r="5" spans="1:3" x14ac:dyDescent="0.2">
      <c r="A5">
        <v>4.2</v>
      </c>
      <c r="B5">
        <v>5.0999999999999996</v>
      </c>
      <c r="C5">
        <v>4</v>
      </c>
    </row>
    <row r="6" spans="1:3" x14ac:dyDescent="0.2">
      <c r="A6">
        <v>6.1</v>
      </c>
      <c r="B6">
        <v>5.3</v>
      </c>
      <c r="C6">
        <v>5</v>
      </c>
    </row>
    <row r="7" spans="1:3" x14ac:dyDescent="0.2">
      <c r="A7">
        <v>7</v>
      </c>
      <c r="B7">
        <v>6.8</v>
      </c>
      <c r="C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1" sqref="D21"/>
    </sheetView>
  </sheetViews>
  <sheetFormatPr baseColWidth="10" defaultRowHeight="16" x14ac:dyDescent="0.2"/>
  <cols>
    <col min="1" max="1" width="19" customWidth="1"/>
    <col min="2" max="2" width="20.6640625" customWidth="1"/>
    <col min="3" max="3" width="19.6640625" customWidth="1"/>
    <col min="4" max="4" width="19.1640625" bestFit="1" customWidth="1"/>
    <col min="5" max="5" width="19.33203125" bestFit="1" customWidth="1"/>
  </cols>
  <sheetData>
    <row r="1" spans="1:6" x14ac:dyDescent="0.2">
      <c r="A1" t="s">
        <v>7</v>
      </c>
      <c r="B1" t="s">
        <v>8</v>
      </c>
      <c r="C1" t="s">
        <v>19</v>
      </c>
      <c r="D1" t="s">
        <v>9</v>
      </c>
      <c r="E1" t="s">
        <v>18</v>
      </c>
    </row>
    <row r="2" spans="1:6" x14ac:dyDescent="0.2">
      <c r="A2" t="s">
        <v>10</v>
      </c>
      <c r="B2">
        <v>7.6</v>
      </c>
      <c r="C2">
        <v>6</v>
      </c>
      <c r="D2">
        <v>5.79</v>
      </c>
      <c r="E2">
        <v>10</v>
      </c>
    </row>
    <row r="3" spans="1:6" x14ac:dyDescent="0.2">
      <c r="A3" t="s">
        <v>11</v>
      </c>
      <c r="B3">
        <v>1.94</v>
      </c>
      <c r="C3">
        <v>7</v>
      </c>
      <c r="D3">
        <v>1.08</v>
      </c>
      <c r="E3">
        <v>11</v>
      </c>
    </row>
    <row r="4" spans="1:6" x14ac:dyDescent="0.2">
      <c r="A4" t="s">
        <v>12</v>
      </c>
      <c r="B4">
        <v>3.16</v>
      </c>
      <c r="C4">
        <v>7</v>
      </c>
      <c r="D4">
        <v>1.5</v>
      </c>
      <c r="E4">
        <v>11</v>
      </c>
    </row>
    <row r="5" spans="1:6" x14ac:dyDescent="0.2">
      <c r="A5" t="s">
        <v>13</v>
      </c>
      <c r="B5">
        <v>5.94</v>
      </c>
      <c r="C5">
        <v>7</v>
      </c>
      <c r="D5">
        <v>2.2799999999999998</v>
      </c>
      <c r="E5">
        <v>11</v>
      </c>
    </row>
    <row r="6" spans="1:6" x14ac:dyDescent="0.2">
      <c r="A6" t="s">
        <v>14</v>
      </c>
      <c r="B6">
        <v>3.74</v>
      </c>
      <c r="C6">
        <v>8</v>
      </c>
      <c r="D6">
        <v>7.79</v>
      </c>
      <c r="E6">
        <v>11</v>
      </c>
    </row>
    <row r="7" spans="1:6" x14ac:dyDescent="0.2">
      <c r="A7" t="s">
        <v>15</v>
      </c>
      <c r="B7">
        <v>9.35</v>
      </c>
      <c r="C7">
        <v>8</v>
      </c>
      <c r="D7">
        <v>1.43</v>
      </c>
      <c r="E7">
        <v>12</v>
      </c>
    </row>
    <row r="8" spans="1:6" x14ac:dyDescent="0.2">
      <c r="A8" t="s">
        <v>16</v>
      </c>
      <c r="B8">
        <v>2.64</v>
      </c>
      <c r="C8">
        <v>9</v>
      </c>
      <c r="D8">
        <v>2.87</v>
      </c>
      <c r="E8">
        <v>12</v>
      </c>
    </row>
    <row r="9" spans="1:6" x14ac:dyDescent="0.2">
      <c r="A9" t="s">
        <v>17</v>
      </c>
      <c r="B9">
        <v>5.22</v>
      </c>
      <c r="C9">
        <v>9</v>
      </c>
      <c r="D9">
        <v>4.5</v>
      </c>
      <c r="E9">
        <v>12</v>
      </c>
    </row>
    <row r="12" spans="1:6" x14ac:dyDescent="0.2">
      <c r="A12" t="s">
        <v>7</v>
      </c>
      <c r="B12" t="s">
        <v>20</v>
      </c>
      <c r="C12" t="s">
        <v>21</v>
      </c>
      <c r="F12" t="s">
        <v>22</v>
      </c>
    </row>
    <row r="13" spans="1:6" x14ac:dyDescent="0.2">
      <c r="A13" t="s">
        <v>10</v>
      </c>
      <c r="B13">
        <f t="shared" ref="B13:B20" si="0">D2*(10^E2)</f>
        <v>57900000000</v>
      </c>
      <c r="C13">
        <f t="shared" ref="C13:C20" si="1">B2*(10^C2)</f>
        <v>7600000</v>
      </c>
      <c r="D13">
        <f>(B13^(3/2))*C13</f>
        <v>1.0588426782407291E+23</v>
      </c>
      <c r="E13">
        <f>B:B^3</f>
        <v>1.9410453899999998E+32</v>
      </c>
      <c r="F13">
        <f>$D$23*(B:B^(3/2))</f>
        <v>7607582.6234203856</v>
      </c>
    </row>
    <row r="14" spans="1:6" x14ac:dyDescent="0.2">
      <c r="A14" t="s">
        <v>11</v>
      </c>
      <c r="B14">
        <f t="shared" si="0"/>
        <v>108000000000</v>
      </c>
      <c r="C14">
        <f t="shared" si="1"/>
        <v>19400000</v>
      </c>
      <c r="D14">
        <f t="shared" ref="D14:D20" si="2">(B14^(3/2))*C14</f>
        <v>6.8855298149089513E+23</v>
      </c>
      <c r="E14">
        <f t="shared" ref="E14:E20" si="3">B:B^3</f>
        <v>1.2597119999999999E+33</v>
      </c>
      <c r="F14">
        <f t="shared" ref="F14:F21" si="4">$D$23*(B:B^(3/2))</f>
        <v>19380477.158336535</v>
      </c>
    </row>
    <row r="15" spans="1:6" x14ac:dyDescent="0.2">
      <c r="A15" t="s">
        <v>12</v>
      </c>
      <c r="B15">
        <f t="shared" si="0"/>
        <v>150000000000</v>
      </c>
      <c r="C15">
        <f t="shared" si="1"/>
        <v>31600000</v>
      </c>
      <c r="D15">
        <f t="shared" si="2"/>
        <v>1.8357941061023148E+24</v>
      </c>
      <c r="E15">
        <f t="shared" si="3"/>
        <v>3.375E+33</v>
      </c>
      <c r="F15">
        <f t="shared" si="4"/>
        <v>31722376.901135959</v>
      </c>
    </row>
    <row r="16" spans="1:6" x14ac:dyDescent="0.2">
      <c r="A16" t="s">
        <v>13</v>
      </c>
      <c r="B16">
        <f t="shared" si="0"/>
        <v>227999999999.99997</v>
      </c>
      <c r="C16">
        <f t="shared" si="1"/>
        <v>59400000.000000007</v>
      </c>
      <c r="D16">
        <f t="shared" si="2"/>
        <v>6.4667893658847424E+24</v>
      </c>
      <c r="E16">
        <f t="shared" si="3"/>
        <v>1.1852351999999995E+34</v>
      </c>
      <c r="F16">
        <f t="shared" si="4"/>
        <v>59447158.770553939</v>
      </c>
    </row>
    <row r="17" spans="1:6" x14ac:dyDescent="0.2">
      <c r="A17" t="s">
        <v>14</v>
      </c>
      <c r="B17">
        <f t="shared" si="0"/>
        <v>779000000000</v>
      </c>
      <c r="C17">
        <f t="shared" si="1"/>
        <v>374000000</v>
      </c>
      <c r="D17">
        <f t="shared" si="2"/>
        <v>2.5714482504371626E+26</v>
      </c>
      <c r="E17">
        <f t="shared" si="3"/>
        <v>4.72729139E+35</v>
      </c>
      <c r="F17">
        <f t="shared" si="4"/>
        <v>375435225.92267841</v>
      </c>
    </row>
    <row r="18" spans="1:6" x14ac:dyDescent="0.2">
      <c r="A18" t="s">
        <v>15</v>
      </c>
      <c r="B18">
        <f t="shared" si="0"/>
        <v>1430000000000</v>
      </c>
      <c r="C18">
        <f t="shared" si="1"/>
        <v>935000000</v>
      </c>
      <c r="D18">
        <f t="shared" si="2"/>
        <v>1.5988792526563627E+27</v>
      </c>
      <c r="E18">
        <f t="shared" si="3"/>
        <v>2.9242070000000002E+36</v>
      </c>
      <c r="F18">
        <f t="shared" si="4"/>
        <v>933754888.26901197</v>
      </c>
    </row>
    <row r="19" spans="1:6" x14ac:dyDescent="0.2">
      <c r="A19" t="s">
        <v>16</v>
      </c>
      <c r="B19">
        <f t="shared" si="0"/>
        <v>2870000000000</v>
      </c>
      <c r="C19">
        <f t="shared" si="1"/>
        <v>2640000000</v>
      </c>
      <c r="D19">
        <f t="shared" si="2"/>
        <v>1.2835913210551132E+28</v>
      </c>
      <c r="E19">
        <f t="shared" si="3"/>
        <v>2.3639903E+37</v>
      </c>
      <c r="F19">
        <f>$D$23*(B:B^(3/2))</f>
        <v>2654921455.9095922</v>
      </c>
    </row>
    <row r="20" spans="1:6" x14ac:dyDescent="0.2">
      <c r="A20" t="s">
        <v>17</v>
      </c>
      <c r="B20">
        <f t="shared" si="0"/>
        <v>4500000000000</v>
      </c>
      <c r="C20">
        <f t="shared" si="1"/>
        <v>5220000000</v>
      </c>
      <c r="D20">
        <f t="shared" si="2"/>
        <v>4.9829814870216143E+28</v>
      </c>
      <c r="E20">
        <f t="shared" si="3"/>
        <v>9.1124999999999992E+37</v>
      </c>
      <c r="F20">
        <f t="shared" si="4"/>
        <v>5212518421.9299154</v>
      </c>
    </row>
    <row r="21" spans="1:6" x14ac:dyDescent="0.2">
      <c r="D21">
        <f>SUM(D13:D20)</f>
        <v>6.4530849179188659E+28</v>
      </c>
      <c r="E21">
        <f>SUM(E13:E20)</f>
        <v>1.18178520307539E+38</v>
      </c>
      <c r="F21">
        <f t="shared" si="4"/>
        <v>0</v>
      </c>
    </row>
    <row r="23" spans="1:6" x14ac:dyDescent="0.2">
      <c r="D23">
        <f>D21/E21</f>
        <v>5.4604549973428653E-10</v>
      </c>
    </row>
    <row r="27" spans="1:6" x14ac:dyDescent="0.2">
      <c r="A27" t="s">
        <v>7</v>
      </c>
      <c r="B27" t="s">
        <v>20</v>
      </c>
      <c r="C27" t="s">
        <v>21</v>
      </c>
      <c r="D27" t="s">
        <v>22</v>
      </c>
    </row>
    <row r="28" spans="1:6" x14ac:dyDescent="0.2">
      <c r="A28" t="s">
        <v>10</v>
      </c>
      <c r="B28">
        <v>57900000000</v>
      </c>
      <c r="C28">
        <v>7600000</v>
      </c>
      <c r="D28">
        <v>7607582.6234203856</v>
      </c>
    </row>
    <row r="29" spans="1:6" x14ac:dyDescent="0.2">
      <c r="A29" t="s">
        <v>11</v>
      </c>
      <c r="B29">
        <v>108000000000</v>
      </c>
      <c r="C29">
        <v>19400000</v>
      </c>
      <c r="D29">
        <v>19380477.158336535</v>
      </c>
    </row>
    <row r="30" spans="1:6" x14ac:dyDescent="0.2">
      <c r="A30" t="s">
        <v>12</v>
      </c>
      <c r="B30">
        <v>150000000000</v>
      </c>
      <c r="C30">
        <v>31600000</v>
      </c>
      <c r="D30">
        <v>31722376.901135959</v>
      </c>
    </row>
    <row r="31" spans="1:6" x14ac:dyDescent="0.2">
      <c r="A31" t="s">
        <v>13</v>
      </c>
      <c r="B31">
        <v>227999999999.99997</v>
      </c>
      <c r="C31">
        <v>59400000.000000007</v>
      </c>
      <c r="D31">
        <v>59447158.770553939</v>
      </c>
    </row>
    <row r="32" spans="1:6" x14ac:dyDescent="0.2">
      <c r="A32" t="s">
        <v>14</v>
      </c>
      <c r="B32">
        <v>779000000000</v>
      </c>
      <c r="C32">
        <v>374000000</v>
      </c>
      <c r="D32">
        <v>375435225.92267841</v>
      </c>
    </row>
    <row r="33" spans="1:4" x14ac:dyDescent="0.2">
      <c r="A33" t="s">
        <v>15</v>
      </c>
      <c r="B33">
        <v>1430000000000</v>
      </c>
      <c r="C33">
        <v>935000000</v>
      </c>
      <c r="D33">
        <v>933754888.26901197</v>
      </c>
    </row>
    <row r="34" spans="1:4" x14ac:dyDescent="0.2">
      <c r="A34" t="s">
        <v>16</v>
      </c>
      <c r="B34">
        <v>2870000000000</v>
      </c>
      <c r="C34">
        <v>2640000000</v>
      </c>
      <c r="D34">
        <v>2654921455.9095922</v>
      </c>
    </row>
    <row r="35" spans="1:4" x14ac:dyDescent="0.2">
      <c r="A35" t="s">
        <v>17</v>
      </c>
      <c r="B35">
        <v>4500000000000</v>
      </c>
      <c r="C35">
        <v>5220000000</v>
      </c>
      <c r="D35">
        <v>5212518421.9299154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2" zoomScale="110" zoomScaleNormal="110" zoomScalePageLayoutView="110" workbookViewId="0">
      <selection activeCell="E43" sqref="E43"/>
    </sheetView>
  </sheetViews>
  <sheetFormatPr baseColWidth="10" defaultRowHeight="16" x14ac:dyDescent="0.2"/>
  <sheetData>
    <row r="1" spans="1:6" x14ac:dyDescent="0.2">
      <c r="A1" s="1" t="s">
        <v>23</v>
      </c>
      <c r="B1" s="1" t="s">
        <v>24</v>
      </c>
      <c r="C1" s="1"/>
      <c r="D1" s="1"/>
      <c r="E1" s="1"/>
    </row>
    <row r="2" spans="1:6" x14ac:dyDescent="0.2">
      <c r="A2" s="1">
        <v>14.5</v>
      </c>
      <c r="B2" s="1">
        <v>27</v>
      </c>
      <c r="C2" s="1">
        <f t="shared" ref="C2:C9" si="0">(A:A^3)*(B:B)</f>
        <v>82312.875</v>
      </c>
      <c r="D2" s="1">
        <f t="shared" ref="D2:D9" si="1">A:A^6</f>
        <v>9294114.390625</v>
      </c>
      <c r="E2" s="1"/>
    </row>
    <row r="3" spans="1:6" x14ac:dyDescent="0.2">
      <c r="A3" s="1">
        <v>12.5</v>
      </c>
      <c r="B3" s="1">
        <v>17</v>
      </c>
      <c r="C3" s="1">
        <f t="shared" si="0"/>
        <v>33203.125</v>
      </c>
      <c r="D3" s="1">
        <f t="shared" si="1"/>
        <v>3814697.265625</v>
      </c>
      <c r="E3" s="1"/>
    </row>
    <row r="4" spans="1:6" x14ac:dyDescent="0.2">
      <c r="A4" s="1">
        <v>17.25</v>
      </c>
      <c r="B4" s="1">
        <v>41</v>
      </c>
      <c r="C4" s="1">
        <f t="shared" si="0"/>
        <v>210451.078125</v>
      </c>
      <c r="D4" s="1">
        <f t="shared" si="1"/>
        <v>26347207.783447266</v>
      </c>
      <c r="E4" s="1"/>
    </row>
    <row r="5" spans="1:6" x14ac:dyDescent="0.2">
      <c r="A5" s="1">
        <v>14.5</v>
      </c>
      <c r="B5" s="1">
        <v>26</v>
      </c>
      <c r="C5" s="1">
        <f t="shared" si="0"/>
        <v>79264.25</v>
      </c>
      <c r="D5" s="1">
        <f t="shared" si="1"/>
        <v>9294114.390625</v>
      </c>
      <c r="E5" s="1"/>
    </row>
    <row r="6" spans="1:6" x14ac:dyDescent="0.2">
      <c r="A6" s="1">
        <v>12.625</v>
      </c>
      <c r="B6" s="1">
        <v>17</v>
      </c>
      <c r="C6" s="1">
        <f t="shared" si="0"/>
        <v>34209.212890625</v>
      </c>
      <c r="D6" s="1">
        <f t="shared" si="1"/>
        <v>4049378.0159034729</v>
      </c>
      <c r="E6" s="1"/>
    </row>
    <row r="7" spans="1:6" x14ac:dyDescent="0.2">
      <c r="A7" s="1">
        <v>17.75</v>
      </c>
      <c r="B7" s="1">
        <v>49</v>
      </c>
      <c r="C7" s="1">
        <f t="shared" si="0"/>
        <v>274025.609375</v>
      </c>
      <c r="D7" s="1">
        <f t="shared" si="1"/>
        <v>31274483.379150391</v>
      </c>
      <c r="E7" s="1"/>
    </row>
    <row r="8" spans="1:6" x14ac:dyDescent="0.2">
      <c r="A8" s="1">
        <v>14.125</v>
      </c>
      <c r="B8" s="1">
        <v>23</v>
      </c>
      <c r="C8" s="1">
        <f t="shared" si="0"/>
        <v>64817.638671875</v>
      </c>
      <c r="D8" s="1">
        <f t="shared" si="1"/>
        <v>7942015.6578407288</v>
      </c>
      <c r="E8" s="1"/>
    </row>
    <row r="9" spans="1:6" x14ac:dyDescent="0.2">
      <c r="A9" s="1">
        <v>12.625</v>
      </c>
      <c r="B9" s="1">
        <v>16</v>
      </c>
      <c r="C9" s="1">
        <f t="shared" si="0"/>
        <v>32196.90625</v>
      </c>
      <c r="D9" s="1">
        <f t="shared" si="1"/>
        <v>4049378.0159034729</v>
      </c>
      <c r="E9" s="1"/>
    </row>
    <row r="10" spans="1:6" x14ac:dyDescent="0.2">
      <c r="A10" s="1"/>
      <c r="B10" s="1" t="s">
        <v>25</v>
      </c>
      <c r="C10" s="1">
        <f>SUM(C2:C9)</f>
        <v>810480.6953125</v>
      </c>
      <c r="D10" s="1">
        <f>SUM(D2:D9)</f>
        <v>96065388.899120331</v>
      </c>
      <c r="E10" s="1">
        <f>C10/D10</f>
        <v>8.4367606752063177E-3</v>
      </c>
    </row>
    <row r="13" spans="1:6" x14ac:dyDescent="0.2">
      <c r="A13" s="1" t="s">
        <v>23</v>
      </c>
      <c r="B13" s="1" t="s">
        <v>24</v>
      </c>
      <c r="C13" t="s">
        <v>26</v>
      </c>
      <c r="D13" t="s">
        <v>27</v>
      </c>
      <c r="E13" s="1" t="s">
        <v>28</v>
      </c>
      <c r="F13" s="1"/>
    </row>
    <row r="14" spans="1:6" x14ac:dyDescent="0.2">
      <c r="A14" s="1">
        <v>14.5</v>
      </c>
      <c r="B14" s="1">
        <v>27</v>
      </c>
      <c r="C14">
        <v>9.75</v>
      </c>
      <c r="D14" s="1">
        <f t="shared" ref="D14:D21" si="2">B:B*C:C*(A:A^2)</f>
        <v>55348.3125</v>
      </c>
      <c r="E14" s="1">
        <f t="shared" ref="E14:E21" si="3">(A14^4)*(C:C^2)</f>
        <v>4202243.75390625</v>
      </c>
      <c r="F14" s="1"/>
    </row>
    <row r="15" spans="1:6" x14ac:dyDescent="0.2">
      <c r="A15" s="1">
        <v>12.5</v>
      </c>
      <c r="B15" s="1">
        <v>17</v>
      </c>
      <c r="C15">
        <v>8.375</v>
      </c>
      <c r="D15" s="1">
        <f t="shared" si="2"/>
        <v>22246.09375</v>
      </c>
      <c r="E15" s="1">
        <f t="shared" si="3"/>
        <v>1712417.6025390625</v>
      </c>
      <c r="F15" s="1"/>
    </row>
    <row r="16" spans="1:6" x14ac:dyDescent="0.2">
      <c r="A16" s="1">
        <v>17.25</v>
      </c>
      <c r="B16" s="1">
        <v>41</v>
      </c>
      <c r="C16">
        <v>11</v>
      </c>
      <c r="D16" s="1">
        <f t="shared" si="2"/>
        <v>134200.6875</v>
      </c>
      <c r="E16" s="1">
        <f t="shared" si="3"/>
        <v>10713756.41015625</v>
      </c>
      <c r="F16" s="1"/>
    </row>
    <row r="17" spans="1:7" x14ac:dyDescent="0.2">
      <c r="A17" s="1">
        <v>14.5</v>
      </c>
      <c r="B17" s="1">
        <v>26</v>
      </c>
      <c r="C17">
        <v>9.75</v>
      </c>
      <c r="D17" s="1">
        <f t="shared" si="2"/>
        <v>53298.375</v>
      </c>
      <c r="E17" s="1">
        <f t="shared" si="3"/>
        <v>4202243.75390625</v>
      </c>
      <c r="F17" s="1"/>
    </row>
    <row r="18" spans="1:7" x14ac:dyDescent="0.2">
      <c r="A18" s="1">
        <v>12.625</v>
      </c>
      <c r="B18" s="1">
        <v>17</v>
      </c>
      <c r="C18">
        <v>8.5</v>
      </c>
      <c r="D18" s="1">
        <f t="shared" si="2"/>
        <v>23031.9453125</v>
      </c>
      <c r="E18" s="1">
        <f t="shared" si="3"/>
        <v>1835538.0791625977</v>
      </c>
      <c r="F18" s="1"/>
    </row>
    <row r="19" spans="1:7" x14ac:dyDescent="0.2">
      <c r="A19" s="1">
        <v>17.75</v>
      </c>
      <c r="B19" s="1">
        <v>49</v>
      </c>
      <c r="C19">
        <v>12.5</v>
      </c>
      <c r="D19" s="1">
        <f t="shared" si="2"/>
        <v>192975.78125</v>
      </c>
      <c r="E19" s="1">
        <f t="shared" si="3"/>
        <v>15510059.204101562</v>
      </c>
      <c r="F19" s="1"/>
    </row>
    <row r="20" spans="1:7" x14ac:dyDescent="0.2">
      <c r="A20" s="1">
        <v>14.125</v>
      </c>
      <c r="B20" s="1">
        <v>23</v>
      </c>
      <c r="C20">
        <v>9</v>
      </c>
      <c r="D20" s="1">
        <f t="shared" si="2"/>
        <v>41299.734375</v>
      </c>
      <c r="E20" s="1">
        <f t="shared" si="3"/>
        <v>3224325.2541503906</v>
      </c>
      <c r="F20" s="1"/>
    </row>
    <row r="21" spans="1:7" x14ac:dyDescent="0.2">
      <c r="A21" s="1">
        <v>12.625</v>
      </c>
      <c r="B21" s="1">
        <v>16</v>
      </c>
      <c r="C21">
        <v>8.5</v>
      </c>
      <c r="D21" s="1">
        <f t="shared" si="2"/>
        <v>21677.125</v>
      </c>
      <c r="E21" s="1">
        <f t="shared" si="3"/>
        <v>1835538.0791625977</v>
      </c>
      <c r="F21" s="1"/>
    </row>
    <row r="22" spans="1:7" x14ac:dyDescent="0.2">
      <c r="A22" s="1"/>
      <c r="B22" s="1"/>
      <c r="C22" t="s">
        <v>25</v>
      </c>
      <c r="D22" s="1">
        <f>SUM(D14:D21)</f>
        <v>544078.0546875</v>
      </c>
      <c r="E22" s="1">
        <f>SUM(E14:E21)</f>
        <v>43236122.137084961</v>
      </c>
      <c r="F22" s="1">
        <f>D22/E22</f>
        <v>1.2583877271935714E-2</v>
      </c>
    </row>
    <row r="25" spans="1:7" x14ac:dyDescent="0.2">
      <c r="A25" s="1" t="s">
        <v>23</v>
      </c>
      <c r="B25" s="1" t="s">
        <v>24</v>
      </c>
      <c r="C25" t="s">
        <v>29</v>
      </c>
      <c r="D25" t="s">
        <v>30</v>
      </c>
      <c r="E25" t="s">
        <v>26</v>
      </c>
      <c r="F25" t="s">
        <v>32</v>
      </c>
      <c r="G25" t="s">
        <v>31</v>
      </c>
    </row>
    <row r="26" spans="1:7" x14ac:dyDescent="0.2">
      <c r="A26" s="1">
        <v>14.5</v>
      </c>
      <c r="B26" s="1">
        <v>27</v>
      </c>
      <c r="C26">
        <f>0.008*(A26^3)</f>
        <v>24.388999999999999</v>
      </c>
      <c r="D26">
        <f t="shared" ref="D26:D33" si="4">0.0126*(E26)*(A26^2)</f>
        <v>25.829212500000001</v>
      </c>
      <c r="E26">
        <v>9.75</v>
      </c>
      <c r="F26">
        <v>6.8173210000000033</v>
      </c>
      <c r="G26">
        <v>1.3707433701562486</v>
      </c>
    </row>
    <row r="27" spans="1:7" x14ac:dyDescent="0.2">
      <c r="A27" s="1">
        <v>12.5</v>
      </c>
      <c r="B27" s="1">
        <v>17</v>
      </c>
      <c r="C27">
        <f t="shared" ref="C27:C33" si="5">0.008*(A27^3)</f>
        <v>15.625</v>
      </c>
      <c r="D27">
        <f t="shared" si="4"/>
        <v>16.48828125</v>
      </c>
      <c r="E27">
        <v>8.375</v>
      </c>
      <c r="F27">
        <v>1.890625</v>
      </c>
      <c r="G27">
        <v>0.2618560791015625</v>
      </c>
    </row>
    <row r="28" spans="1:7" x14ac:dyDescent="0.2">
      <c r="A28" s="1">
        <v>17.25</v>
      </c>
      <c r="B28" s="1">
        <v>41</v>
      </c>
      <c r="C28">
        <f t="shared" si="5"/>
        <v>41.063625000000002</v>
      </c>
      <c r="D28">
        <f t="shared" si="4"/>
        <v>41.242162499999999</v>
      </c>
      <c r="E28">
        <v>11</v>
      </c>
      <c r="F28">
        <v>4.0481406250002317E-3</v>
      </c>
      <c r="G28">
        <v>5.8642676406249601E-2</v>
      </c>
    </row>
    <row r="29" spans="1:7" x14ac:dyDescent="0.2">
      <c r="A29" s="1">
        <v>14.5</v>
      </c>
      <c r="B29" s="1">
        <v>26</v>
      </c>
      <c r="C29">
        <f t="shared" si="5"/>
        <v>24.388999999999999</v>
      </c>
      <c r="D29">
        <f t="shared" si="4"/>
        <v>25.829212500000001</v>
      </c>
      <c r="E29">
        <v>9.75</v>
      </c>
      <c r="F29">
        <v>2.595321000000002</v>
      </c>
      <c r="G29">
        <v>2.9168370156249804E-2</v>
      </c>
    </row>
    <row r="30" spans="1:7" x14ac:dyDescent="0.2">
      <c r="A30" s="1">
        <v>12.625</v>
      </c>
      <c r="B30" s="1">
        <v>17</v>
      </c>
      <c r="C30">
        <f t="shared" si="5"/>
        <v>16.098453124999999</v>
      </c>
      <c r="D30">
        <f t="shared" si="4"/>
        <v>17.0707359375</v>
      </c>
      <c r="E30">
        <v>8.5</v>
      </c>
      <c r="F30">
        <v>0.81278676782226755</v>
      </c>
      <c r="G30">
        <v>5.003572854003947E-3</v>
      </c>
    </row>
    <row r="31" spans="1:7" x14ac:dyDescent="0.2">
      <c r="A31" s="1">
        <v>17.75</v>
      </c>
      <c r="B31" s="1">
        <v>49</v>
      </c>
      <c r="C31">
        <f t="shared" si="5"/>
        <v>44.738875</v>
      </c>
      <c r="D31">
        <f t="shared" si="4"/>
        <v>49.622343749999999</v>
      </c>
      <c r="E31">
        <v>12.5</v>
      </c>
      <c r="F31">
        <v>18.157186265624997</v>
      </c>
      <c r="G31">
        <v>0.38731174316406108</v>
      </c>
    </row>
    <row r="32" spans="1:7" x14ac:dyDescent="0.2">
      <c r="A32" s="1">
        <v>14.125</v>
      </c>
      <c r="B32" s="1">
        <v>23</v>
      </c>
      <c r="C32">
        <f t="shared" si="5"/>
        <v>22.545265624999999</v>
      </c>
      <c r="D32">
        <f t="shared" si="4"/>
        <v>22.625071875</v>
      </c>
      <c r="E32">
        <v>9</v>
      </c>
      <c r="F32">
        <v>0.20678335180664156</v>
      </c>
      <c r="G32">
        <v>0.14057109891601582</v>
      </c>
    </row>
    <row r="33" spans="1:7" x14ac:dyDescent="0.2">
      <c r="A33" s="1">
        <v>12.625</v>
      </c>
      <c r="B33" s="1">
        <v>16</v>
      </c>
      <c r="C33">
        <f t="shared" si="5"/>
        <v>16.098453124999999</v>
      </c>
      <c r="D33">
        <f t="shared" si="4"/>
        <v>17.0707359375</v>
      </c>
      <c r="E33">
        <v>8.5</v>
      </c>
      <c r="F33">
        <v>9.693017822265412E-3</v>
      </c>
      <c r="G33">
        <v>1.1464754478540045</v>
      </c>
    </row>
    <row r="34" spans="1:7" x14ac:dyDescent="0.2">
      <c r="F34">
        <v>30.493764543701175</v>
      </c>
      <c r="G34">
        <v>3.3997723586083959</v>
      </c>
    </row>
    <row r="40" spans="1:7" x14ac:dyDescent="0.2">
      <c r="A40" s="1" t="s">
        <v>23</v>
      </c>
      <c r="B40" s="1" t="s">
        <v>24</v>
      </c>
      <c r="C40" s="1" t="s">
        <v>32</v>
      </c>
      <c r="D40" s="1" t="s">
        <v>31</v>
      </c>
    </row>
    <row r="41" spans="1:7" x14ac:dyDescent="0.2">
      <c r="A41" s="1">
        <v>14.5</v>
      </c>
      <c r="B41" s="1">
        <v>27</v>
      </c>
      <c r="C41" s="1">
        <v>6.8173210000000033</v>
      </c>
      <c r="D41" s="1">
        <v>1.3707433701562486</v>
      </c>
    </row>
    <row r="42" spans="1:7" x14ac:dyDescent="0.2">
      <c r="A42" s="1">
        <v>12.5</v>
      </c>
      <c r="B42" s="1">
        <v>17</v>
      </c>
      <c r="C42" s="1">
        <v>1.890625</v>
      </c>
      <c r="D42" s="1">
        <v>0.2618560791015625</v>
      </c>
    </row>
    <row r="43" spans="1:7" x14ac:dyDescent="0.2">
      <c r="A43" s="1">
        <v>17.25</v>
      </c>
      <c r="B43" s="1">
        <v>41</v>
      </c>
      <c r="C43" s="1">
        <v>4.0481406250002317E-3</v>
      </c>
      <c r="D43" s="1">
        <v>5.8642676406249601E-2</v>
      </c>
    </row>
    <row r="44" spans="1:7" x14ac:dyDescent="0.2">
      <c r="A44" s="1">
        <v>14.5</v>
      </c>
      <c r="B44" s="1">
        <v>26</v>
      </c>
      <c r="C44" s="1">
        <v>2.595321000000002</v>
      </c>
      <c r="D44" s="1">
        <v>2.9168370156249804E-2</v>
      </c>
    </row>
    <row r="45" spans="1:7" x14ac:dyDescent="0.2">
      <c r="A45" s="1">
        <v>12.625</v>
      </c>
      <c r="B45" s="1">
        <v>17</v>
      </c>
      <c r="C45" s="1">
        <v>0.81278676782226755</v>
      </c>
      <c r="D45" s="1">
        <v>5.003572854003947E-3</v>
      </c>
    </row>
    <row r="46" spans="1:7" x14ac:dyDescent="0.2">
      <c r="A46" s="1">
        <v>17.75</v>
      </c>
      <c r="B46" s="1">
        <v>49</v>
      </c>
      <c r="C46" s="1">
        <v>18.157186265624997</v>
      </c>
      <c r="D46" s="1">
        <v>0.38731174316406108</v>
      </c>
    </row>
    <row r="47" spans="1:7" x14ac:dyDescent="0.2">
      <c r="A47" s="1">
        <v>14.125</v>
      </c>
      <c r="B47" s="1">
        <v>23</v>
      </c>
      <c r="C47" s="1">
        <v>0.20678335180664156</v>
      </c>
      <c r="D47" s="1">
        <v>0.14057109891601582</v>
      </c>
    </row>
    <row r="48" spans="1:7" x14ac:dyDescent="0.2">
      <c r="A48" s="1">
        <v>12.625</v>
      </c>
      <c r="B48" s="1">
        <v>16</v>
      </c>
      <c r="C48" s="1">
        <v>9.693017822265412E-3</v>
      </c>
      <c r="D48" s="1">
        <v>1.1464754478540045</v>
      </c>
    </row>
    <row r="49" spans="1:4" x14ac:dyDescent="0.2">
      <c r="A49" s="1"/>
      <c r="B49" s="1" t="s">
        <v>33</v>
      </c>
      <c r="C49" s="1">
        <v>30.493764543701175</v>
      </c>
      <c r="D49" s="1">
        <v>3.3997723586083959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E1" workbookViewId="0">
      <selection activeCell="J9" sqref="J9"/>
    </sheetView>
  </sheetViews>
  <sheetFormatPr baseColWidth="10" defaultRowHeight="16" x14ac:dyDescent="0.2"/>
  <cols>
    <col min="16" max="16" width="13.6640625" customWidth="1"/>
  </cols>
  <sheetData>
    <row r="1" spans="1:16" x14ac:dyDescent="0.2">
      <c r="A1" t="s">
        <v>34</v>
      </c>
      <c r="B1" t="s">
        <v>35</v>
      </c>
      <c r="C1" t="s">
        <v>36</v>
      </c>
      <c r="D1" t="s">
        <v>37</v>
      </c>
      <c r="E1" t="s">
        <v>44</v>
      </c>
      <c r="K1" s="1" t="s">
        <v>34</v>
      </c>
      <c r="L1" s="1" t="s">
        <v>35</v>
      </c>
      <c r="M1" s="1" t="s">
        <v>51</v>
      </c>
      <c r="N1" s="1" t="s">
        <v>50</v>
      </c>
      <c r="O1" t="s">
        <v>52</v>
      </c>
      <c r="P1" t="s">
        <v>53</v>
      </c>
    </row>
    <row r="2" spans="1:16" x14ac:dyDescent="0.2">
      <c r="A2" s="2">
        <v>341948</v>
      </c>
      <c r="B2">
        <v>4.8099999999999996</v>
      </c>
      <c r="C2">
        <f>LOG10(A:A)</f>
        <v>5.533960067956448</v>
      </c>
      <c r="D2">
        <f>LOG10(B:B)</f>
        <v>0.6821450763738317</v>
      </c>
      <c r="F2">
        <f>(0.12*C:C)+0.05</f>
        <v>0.71407520815477377</v>
      </c>
      <c r="G2">
        <f>1.122*((A:A)^0.12)</f>
        <v>5.1768796056307025</v>
      </c>
      <c r="K2" s="4">
        <v>341948</v>
      </c>
      <c r="L2" s="1">
        <v>4.8099999999999996</v>
      </c>
      <c r="M2" s="1">
        <v>5.1768796056307025</v>
      </c>
      <c r="N2" s="1">
        <f>ABS(L:L-M:M)</f>
        <v>0.36687960563070288</v>
      </c>
      <c r="O2">
        <v>4.9805640611608037</v>
      </c>
      <c r="P2">
        <f>ABS(L:L-O:O)</f>
        <v>0.17056406116080414</v>
      </c>
    </row>
    <row r="3" spans="1:16" x14ac:dyDescent="0.2">
      <c r="A3">
        <v>1092759</v>
      </c>
      <c r="B3">
        <v>5.88</v>
      </c>
      <c r="C3">
        <f t="shared" ref="C3:D16" si="0">LOG10(A:A)</f>
        <v>6.0385243920404283</v>
      </c>
      <c r="D3">
        <f t="shared" si="0"/>
        <v>0.76937732607613851</v>
      </c>
      <c r="F3">
        <f t="shared" ref="F3:F16" si="1">(0.12*C:C)+0.05</f>
        <v>0.77462292704485147</v>
      </c>
      <c r="G3">
        <f t="shared" ref="G3:G16" si="2">1.122*((A:A)^0.12)</f>
        <v>5.9513540015561635</v>
      </c>
      <c r="K3" s="1">
        <v>1092759</v>
      </c>
      <c r="L3" s="1">
        <v>5.88</v>
      </c>
      <c r="M3" s="1">
        <v>5.9513540015561635</v>
      </c>
      <c r="N3" s="1">
        <f t="shared" ref="N3:N16" si="3">ABS(L:L-M:M)</f>
        <v>7.135400155616356E-2</v>
      </c>
      <c r="O3">
        <v>5.4346719528363856</v>
      </c>
      <c r="P3">
        <f t="shared" ref="P3:P16" si="4">ABS(L:L-O:O)</f>
        <v>0.44532804716361429</v>
      </c>
    </row>
    <row r="4" spans="1:16" x14ac:dyDescent="0.2">
      <c r="A4">
        <v>5491</v>
      </c>
      <c r="B4">
        <v>3.31</v>
      </c>
      <c r="C4">
        <f t="shared" si="0"/>
        <v>3.7396514437093766</v>
      </c>
      <c r="D4">
        <f t="shared" si="0"/>
        <v>0.51982799377571876</v>
      </c>
      <c r="F4">
        <f t="shared" si="1"/>
        <v>0.49875817324512517</v>
      </c>
      <c r="G4">
        <f t="shared" si="2"/>
        <v>3.153196458864906</v>
      </c>
      <c r="K4" s="1">
        <v>5491</v>
      </c>
      <c r="L4" s="1">
        <v>3.31</v>
      </c>
      <c r="M4" s="1">
        <v>3.153196458864906</v>
      </c>
      <c r="N4" s="1">
        <f t="shared" si="3"/>
        <v>0.15680354113509409</v>
      </c>
      <c r="O4">
        <v>3.3656862993384391</v>
      </c>
      <c r="P4">
        <f t="shared" si="4"/>
        <v>5.5686299338439049E-2</v>
      </c>
    </row>
    <row r="5" spans="1:16" x14ac:dyDescent="0.2">
      <c r="A5">
        <v>49375</v>
      </c>
      <c r="B5">
        <v>4.9000000000000004</v>
      </c>
      <c r="C5">
        <f t="shared" si="0"/>
        <v>4.6935071086345168</v>
      </c>
      <c r="D5">
        <f t="shared" si="0"/>
        <v>0.69019608002851374</v>
      </c>
      <c r="F5">
        <f t="shared" si="1"/>
        <v>0.61322085303614204</v>
      </c>
      <c r="G5">
        <f t="shared" si="2"/>
        <v>4.1040600809331949</v>
      </c>
      <c r="K5" s="1">
        <v>49375</v>
      </c>
      <c r="L5" s="1">
        <v>4.9000000000000004</v>
      </c>
      <c r="M5" s="1">
        <v>4.1040600809331949</v>
      </c>
      <c r="N5" s="1">
        <f t="shared" si="3"/>
        <v>0.7959399190668055</v>
      </c>
      <c r="O5">
        <v>4.2241563977710657</v>
      </c>
      <c r="P5">
        <f t="shared" si="4"/>
        <v>0.67584360222893469</v>
      </c>
    </row>
    <row r="6" spans="1:16" x14ac:dyDescent="0.2">
      <c r="A6">
        <v>1340000</v>
      </c>
      <c r="B6">
        <v>5.62</v>
      </c>
      <c r="C6">
        <f t="shared" si="0"/>
        <v>6.1271047983648073</v>
      </c>
      <c r="D6">
        <f t="shared" si="0"/>
        <v>0.74973631556906106</v>
      </c>
      <c r="F6">
        <f t="shared" si="1"/>
        <v>0.78525257580377694</v>
      </c>
      <c r="G6">
        <f t="shared" si="2"/>
        <v>6.0988146201593239</v>
      </c>
      <c r="K6" s="1">
        <v>1340000</v>
      </c>
      <c r="L6" s="1">
        <v>5.62</v>
      </c>
      <c r="M6" s="1">
        <v>6.0988146201593239</v>
      </c>
      <c r="N6" s="1">
        <f t="shared" si="3"/>
        <v>0.47881462015932374</v>
      </c>
      <c r="O6">
        <v>5.5143943185283266</v>
      </c>
      <c r="P6">
        <f t="shared" si="4"/>
        <v>0.10560568147167348</v>
      </c>
    </row>
    <row r="7" spans="1:16" x14ac:dyDescent="0.2">
      <c r="A7">
        <v>365</v>
      </c>
      <c r="B7">
        <v>2.76</v>
      </c>
      <c r="C7">
        <f t="shared" si="0"/>
        <v>2.5622928644564746</v>
      </c>
      <c r="D7">
        <f t="shared" si="0"/>
        <v>0.44090908206521767</v>
      </c>
      <c r="F7">
        <f t="shared" si="1"/>
        <v>0.35747514373477696</v>
      </c>
      <c r="G7">
        <f t="shared" si="2"/>
        <v>2.2775504229925327</v>
      </c>
      <c r="K7" s="1">
        <v>365</v>
      </c>
      <c r="L7" s="1">
        <v>2.76</v>
      </c>
      <c r="M7" s="1">
        <v>2.2775504229925327</v>
      </c>
      <c r="N7" s="1">
        <f t="shared" si="3"/>
        <v>0.48244957700746705</v>
      </c>
      <c r="O7">
        <v>2.3060635780108272</v>
      </c>
      <c r="P7">
        <f t="shared" si="4"/>
        <v>0.45393642198917261</v>
      </c>
    </row>
    <row r="8" spans="1:16" x14ac:dyDescent="0.2">
      <c r="A8">
        <v>2500</v>
      </c>
      <c r="B8">
        <v>2.27</v>
      </c>
      <c r="C8">
        <f t="shared" si="0"/>
        <v>3.3979400086720375</v>
      </c>
      <c r="D8">
        <f t="shared" si="0"/>
        <v>0.35602585719312274</v>
      </c>
      <c r="F8">
        <f t="shared" si="1"/>
        <v>0.45775280104064447</v>
      </c>
      <c r="G8">
        <f t="shared" si="2"/>
        <v>2.8690998182745666</v>
      </c>
      <c r="K8" s="1">
        <v>2500</v>
      </c>
      <c r="L8" s="1">
        <v>2.27</v>
      </c>
      <c r="M8" s="1">
        <v>2.8690998182745666</v>
      </c>
      <c r="N8" s="1">
        <f t="shared" si="3"/>
        <v>0.5990998182745666</v>
      </c>
      <c r="O8">
        <v>3.0581460078048339</v>
      </c>
      <c r="P8">
        <f t="shared" si="4"/>
        <v>0.7881460078048339</v>
      </c>
    </row>
    <row r="9" spans="1:16" x14ac:dyDescent="0.2">
      <c r="A9">
        <v>78200</v>
      </c>
      <c r="B9">
        <v>3.85</v>
      </c>
      <c r="C9">
        <f t="shared" si="0"/>
        <v>4.8932067530598484</v>
      </c>
      <c r="D9">
        <f t="shared" si="0"/>
        <v>0.5854607295085007</v>
      </c>
      <c r="F9">
        <f t="shared" si="1"/>
        <v>0.63718481036718189</v>
      </c>
      <c r="G9">
        <f t="shared" si="2"/>
        <v>4.3368826138801042</v>
      </c>
      <c r="K9" s="1">
        <v>78200</v>
      </c>
      <c r="L9" s="1">
        <v>3.85</v>
      </c>
      <c r="M9" s="1">
        <v>4.3368826138801042</v>
      </c>
      <c r="N9" s="1">
        <f t="shared" si="3"/>
        <v>0.48688261388010412</v>
      </c>
      <c r="O9">
        <v>4.4038860777538638</v>
      </c>
      <c r="P9">
        <f t="shared" si="4"/>
        <v>0.55388607775386367</v>
      </c>
    </row>
    <row r="10" spans="1:16" x14ac:dyDescent="0.2">
      <c r="A10">
        <v>867023</v>
      </c>
      <c r="B10">
        <v>5.21</v>
      </c>
      <c r="C10">
        <f t="shared" si="0"/>
        <v>5.9380306183996172</v>
      </c>
      <c r="D10">
        <f t="shared" si="0"/>
        <v>0.71683772329952444</v>
      </c>
      <c r="F10">
        <f t="shared" si="1"/>
        <v>0.76256367420795412</v>
      </c>
      <c r="G10">
        <f t="shared" si="2"/>
        <v>5.7883732938838097</v>
      </c>
      <c r="K10" s="1">
        <v>867023</v>
      </c>
      <c r="L10" s="1">
        <v>5.21</v>
      </c>
      <c r="M10" s="1">
        <v>5.7883732938838097</v>
      </c>
      <c r="N10" s="1">
        <f t="shared" si="3"/>
        <v>0.57837329388380976</v>
      </c>
      <c r="O10">
        <v>5.3442275565596553</v>
      </c>
      <c r="P10">
        <f t="shared" si="4"/>
        <v>0.13422755655965535</v>
      </c>
    </row>
    <row r="11" spans="1:16" x14ac:dyDescent="0.2">
      <c r="A11">
        <v>14000</v>
      </c>
      <c r="B11">
        <v>3.7</v>
      </c>
      <c r="C11">
        <f t="shared" si="0"/>
        <v>4.1461280356782382</v>
      </c>
      <c r="D11">
        <f t="shared" si="0"/>
        <v>0.56820172406699498</v>
      </c>
      <c r="F11">
        <f t="shared" si="1"/>
        <v>0.5475353642813886</v>
      </c>
      <c r="G11">
        <f t="shared" si="2"/>
        <v>3.5279971140535999</v>
      </c>
      <c r="K11" s="1">
        <v>14000</v>
      </c>
      <c r="L11" s="1">
        <v>3.7</v>
      </c>
      <c r="M11" s="1">
        <v>3.5279971140535999</v>
      </c>
      <c r="N11" s="1">
        <f t="shared" si="3"/>
        <v>0.17200288594640023</v>
      </c>
      <c r="O11">
        <v>3.7315152321104144</v>
      </c>
      <c r="P11">
        <f t="shared" si="4"/>
        <v>3.1515232110414182E-2</v>
      </c>
    </row>
    <row r="12" spans="1:16" x14ac:dyDescent="0.2">
      <c r="A12">
        <v>23700</v>
      </c>
      <c r="B12">
        <v>3.27</v>
      </c>
      <c r="C12">
        <f t="shared" si="0"/>
        <v>4.3747483460101035</v>
      </c>
      <c r="D12">
        <f t="shared" si="0"/>
        <v>0.51454775266028607</v>
      </c>
      <c r="F12">
        <f t="shared" si="1"/>
        <v>0.57496980152121246</v>
      </c>
      <c r="G12">
        <f t="shared" si="2"/>
        <v>3.7580509038227339</v>
      </c>
      <c r="K12" s="1">
        <v>23700</v>
      </c>
      <c r="L12" s="1">
        <v>3.27</v>
      </c>
      <c r="M12" s="1">
        <v>3.7580509038227339</v>
      </c>
      <c r="N12" s="1">
        <f t="shared" si="3"/>
        <v>0.48805090382273386</v>
      </c>
      <c r="O12">
        <v>3.9372735114090931</v>
      </c>
      <c r="P12">
        <f t="shared" si="4"/>
        <v>0.66727351140909308</v>
      </c>
    </row>
    <row r="13" spans="1:16" x14ac:dyDescent="0.2">
      <c r="A13">
        <v>70700</v>
      </c>
      <c r="B13">
        <v>4.3099999999999996</v>
      </c>
      <c r="C13">
        <f t="shared" si="0"/>
        <v>4.8494194137968991</v>
      </c>
      <c r="D13">
        <f t="shared" si="0"/>
        <v>0.63447727016073152</v>
      </c>
      <c r="F13">
        <f t="shared" si="1"/>
        <v>0.6319303296556279</v>
      </c>
      <c r="G13">
        <f t="shared" si="2"/>
        <v>4.284727299609397</v>
      </c>
      <c r="K13" s="1">
        <v>70700</v>
      </c>
      <c r="L13" s="1">
        <v>4.3099999999999996</v>
      </c>
      <c r="M13" s="1">
        <v>4.284727299609397</v>
      </c>
      <c r="N13" s="1">
        <f t="shared" si="3"/>
        <v>2.5272700390602587E-2</v>
      </c>
      <c r="O13">
        <v>4.3644774724172093</v>
      </c>
      <c r="P13">
        <f t="shared" si="4"/>
        <v>5.4477472417209682E-2</v>
      </c>
    </row>
    <row r="14" spans="1:16" x14ac:dyDescent="0.2">
      <c r="A14">
        <v>304500</v>
      </c>
      <c r="B14">
        <v>4.42</v>
      </c>
      <c r="C14">
        <f t="shared" si="0"/>
        <v>5.4835872969688939</v>
      </c>
      <c r="D14">
        <f t="shared" si="0"/>
        <v>0.64542226934909186</v>
      </c>
      <c r="F14">
        <f t="shared" si="1"/>
        <v>0.70803047563626731</v>
      </c>
      <c r="G14">
        <f t="shared" si="2"/>
        <v>5.1053242769365355</v>
      </c>
      <c r="K14" s="1">
        <v>304500</v>
      </c>
      <c r="L14" s="1">
        <v>4.42</v>
      </c>
      <c r="M14" s="1">
        <v>5.1053242769365355</v>
      </c>
      <c r="N14" s="1">
        <f t="shared" si="3"/>
        <v>0.68532427693653553</v>
      </c>
      <c r="O14">
        <v>4.9352285672720049</v>
      </c>
      <c r="P14">
        <f t="shared" si="4"/>
        <v>0.51522856727200494</v>
      </c>
    </row>
    <row r="15" spans="1:16" x14ac:dyDescent="0.2">
      <c r="A15">
        <v>138000</v>
      </c>
      <c r="B15">
        <v>4.3899999999999997</v>
      </c>
      <c r="C15">
        <f t="shared" si="0"/>
        <v>5.1398790864012369</v>
      </c>
      <c r="D15">
        <f t="shared" si="0"/>
        <v>0.64246452024212131</v>
      </c>
      <c r="F15">
        <f t="shared" si="1"/>
        <v>0.66678549036814849</v>
      </c>
      <c r="G15">
        <f t="shared" si="2"/>
        <v>4.6427825908553499</v>
      </c>
      <c r="K15" s="1">
        <v>138000</v>
      </c>
      <c r="L15" s="1">
        <v>4.3899999999999997</v>
      </c>
      <c r="M15" s="1">
        <v>4.6427825908553499</v>
      </c>
      <c r="N15" s="1">
        <f t="shared" si="3"/>
        <v>0.25278259085535026</v>
      </c>
      <c r="O15">
        <v>4.6258911777611136</v>
      </c>
      <c r="P15">
        <f t="shared" si="4"/>
        <v>0.2358911777611139</v>
      </c>
    </row>
    <row r="16" spans="1:16" x14ac:dyDescent="0.2">
      <c r="A16">
        <v>2602000</v>
      </c>
      <c r="B16">
        <v>5.05</v>
      </c>
      <c r="C16">
        <f t="shared" si="0"/>
        <v>6.4153072922255676</v>
      </c>
      <c r="D16">
        <f t="shared" si="0"/>
        <v>0.70329137811866138</v>
      </c>
      <c r="F16">
        <f t="shared" si="1"/>
        <v>0.81983687506706815</v>
      </c>
      <c r="G16">
        <f t="shared" si="2"/>
        <v>6.6043446955903571</v>
      </c>
      <c r="H16">
        <f>10^0.05</f>
        <v>1.1220184543019636</v>
      </c>
      <c r="I16">
        <f>10^0.12</f>
        <v>1.3182567385564072</v>
      </c>
      <c r="K16" s="1">
        <v>2602000</v>
      </c>
      <c r="L16" s="1">
        <v>5.05</v>
      </c>
      <c r="M16" s="1">
        <v>6.6043446955903571</v>
      </c>
      <c r="N16" s="1">
        <f t="shared" si="3"/>
        <v>1.5543446955903573</v>
      </c>
      <c r="O16">
        <v>5.7737765630030111</v>
      </c>
      <c r="P16">
        <f t="shared" si="4"/>
        <v>0.7237765630030113</v>
      </c>
    </row>
    <row r="17" spans="1:16" x14ac:dyDescent="0.2">
      <c r="K17" s="1"/>
      <c r="L17" s="1"/>
      <c r="M17" s="1"/>
      <c r="N17" s="1">
        <f>AVERAGE(N2:N16)</f>
        <v>0.47962500294240107</v>
      </c>
      <c r="P17">
        <f>AVERAGE(P2:P16)</f>
        <v>0.3740924186295892</v>
      </c>
    </row>
    <row r="19" spans="1:16" x14ac:dyDescent="0.2">
      <c r="A19" t="s">
        <v>36</v>
      </c>
      <c r="B19" t="s">
        <v>37</v>
      </c>
      <c r="C19" t="s">
        <v>45</v>
      </c>
    </row>
    <row r="20" spans="1:16" x14ac:dyDescent="0.2">
      <c r="A20">
        <v>5.533960067956448</v>
      </c>
      <c r="B20">
        <v>0.6821450763738317</v>
      </c>
      <c r="C20">
        <v>0.71407520815477377</v>
      </c>
      <c r="D20">
        <v>5.1768796056307025</v>
      </c>
    </row>
    <row r="21" spans="1:16" x14ac:dyDescent="0.2">
      <c r="A21">
        <v>6.0385243920404283</v>
      </c>
      <c r="B21">
        <v>0.76937732607613851</v>
      </c>
      <c r="C21">
        <v>0.77462292704485147</v>
      </c>
      <c r="D21">
        <v>5.9513540015561635</v>
      </c>
    </row>
    <row r="22" spans="1:16" x14ac:dyDescent="0.2">
      <c r="A22">
        <v>3.7396514437093766</v>
      </c>
      <c r="B22">
        <v>0.51982799377571876</v>
      </c>
      <c r="C22">
        <v>0.49875817324512517</v>
      </c>
      <c r="D22">
        <v>3.153196458864906</v>
      </c>
    </row>
    <row r="23" spans="1:16" x14ac:dyDescent="0.2">
      <c r="A23">
        <v>4.6935071086345168</v>
      </c>
      <c r="B23">
        <v>0.69019608002851374</v>
      </c>
      <c r="C23">
        <v>0.61322085303614204</v>
      </c>
      <c r="D23">
        <v>4.1040600809331949</v>
      </c>
    </row>
    <row r="24" spans="1:16" x14ac:dyDescent="0.2">
      <c r="A24">
        <v>6.1271047983648073</v>
      </c>
      <c r="B24">
        <v>0.74973631556906106</v>
      </c>
      <c r="C24">
        <v>0.78525257580377694</v>
      </c>
      <c r="D24">
        <v>6.0988146201593239</v>
      </c>
    </row>
    <row r="25" spans="1:16" x14ac:dyDescent="0.2">
      <c r="A25">
        <v>2.5622928644564746</v>
      </c>
      <c r="B25">
        <v>0.44090908206521767</v>
      </c>
      <c r="C25">
        <v>0.35747514373477696</v>
      </c>
      <c r="D25">
        <v>2.2775504229925327</v>
      </c>
    </row>
    <row r="26" spans="1:16" x14ac:dyDescent="0.2">
      <c r="A26">
        <v>3.3979400086720375</v>
      </c>
      <c r="B26">
        <v>0.35602585719312274</v>
      </c>
      <c r="C26">
        <v>0.45775280104064447</v>
      </c>
      <c r="D26">
        <v>2.8690998182745666</v>
      </c>
    </row>
    <row r="27" spans="1:16" x14ac:dyDescent="0.2">
      <c r="A27">
        <v>4.8932067530598484</v>
      </c>
      <c r="B27">
        <v>0.5854607295085007</v>
      </c>
      <c r="C27">
        <v>0.63718481036718189</v>
      </c>
      <c r="D27">
        <v>4.3368826138801042</v>
      </c>
    </row>
    <row r="28" spans="1:16" x14ac:dyDescent="0.2">
      <c r="A28">
        <v>5.9380306183996172</v>
      </c>
      <c r="B28">
        <v>0.71683772329952444</v>
      </c>
      <c r="C28">
        <v>0.76256367420795412</v>
      </c>
      <c r="D28">
        <v>5.7883732938838097</v>
      </c>
    </row>
    <row r="29" spans="1:16" x14ac:dyDescent="0.2">
      <c r="A29">
        <v>4.1461280356782382</v>
      </c>
      <c r="B29">
        <v>0.56820172406699498</v>
      </c>
      <c r="C29">
        <v>0.5475353642813886</v>
      </c>
      <c r="D29">
        <v>3.5279971140535999</v>
      </c>
    </row>
    <row r="30" spans="1:16" x14ac:dyDescent="0.2">
      <c r="A30">
        <v>4.3747483460101035</v>
      </c>
      <c r="B30">
        <v>0.51454775266028607</v>
      </c>
      <c r="C30">
        <v>0.57496980152121246</v>
      </c>
      <c r="D30">
        <v>3.7580509038227339</v>
      </c>
      <c r="F30">
        <f>0.5/3.75</f>
        <v>0.13333333333333333</v>
      </c>
    </row>
    <row r="31" spans="1:16" x14ac:dyDescent="0.2">
      <c r="A31">
        <v>4.8494194137968991</v>
      </c>
      <c r="B31">
        <v>0.63447727016073152</v>
      </c>
      <c r="C31">
        <v>0.6319303296556279</v>
      </c>
      <c r="D31">
        <v>4.284727299609397</v>
      </c>
      <c r="F31">
        <f>LOG10(F30)</f>
        <v>-0.87506126339170009</v>
      </c>
    </row>
    <row r="32" spans="1:16" x14ac:dyDescent="0.2">
      <c r="A32">
        <v>5.4835872969688939</v>
      </c>
      <c r="B32">
        <v>0.64542226934909186</v>
      </c>
      <c r="C32">
        <v>0.70803047563626731</v>
      </c>
      <c r="D32">
        <v>5.1053242769365355</v>
      </c>
    </row>
    <row r="33" spans="1:5" x14ac:dyDescent="0.2">
      <c r="A33">
        <v>5.1398790864012369</v>
      </c>
      <c r="B33">
        <v>0.64246452024212131</v>
      </c>
      <c r="C33">
        <v>0.66678549036814849</v>
      </c>
      <c r="D33">
        <v>4.6427825908553499</v>
      </c>
    </row>
    <row r="34" spans="1:5" x14ac:dyDescent="0.2">
      <c r="A34">
        <v>6.4153072922255676</v>
      </c>
      <c r="B34">
        <v>0.70329137811866138</v>
      </c>
      <c r="C34">
        <v>0.81983687506706815</v>
      </c>
      <c r="D34">
        <v>0.81983687506706815</v>
      </c>
    </row>
    <row r="37" spans="1:5" x14ac:dyDescent="0.2">
      <c r="A37">
        <f>LOG10(0.7231)</f>
        <v>-0.14080163846612262</v>
      </c>
      <c r="B37">
        <f>10^0.05</f>
        <v>1.1220184543019636</v>
      </c>
      <c r="D37">
        <f>0.5/0.2</f>
        <v>2.5</v>
      </c>
      <c r="E37">
        <f>0.5/0.1</f>
        <v>5</v>
      </c>
    </row>
    <row r="38" spans="1:5" x14ac:dyDescent="0.2">
      <c r="A38">
        <f>LOG10(0.1654)</f>
        <v>-0.78146449478347213</v>
      </c>
      <c r="B38">
        <f>LOG10(B37)</f>
        <v>5.0000000000000051E-2</v>
      </c>
    </row>
    <row r="39" spans="1:5" x14ac:dyDescent="0.2">
      <c r="A39">
        <f>LOG10((5.2857))</f>
        <v>0.72310251028228201</v>
      </c>
    </row>
    <row r="40" spans="1:5" x14ac:dyDescent="0.2">
      <c r="A40">
        <f>LOG10(1.4635)</f>
        <v>0.16539272676981076</v>
      </c>
      <c r="B40">
        <f>10^0.7231</f>
        <v>5.2856694480099025</v>
      </c>
    </row>
    <row r="41" spans="1:5" x14ac:dyDescent="0.2">
      <c r="B41">
        <f>10^0.05</f>
        <v>1.1220184543019636</v>
      </c>
    </row>
    <row r="42" spans="1:5" x14ac:dyDescent="0.2">
      <c r="B42">
        <f>10^0.12</f>
        <v>1.3182567385564072</v>
      </c>
    </row>
    <row r="45" spans="1:5" x14ac:dyDescent="0.2">
      <c r="A45" t="s">
        <v>34</v>
      </c>
      <c r="B45" t="s">
        <v>35</v>
      </c>
      <c r="C45" t="s">
        <v>46</v>
      </c>
      <c r="D45" t="s">
        <v>47</v>
      </c>
      <c r="E45" t="s">
        <v>48</v>
      </c>
    </row>
    <row r="46" spans="1:5" x14ac:dyDescent="0.2">
      <c r="A46" s="2">
        <v>341948</v>
      </c>
      <c r="B46">
        <v>4.8099999999999996</v>
      </c>
      <c r="C46">
        <f>LOG10((B:B))</f>
        <v>0.6821450763738317</v>
      </c>
      <c r="D46">
        <f>LOG10(A:A)</f>
        <v>5.533960067956448</v>
      </c>
      <c r="E46">
        <f>LOG10((D:D))</f>
        <v>0.7430360210267013</v>
      </c>
    </row>
    <row r="47" spans="1:5" x14ac:dyDescent="0.2">
      <c r="A47">
        <v>1092759</v>
      </c>
      <c r="B47">
        <v>5.88</v>
      </c>
      <c r="C47">
        <f t="shared" ref="C47:C60" si="5">LOG10((B:B))</f>
        <v>0.76937732607613851</v>
      </c>
      <c r="D47">
        <f t="shared" ref="D47:D60" si="6">LOG10(A:A)</f>
        <v>6.0385243920404283</v>
      </c>
      <c r="E47">
        <f t="shared" ref="E47:E60" si="7">LOG10((D:D))</f>
        <v>0.78093082493096866</v>
      </c>
    </row>
    <row r="48" spans="1:5" x14ac:dyDescent="0.2">
      <c r="A48">
        <v>5491</v>
      </c>
      <c r="B48">
        <v>3.31</v>
      </c>
      <c r="C48">
        <f t="shared" si="5"/>
        <v>0.51982799377571876</v>
      </c>
      <c r="D48">
        <f t="shared" si="6"/>
        <v>3.7396514437093766</v>
      </c>
      <c r="E48">
        <f t="shared" si="7"/>
        <v>0.57283112542829384</v>
      </c>
    </row>
    <row r="49" spans="1:5" x14ac:dyDescent="0.2">
      <c r="A49">
        <v>49375</v>
      </c>
      <c r="B49">
        <v>4.9000000000000004</v>
      </c>
      <c r="C49">
        <f t="shared" si="5"/>
        <v>0.69019608002851374</v>
      </c>
      <c r="D49">
        <f t="shared" si="6"/>
        <v>4.6935071086345168</v>
      </c>
      <c r="E49">
        <f t="shared" si="7"/>
        <v>0.67149747997079046</v>
      </c>
    </row>
    <row r="50" spans="1:5" x14ac:dyDescent="0.2">
      <c r="A50">
        <v>1340000</v>
      </c>
      <c r="B50">
        <v>5.62</v>
      </c>
      <c r="C50">
        <f t="shared" si="5"/>
        <v>0.74973631556906106</v>
      </c>
      <c r="D50">
        <f t="shared" si="6"/>
        <v>6.1271047983648073</v>
      </c>
      <c r="E50">
        <f t="shared" si="7"/>
        <v>0.78725530859412374</v>
      </c>
    </row>
    <row r="51" spans="1:5" x14ac:dyDescent="0.2">
      <c r="A51">
        <v>365</v>
      </c>
      <c r="B51">
        <v>2.76</v>
      </c>
      <c r="C51">
        <f t="shared" si="5"/>
        <v>0.44090908206521767</v>
      </c>
      <c r="D51">
        <f t="shared" si="6"/>
        <v>2.5622928644564746</v>
      </c>
      <c r="E51">
        <f t="shared" si="7"/>
        <v>0.4086287671527658</v>
      </c>
    </row>
    <row r="52" spans="1:5" x14ac:dyDescent="0.2">
      <c r="A52">
        <v>2500</v>
      </c>
      <c r="B52">
        <v>2.27</v>
      </c>
      <c r="C52">
        <f t="shared" si="5"/>
        <v>0.35602585719312274</v>
      </c>
      <c r="D52">
        <f t="shared" si="6"/>
        <v>3.3979400086720375</v>
      </c>
      <c r="E52">
        <f t="shared" si="7"/>
        <v>0.53121570704253585</v>
      </c>
    </row>
    <row r="53" spans="1:5" x14ac:dyDescent="0.2">
      <c r="A53">
        <v>78200</v>
      </c>
      <c r="B53">
        <v>3.85</v>
      </c>
      <c r="C53">
        <f t="shared" si="5"/>
        <v>0.5854607295085007</v>
      </c>
      <c r="D53">
        <f t="shared" si="6"/>
        <v>4.8932067530598484</v>
      </c>
      <c r="E53">
        <f t="shared" si="7"/>
        <v>0.68959356642742109</v>
      </c>
    </row>
    <row r="54" spans="1:5" x14ac:dyDescent="0.2">
      <c r="A54">
        <v>867023</v>
      </c>
      <c r="B54">
        <v>5.21</v>
      </c>
      <c r="C54">
        <f t="shared" si="5"/>
        <v>0.71683772329952444</v>
      </c>
      <c r="D54">
        <f t="shared" si="6"/>
        <v>5.9380306183996172</v>
      </c>
      <c r="E54">
        <f t="shared" si="7"/>
        <v>0.77364243262811538</v>
      </c>
    </row>
    <row r="55" spans="1:5" x14ac:dyDescent="0.2">
      <c r="A55">
        <v>14000</v>
      </c>
      <c r="B55">
        <v>3.7</v>
      </c>
      <c r="C55">
        <f t="shared" si="5"/>
        <v>0.56820172406699498</v>
      </c>
      <c r="D55">
        <f t="shared" si="6"/>
        <v>4.1461280356782382</v>
      </c>
      <c r="E55">
        <f t="shared" si="7"/>
        <v>0.61764270931837528</v>
      </c>
    </row>
    <row r="56" spans="1:5" x14ac:dyDescent="0.2">
      <c r="A56">
        <v>23700</v>
      </c>
      <c r="B56">
        <v>3.27</v>
      </c>
      <c r="C56">
        <f t="shared" si="5"/>
        <v>0.51454775266028607</v>
      </c>
      <c r="D56">
        <f t="shared" si="6"/>
        <v>4.3747483460101035</v>
      </c>
      <c r="E56">
        <f t="shared" si="7"/>
        <v>0.64095307562517378</v>
      </c>
    </row>
    <row r="57" spans="1:5" x14ac:dyDescent="0.2">
      <c r="A57">
        <v>70700</v>
      </c>
      <c r="B57">
        <v>4.3099999999999996</v>
      </c>
      <c r="C57">
        <f t="shared" si="5"/>
        <v>0.63447727016073152</v>
      </c>
      <c r="D57">
        <f t="shared" si="6"/>
        <v>4.8494194137968991</v>
      </c>
      <c r="E57">
        <f t="shared" si="7"/>
        <v>0.6856897467512425</v>
      </c>
    </row>
    <row r="58" spans="1:5" x14ac:dyDescent="0.2">
      <c r="A58">
        <v>304500</v>
      </c>
      <c r="B58">
        <v>4.42</v>
      </c>
      <c r="C58">
        <f t="shared" si="5"/>
        <v>0.64542226934909186</v>
      </c>
      <c r="D58">
        <f t="shared" si="6"/>
        <v>5.4835872969688939</v>
      </c>
      <c r="E58">
        <f t="shared" si="7"/>
        <v>0.7390647616912096</v>
      </c>
    </row>
    <row r="59" spans="1:5" x14ac:dyDescent="0.2">
      <c r="A59">
        <v>138000</v>
      </c>
      <c r="B59">
        <v>4.3899999999999997</v>
      </c>
      <c r="C59">
        <f t="shared" si="5"/>
        <v>0.64246452024212131</v>
      </c>
      <c r="D59">
        <f t="shared" si="6"/>
        <v>5.1398790864012369</v>
      </c>
      <c r="E59">
        <f t="shared" si="7"/>
        <v>0.71095290251154264</v>
      </c>
    </row>
    <row r="60" spans="1:5" x14ac:dyDescent="0.2">
      <c r="A60">
        <v>2602000</v>
      </c>
      <c r="B60">
        <v>5.05</v>
      </c>
      <c r="C60">
        <f t="shared" si="5"/>
        <v>0.70329137811866138</v>
      </c>
      <c r="D60">
        <f t="shared" si="6"/>
        <v>6.4153072922255676</v>
      </c>
      <c r="E60">
        <f t="shared" si="7"/>
        <v>0.80721746384759585</v>
      </c>
    </row>
    <row r="63" spans="1:5" x14ac:dyDescent="0.2">
      <c r="B63" t="s">
        <v>35</v>
      </c>
      <c r="C63" t="s">
        <v>47</v>
      </c>
      <c r="D63" t="s">
        <v>35</v>
      </c>
      <c r="E63" t="s">
        <v>49</v>
      </c>
    </row>
    <row r="64" spans="1:5" x14ac:dyDescent="0.2">
      <c r="B64">
        <v>4.8099999999999996</v>
      </c>
      <c r="C64">
        <v>5.533960067956448</v>
      </c>
      <c r="D64">
        <v>4.8099999999999996</v>
      </c>
      <c r="E64">
        <f>0.9*C:C</f>
        <v>4.9805640611608037</v>
      </c>
    </row>
    <row r="65" spans="2:5" x14ac:dyDescent="0.2">
      <c r="B65">
        <v>5.88</v>
      </c>
      <c r="C65">
        <v>6.0385243920404283</v>
      </c>
      <c r="D65">
        <v>5.88</v>
      </c>
      <c r="E65">
        <f t="shared" ref="E65:E78" si="8">0.9*C:C</f>
        <v>5.4346719528363856</v>
      </c>
    </row>
    <row r="66" spans="2:5" x14ac:dyDescent="0.2">
      <c r="B66">
        <v>3.31</v>
      </c>
      <c r="C66">
        <v>3.7396514437093766</v>
      </c>
      <c r="D66">
        <v>3.31</v>
      </c>
      <c r="E66">
        <f t="shared" si="8"/>
        <v>3.3656862993384391</v>
      </c>
    </row>
    <row r="67" spans="2:5" x14ac:dyDescent="0.2">
      <c r="B67">
        <v>4.9000000000000004</v>
      </c>
      <c r="C67">
        <v>4.6935071086345168</v>
      </c>
      <c r="D67">
        <v>4.9000000000000004</v>
      </c>
      <c r="E67">
        <f t="shared" si="8"/>
        <v>4.2241563977710657</v>
      </c>
    </row>
    <row r="68" spans="2:5" x14ac:dyDescent="0.2">
      <c r="B68">
        <v>5.62</v>
      </c>
      <c r="C68">
        <v>6.1271047983648073</v>
      </c>
      <c r="D68">
        <v>5.62</v>
      </c>
      <c r="E68">
        <f t="shared" si="8"/>
        <v>5.5143943185283266</v>
      </c>
    </row>
    <row r="69" spans="2:5" x14ac:dyDescent="0.2">
      <c r="B69">
        <v>2.76</v>
      </c>
      <c r="C69">
        <v>2.5622928644564746</v>
      </c>
      <c r="D69">
        <v>2.76</v>
      </c>
      <c r="E69">
        <f t="shared" si="8"/>
        <v>2.3060635780108272</v>
      </c>
    </row>
    <row r="70" spans="2:5" x14ac:dyDescent="0.2">
      <c r="B70">
        <v>2.27</v>
      </c>
      <c r="C70">
        <v>3.3979400086720375</v>
      </c>
      <c r="D70">
        <v>2.27</v>
      </c>
      <c r="E70">
        <f t="shared" si="8"/>
        <v>3.0581460078048339</v>
      </c>
    </row>
    <row r="71" spans="2:5" x14ac:dyDescent="0.2">
      <c r="B71">
        <v>3.85</v>
      </c>
      <c r="C71">
        <v>4.8932067530598484</v>
      </c>
      <c r="D71">
        <v>3.85</v>
      </c>
      <c r="E71">
        <f t="shared" si="8"/>
        <v>4.4038860777538638</v>
      </c>
    </row>
    <row r="72" spans="2:5" x14ac:dyDescent="0.2">
      <c r="B72">
        <v>5.21</v>
      </c>
      <c r="C72">
        <v>5.9380306183996172</v>
      </c>
      <c r="D72">
        <v>5.21</v>
      </c>
      <c r="E72">
        <f t="shared" si="8"/>
        <v>5.3442275565596553</v>
      </c>
    </row>
    <row r="73" spans="2:5" x14ac:dyDescent="0.2">
      <c r="B73">
        <v>3.7</v>
      </c>
      <c r="C73">
        <v>4.1461280356782382</v>
      </c>
      <c r="D73">
        <v>3.7</v>
      </c>
      <c r="E73">
        <f t="shared" si="8"/>
        <v>3.7315152321104144</v>
      </c>
    </row>
    <row r="74" spans="2:5" x14ac:dyDescent="0.2">
      <c r="B74">
        <v>3.27</v>
      </c>
      <c r="C74">
        <v>4.3747483460101035</v>
      </c>
      <c r="D74">
        <v>3.27</v>
      </c>
      <c r="E74">
        <f t="shared" si="8"/>
        <v>3.9372735114090931</v>
      </c>
    </row>
    <row r="75" spans="2:5" x14ac:dyDescent="0.2">
      <c r="B75">
        <v>4.3099999999999996</v>
      </c>
      <c r="C75">
        <v>4.8494194137968991</v>
      </c>
      <c r="D75">
        <v>4.3099999999999996</v>
      </c>
      <c r="E75">
        <f t="shared" si="8"/>
        <v>4.3644774724172093</v>
      </c>
    </row>
    <row r="76" spans="2:5" x14ac:dyDescent="0.2">
      <c r="B76">
        <v>4.42</v>
      </c>
      <c r="C76">
        <v>5.4835872969688939</v>
      </c>
      <c r="D76">
        <v>4.42</v>
      </c>
      <c r="E76">
        <f t="shared" si="8"/>
        <v>4.9352285672720049</v>
      </c>
    </row>
    <row r="77" spans="2:5" x14ac:dyDescent="0.2">
      <c r="B77">
        <v>4.3899999999999997</v>
      </c>
      <c r="C77">
        <v>5.1398790864012369</v>
      </c>
      <c r="D77">
        <v>4.3899999999999997</v>
      </c>
      <c r="E77">
        <f t="shared" si="8"/>
        <v>4.6258911777611136</v>
      </c>
    </row>
    <row r="78" spans="2:5" x14ac:dyDescent="0.2">
      <c r="B78">
        <v>5.05</v>
      </c>
      <c r="C78">
        <v>6.4153072922255676</v>
      </c>
      <c r="D78">
        <v>5.05</v>
      </c>
      <c r="E78">
        <f t="shared" si="8"/>
        <v>5.7737765630030111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</sheetViews>
  <sheetFormatPr baseColWidth="10" defaultRowHeight="16" x14ac:dyDescent="0.2"/>
  <sheetData>
    <row r="1" spans="1:2" x14ac:dyDescent="0.2">
      <c r="A1" t="s">
        <v>38</v>
      </c>
      <c r="B1" t="s">
        <v>39</v>
      </c>
    </row>
    <row r="2" spans="1:2" x14ac:dyDescent="0.2">
      <c r="A2">
        <v>17</v>
      </c>
      <c r="B2">
        <v>19</v>
      </c>
    </row>
    <row r="3" spans="1:2" x14ac:dyDescent="0.2">
      <c r="A3">
        <v>19</v>
      </c>
      <c r="B3">
        <v>25</v>
      </c>
    </row>
    <row r="4" spans="1:2" x14ac:dyDescent="0.2">
      <c r="A4">
        <v>20</v>
      </c>
      <c r="B4">
        <v>32</v>
      </c>
    </row>
    <row r="5" spans="1:2" x14ac:dyDescent="0.2">
      <c r="A5">
        <v>22</v>
      </c>
      <c r="B5">
        <v>51</v>
      </c>
    </row>
    <row r="6" spans="1:2" x14ac:dyDescent="0.2">
      <c r="A6">
        <v>23</v>
      </c>
      <c r="B6">
        <v>57</v>
      </c>
    </row>
    <row r="7" spans="1:2" x14ac:dyDescent="0.2">
      <c r="A7">
        <v>25</v>
      </c>
      <c r="B7">
        <v>71</v>
      </c>
    </row>
    <row r="8" spans="1:2" x14ac:dyDescent="0.2">
      <c r="A8">
        <v>31</v>
      </c>
      <c r="B8">
        <v>141</v>
      </c>
    </row>
    <row r="9" spans="1:2" x14ac:dyDescent="0.2">
      <c r="A9">
        <v>32</v>
      </c>
      <c r="B9">
        <v>123</v>
      </c>
    </row>
    <row r="10" spans="1:2" x14ac:dyDescent="0.2">
      <c r="A10">
        <v>33</v>
      </c>
      <c r="B10">
        <v>187</v>
      </c>
    </row>
    <row r="11" spans="1:2" x14ac:dyDescent="0.2">
      <c r="A11">
        <v>36</v>
      </c>
      <c r="B11">
        <v>192</v>
      </c>
    </row>
    <row r="12" spans="1:2" x14ac:dyDescent="0.2">
      <c r="A12">
        <v>37</v>
      </c>
      <c r="B12">
        <v>205</v>
      </c>
    </row>
    <row r="13" spans="1:2" x14ac:dyDescent="0.2">
      <c r="A13">
        <v>38</v>
      </c>
      <c r="B13">
        <v>252</v>
      </c>
    </row>
    <row r="14" spans="1:2" x14ac:dyDescent="0.2">
      <c r="A14">
        <v>39</v>
      </c>
      <c r="B14">
        <v>248</v>
      </c>
    </row>
    <row r="15" spans="1:2" x14ac:dyDescent="0.2">
      <c r="A15">
        <v>41</v>
      </c>
      <c r="B15">
        <v>294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6" workbookViewId="0">
      <selection activeCell="F71" sqref="F71"/>
    </sheetView>
  </sheetViews>
  <sheetFormatPr baseColWidth="10" defaultRowHeight="16" x14ac:dyDescent="0.2"/>
  <cols>
    <col min="3" max="3" width="19.1640625" customWidth="1"/>
  </cols>
  <sheetData>
    <row r="1" spans="1:7" x14ac:dyDescent="0.2">
      <c r="A1" s="1" t="s">
        <v>40</v>
      </c>
      <c r="B1" s="1" t="s">
        <v>41</v>
      </c>
      <c r="C1" s="1"/>
      <c r="D1" s="1"/>
      <c r="E1" s="1"/>
      <c r="F1" s="1"/>
      <c r="G1" s="1"/>
    </row>
    <row r="2" spans="1:7" x14ac:dyDescent="0.2">
      <c r="A2" s="1">
        <v>12.5</v>
      </c>
      <c r="B2" s="1">
        <v>17</v>
      </c>
      <c r="C2" s="1"/>
      <c r="D2" s="1"/>
      <c r="E2" s="1"/>
      <c r="F2" s="1"/>
      <c r="G2" s="1"/>
    </row>
    <row r="3" spans="1:7" x14ac:dyDescent="0.2">
      <c r="A3" s="1"/>
      <c r="B3" s="1"/>
      <c r="C3" s="1">
        <f>(B4-B2)/(A4-A2)</f>
        <v>-4</v>
      </c>
      <c r="D3" s="1"/>
      <c r="E3" s="1"/>
      <c r="F3" s="1"/>
      <c r="G3" s="1"/>
    </row>
    <row r="4" spans="1:7" x14ac:dyDescent="0.2">
      <c r="A4" s="1">
        <v>12.625</v>
      </c>
      <c r="B4" s="1">
        <v>16.5</v>
      </c>
      <c r="C4" s="1"/>
      <c r="D4" s="1">
        <f>(C5-C3)/(A6-A2)</f>
        <v>5.1282051282051277</v>
      </c>
      <c r="E4" s="1"/>
      <c r="F4" s="1"/>
      <c r="G4" s="1"/>
    </row>
    <row r="5" spans="1:7" x14ac:dyDescent="0.2">
      <c r="A5" s="1"/>
      <c r="B5" s="1"/>
      <c r="C5" s="1">
        <f>(B6-B4)/(A6-A4)</f>
        <v>4.333333333333333</v>
      </c>
      <c r="D5" s="1"/>
      <c r="E5" s="1">
        <f>(D6-D4)/(A8-A2)</f>
        <v>-1.2307692307692304</v>
      </c>
      <c r="F5" s="1"/>
      <c r="G5" s="1"/>
    </row>
    <row r="6" spans="1:7" x14ac:dyDescent="0.2">
      <c r="A6" s="1">
        <v>14.125</v>
      </c>
      <c r="B6" s="1">
        <v>23</v>
      </c>
      <c r="C6" s="1"/>
      <c r="D6" s="1">
        <f>(C7-C5)/(A8-A4)</f>
        <v>2.666666666666667</v>
      </c>
      <c r="E6" s="1"/>
      <c r="F6" s="1">
        <f>(E7-E5)/(A10-A2)</f>
        <v>7.8577392261602694E-2</v>
      </c>
      <c r="G6" s="1"/>
    </row>
    <row r="7" spans="1:7" x14ac:dyDescent="0.2">
      <c r="A7" s="1"/>
      <c r="B7" s="1"/>
      <c r="C7" s="1">
        <f>(B8-B6)/(A8-A6)</f>
        <v>9.3333333333333339</v>
      </c>
      <c r="D7" s="1"/>
      <c r="E7" s="1">
        <f>(D8-D6)/(A10-A4)</f>
        <v>-0.85752661752661763</v>
      </c>
      <c r="F7" s="1"/>
      <c r="G7" s="1">
        <f>(F8-F6)/(A12-A2)</f>
        <v>6.4067223073907192E-2</v>
      </c>
    </row>
    <row r="8" spans="1:7" x14ac:dyDescent="0.2">
      <c r="A8" s="1">
        <v>14.5</v>
      </c>
      <c r="B8" s="1">
        <v>26.5</v>
      </c>
      <c r="C8" s="1"/>
      <c r="D8" s="1">
        <f>(C9-C7)/(A10-A6)</f>
        <v>-1.2993939393939398</v>
      </c>
      <c r="E8" s="1"/>
      <c r="F8" s="1">
        <f>(E9-E7)/(A12-A4)</f>
        <v>0.41493031339961545</v>
      </c>
      <c r="G8" s="1"/>
    </row>
    <row r="9" spans="1:7" x14ac:dyDescent="0.2">
      <c r="A9" s="1"/>
      <c r="B9" s="1"/>
      <c r="C9" s="1">
        <f>(B10-B8)/(A10-A8)</f>
        <v>5.2727272727272725</v>
      </c>
      <c r="D9" s="1"/>
      <c r="E9" s="1">
        <f>(D10-D8)/(A12-A6)</f>
        <v>1.2689912386464113</v>
      </c>
      <c r="F9" s="1"/>
      <c r="G9" s="1"/>
    </row>
    <row r="10" spans="1:7" x14ac:dyDescent="0.2">
      <c r="A10" s="1">
        <v>17.25</v>
      </c>
      <c r="B10" s="1">
        <v>41</v>
      </c>
      <c r="C10" s="1"/>
      <c r="D10" s="1">
        <f>(C11-C9)/(A12-A8)</f>
        <v>3.3006993006993004</v>
      </c>
      <c r="E10" s="1"/>
      <c r="F10" s="1"/>
      <c r="G10" s="1"/>
    </row>
    <row r="11" spans="1:7" x14ac:dyDescent="0.2">
      <c r="A11" s="1"/>
      <c r="B11" s="1"/>
      <c r="C11" s="1">
        <f>(B12-B10)/(A12-A10)</f>
        <v>16</v>
      </c>
      <c r="D11" s="1"/>
      <c r="E11" s="1"/>
      <c r="F11" s="1"/>
      <c r="G11" s="1"/>
    </row>
    <row r="12" spans="1:7" x14ac:dyDescent="0.2">
      <c r="A12" s="1">
        <v>17.75</v>
      </c>
      <c r="B12" s="1">
        <v>49</v>
      </c>
      <c r="C12" s="1"/>
      <c r="D12" s="1"/>
      <c r="E12" s="1"/>
      <c r="F12" s="1"/>
      <c r="G12" s="1"/>
    </row>
    <row r="13" spans="1:7" x14ac:dyDescent="0.2">
      <c r="F13">
        <v>12.625</v>
      </c>
      <c r="G13">
        <v>16.5</v>
      </c>
    </row>
    <row r="15" spans="1:7" x14ac:dyDescent="0.2">
      <c r="A15">
        <v>12.625</v>
      </c>
      <c r="B15">
        <v>16.5</v>
      </c>
    </row>
    <row r="16" spans="1:7" x14ac:dyDescent="0.2">
      <c r="C16">
        <f>B17-B15</f>
        <v>0.5</v>
      </c>
    </row>
    <row r="17" spans="1:8" x14ac:dyDescent="0.2">
      <c r="A17">
        <v>12.5</v>
      </c>
      <c r="B17">
        <v>17</v>
      </c>
      <c r="D17">
        <f>C18-C16</f>
        <v>5.5</v>
      </c>
    </row>
    <row r="18" spans="1:8" x14ac:dyDescent="0.2">
      <c r="C18">
        <f>B19-B17</f>
        <v>6</v>
      </c>
      <c r="E18">
        <f>D19-D17</f>
        <v>-8</v>
      </c>
    </row>
    <row r="19" spans="1:8" x14ac:dyDescent="0.2">
      <c r="A19">
        <v>14.125</v>
      </c>
      <c r="B19">
        <v>23</v>
      </c>
      <c r="D19">
        <f>C20-C18</f>
        <v>-2.5</v>
      </c>
      <c r="F19">
        <f>E20-E18</f>
        <v>21.5</v>
      </c>
    </row>
    <row r="20" spans="1:8" x14ac:dyDescent="0.2">
      <c r="C20">
        <f>B21-B19</f>
        <v>3.5</v>
      </c>
      <c r="E20">
        <f>D21-D19</f>
        <v>13.5</v>
      </c>
      <c r="G20">
        <f>F21-F19</f>
        <v>-52.5</v>
      </c>
    </row>
    <row r="21" spans="1:8" x14ac:dyDescent="0.2">
      <c r="A21">
        <v>14.5</v>
      </c>
      <c r="B21">
        <v>26.5</v>
      </c>
      <c r="D21">
        <f>C22-C20</f>
        <v>11</v>
      </c>
      <c r="F21">
        <f>E22-E20</f>
        <v>-31</v>
      </c>
    </row>
    <row r="22" spans="1:8" x14ac:dyDescent="0.2">
      <c r="C22">
        <f>B23-B21</f>
        <v>14.5</v>
      </c>
      <c r="E22">
        <f>D23-D21</f>
        <v>-17.5</v>
      </c>
    </row>
    <row r="23" spans="1:8" x14ac:dyDescent="0.2">
      <c r="A23">
        <v>17.25</v>
      </c>
      <c r="B23">
        <v>41</v>
      </c>
      <c r="D23">
        <f>C24-C22</f>
        <v>-6.5</v>
      </c>
    </row>
    <row r="24" spans="1:8" x14ac:dyDescent="0.2">
      <c r="C24">
        <f>B25-B23</f>
        <v>8</v>
      </c>
    </row>
    <row r="25" spans="1:8" x14ac:dyDescent="0.2">
      <c r="A25">
        <v>17.75</v>
      </c>
      <c r="B25">
        <v>49</v>
      </c>
    </row>
    <row r="27" spans="1:8" x14ac:dyDescent="0.2">
      <c r="A27" s="1" t="s">
        <v>40</v>
      </c>
    </row>
    <row r="28" spans="1:8" x14ac:dyDescent="0.2">
      <c r="A28" s="1">
        <v>12.5</v>
      </c>
    </row>
    <row r="29" spans="1:8" x14ac:dyDescent="0.2">
      <c r="A29" s="1"/>
      <c r="B29">
        <f>A30-A28</f>
        <v>0.125</v>
      </c>
      <c r="C29">
        <f t="shared" ref="C29:H38" si="0">B30-B28</f>
        <v>0</v>
      </c>
      <c r="D29">
        <f t="shared" si="0"/>
        <v>1.375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</row>
    <row r="30" spans="1:8" x14ac:dyDescent="0.2">
      <c r="A30" s="1">
        <v>12.625</v>
      </c>
      <c r="C30">
        <f>B31-B29</f>
        <v>1.375</v>
      </c>
    </row>
    <row r="31" spans="1:8" x14ac:dyDescent="0.2">
      <c r="A31" s="1"/>
      <c r="B31">
        <f>A32-A30</f>
        <v>1.5</v>
      </c>
      <c r="D31">
        <f>C32-C30</f>
        <v>-2.5</v>
      </c>
    </row>
    <row r="32" spans="1:8" x14ac:dyDescent="0.2">
      <c r="A32" s="1">
        <v>14.125</v>
      </c>
      <c r="C32">
        <f>B33-B31</f>
        <v>-1.125</v>
      </c>
      <c r="E32">
        <f>D33-D31</f>
        <v>6</v>
      </c>
    </row>
    <row r="33" spans="1:6" x14ac:dyDescent="0.2">
      <c r="A33" s="1"/>
      <c r="B33">
        <f>A34-A32</f>
        <v>0.375</v>
      </c>
      <c r="D33">
        <f>C34-C32</f>
        <v>3.5</v>
      </c>
      <c r="F33">
        <f>E34-E32</f>
        <v>-14.125</v>
      </c>
    </row>
    <row r="34" spans="1:6" x14ac:dyDescent="0.2">
      <c r="A34" s="1">
        <v>14.5</v>
      </c>
      <c r="C34">
        <f>B35-B33</f>
        <v>2.375</v>
      </c>
      <c r="E34">
        <f>D35-D33</f>
        <v>-8.125</v>
      </c>
    </row>
    <row r="35" spans="1:6" x14ac:dyDescent="0.2">
      <c r="A35" s="1"/>
      <c r="B35">
        <f>A36-A34</f>
        <v>2.75</v>
      </c>
      <c r="D35">
        <f>C36-C34</f>
        <v>-4.625</v>
      </c>
    </row>
    <row r="36" spans="1:6" x14ac:dyDescent="0.2">
      <c r="A36" s="1">
        <v>17.25</v>
      </c>
      <c r="C36">
        <f>B37-B35</f>
        <v>-2.25</v>
      </c>
    </row>
    <row r="37" spans="1:6" x14ac:dyDescent="0.2">
      <c r="A37" s="1"/>
      <c r="B37">
        <f>A38-A36</f>
        <v>0.5</v>
      </c>
    </row>
    <row r="38" spans="1:6" x14ac:dyDescent="0.2">
      <c r="A38" s="1">
        <v>17.75</v>
      </c>
    </row>
    <row r="58" spans="1:8" x14ac:dyDescent="0.2">
      <c r="C58">
        <f>1.846*(10^4)</f>
        <v>18460</v>
      </c>
      <c r="D58">
        <f>-4.967*(10^3)</f>
        <v>-4967</v>
      </c>
      <c r="E58">
        <f>4.985*(10^2)</f>
        <v>498.50000000000006</v>
      </c>
      <c r="F58">
        <f>-2.211*(10^1)</f>
        <v>-22.11</v>
      </c>
      <c r="G58">
        <f>3.663*(10^-1)</f>
        <v>0.36630000000000001</v>
      </c>
    </row>
    <row r="59" spans="1:8" x14ac:dyDescent="0.2">
      <c r="A59" s="1" t="s">
        <v>41</v>
      </c>
      <c r="B59" s="1" t="s">
        <v>40</v>
      </c>
    </row>
    <row r="60" spans="1:8" x14ac:dyDescent="0.2">
      <c r="A60" s="1">
        <v>17</v>
      </c>
      <c r="B60" s="1">
        <v>12.5</v>
      </c>
      <c r="C60">
        <f t="shared" ref="C60:C65" si="1">1.846*(10^4)</f>
        <v>18460</v>
      </c>
      <c r="D60">
        <f>$D$58*B:B</f>
        <v>-62087.5</v>
      </c>
      <c r="E60">
        <f>$E$58*(B:B^2)</f>
        <v>77890.625000000015</v>
      </c>
      <c r="F60">
        <f>$F$58*(B:B^3)</f>
        <v>-43183.59375</v>
      </c>
      <c r="G60">
        <f>$G$58*(B:B^4)</f>
        <v>8942.87109375</v>
      </c>
      <c r="H60">
        <f>SUM(C60:G60)</f>
        <v>22.402343750014552</v>
      </c>
    </row>
    <row r="61" spans="1:8" x14ac:dyDescent="0.2">
      <c r="A61" s="1">
        <v>16.5</v>
      </c>
      <c r="B61" s="1">
        <v>12.625</v>
      </c>
      <c r="C61">
        <f t="shared" si="1"/>
        <v>18460</v>
      </c>
      <c r="D61">
        <f t="shared" ref="D61:D65" si="2">$D$58*B:B</f>
        <v>-62708.375</v>
      </c>
      <c r="E61">
        <f t="shared" ref="E61:E65" si="3">$E$58*(B:B^2)</f>
        <v>79456.226562500015</v>
      </c>
      <c r="F61">
        <f t="shared" ref="F61:F65" si="4">$F$58*(B:B^3)</f>
        <v>-44492.099824218749</v>
      </c>
      <c r="G61">
        <f t="shared" ref="G61:G65" si="5">$G$58*(B:B^4)</f>
        <v>9305.9875210693372</v>
      </c>
      <c r="H61">
        <f t="shared" ref="H61:H65" si="6">SUM(C61:G61)</f>
        <v>21.739259350602879</v>
      </c>
    </row>
    <row r="62" spans="1:8" x14ac:dyDescent="0.2">
      <c r="A62" s="1">
        <v>23</v>
      </c>
      <c r="B62" s="1">
        <v>14.125</v>
      </c>
      <c r="C62">
        <f t="shared" si="1"/>
        <v>18460</v>
      </c>
      <c r="D62">
        <f t="shared" si="2"/>
        <v>-70158.875</v>
      </c>
      <c r="E62">
        <f t="shared" si="3"/>
        <v>99458.539062500015</v>
      </c>
      <c r="F62">
        <f t="shared" si="4"/>
        <v>-62309.477871093746</v>
      </c>
      <c r="G62">
        <f t="shared" si="5"/>
        <v>14581.115315991212</v>
      </c>
      <c r="H62">
        <f t="shared" si="6"/>
        <v>31.301507397480236</v>
      </c>
    </row>
    <row r="63" spans="1:8" x14ac:dyDescent="0.2">
      <c r="A63" s="1">
        <v>26.5</v>
      </c>
      <c r="B63" s="1">
        <v>14.5</v>
      </c>
      <c r="C63">
        <f t="shared" si="1"/>
        <v>18460</v>
      </c>
      <c r="D63">
        <f t="shared" si="2"/>
        <v>-72021.5</v>
      </c>
      <c r="E63">
        <f t="shared" si="3"/>
        <v>104809.62500000001</v>
      </c>
      <c r="F63">
        <f t="shared" si="4"/>
        <v>-67405.098750000005</v>
      </c>
      <c r="G63">
        <f t="shared" si="5"/>
        <v>16192.314393750001</v>
      </c>
      <c r="H63">
        <f t="shared" si="6"/>
        <v>35.340643750010713</v>
      </c>
    </row>
    <row r="64" spans="1:8" x14ac:dyDescent="0.2">
      <c r="A64" s="1">
        <v>41</v>
      </c>
      <c r="B64" s="1">
        <v>17.25</v>
      </c>
      <c r="C64">
        <f t="shared" si="1"/>
        <v>18460</v>
      </c>
      <c r="D64">
        <f t="shared" si="2"/>
        <v>-85680.75</v>
      </c>
      <c r="E64">
        <f t="shared" si="3"/>
        <v>148334.90625000003</v>
      </c>
      <c r="F64">
        <f t="shared" si="4"/>
        <v>-113489.59359375</v>
      </c>
      <c r="G64">
        <f t="shared" si="5"/>
        <v>32433.462587109378</v>
      </c>
      <c r="H64">
        <f t="shared" si="6"/>
        <v>58.025243359403248</v>
      </c>
    </row>
    <row r="65" spans="1:8" x14ac:dyDescent="0.2">
      <c r="A65" s="1">
        <v>49</v>
      </c>
      <c r="B65" s="1">
        <v>17.75</v>
      </c>
      <c r="C65">
        <f t="shared" si="1"/>
        <v>18460</v>
      </c>
      <c r="D65">
        <f t="shared" si="2"/>
        <v>-88164.25</v>
      </c>
      <c r="E65">
        <f t="shared" si="3"/>
        <v>157058.65625000003</v>
      </c>
      <c r="F65">
        <f t="shared" si="4"/>
        <v>-123647.06578125</v>
      </c>
      <c r="G65">
        <f t="shared" si="5"/>
        <v>36360.541993359373</v>
      </c>
      <c r="H65">
        <f t="shared" si="6"/>
        <v>67.882462109402695</v>
      </c>
    </row>
    <row r="67" spans="1:8" x14ac:dyDescent="0.2">
      <c r="A67" s="1" t="s">
        <v>41</v>
      </c>
      <c r="B67" s="1" t="s">
        <v>40</v>
      </c>
    </row>
    <row r="68" spans="1:8" x14ac:dyDescent="0.2">
      <c r="A68" s="1">
        <v>17</v>
      </c>
      <c r="B68" s="1">
        <v>12.5</v>
      </c>
    </row>
    <row r="69" spans="1:8" x14ac:dyDescent="0.2">
      <c r="A69" s="1">
        <v>16.5</v>
      </c>
      <c r="B69" s="1">
        <v>12.625</v>
      </c>
      <c r="C69">
        <f>1.846*(10^4)</f>
        <v>18460</v>
      </c>
    </row>
    <row r="70" spans="1:8" x14ac:dyDescent="0.2">
      <c r="A70" s="1">
        <v>23</v>
      </c>
      <c r="B70" s="1">
        <v>14.125</v>
      </c>
    </row>
    <row r="71" spans="1:8" x14ac:dyDescent="0.2">
      <c r="A71" s="1">
        <v>26.5</v>
      </c>
      <c r="B71" s="1">
        <v>14.5</v>
      </c>
    </row>
    <row r="72" spans="1:8" x14ac:dyDescent="0.2">
      <c r="A72" s="1">
        <v>41</v>
      </c>
      <c r="B72" s="1">
        <v>17.25</v>
      </c>
    </row>
    <row r="73" spans="1:8" x14ac:dyDescent="0.2">
      <c r="A73" s="1">
        <v>49</v>
      </c>
      <c r="B73" s="1">
        <v>17.75</v>
      </c>
    </row>
    <row r="76" spans="1:8" x14ac:dyDescent="0.2">
      <c r="A76" t="s">
        <v>41</v>
      </c>
      <c r="B76" t="s">
        <v>40</v>
      </c>
      <c r="C76">
        <v>18460</v>
      </c>
      <c r="D76">
        <v>-4967</v>
      </c>
      <c r="E76">
        <v>498.50000000000006</v>
      </c>
      <c r="F76">
        <v>-22.11</v>
      </c>
      <c r="G76">
        <v>0.36630000000000001</v>
      </c>
    </row>
    <row r="77" spans="1:8" x14ac:dyDescent="0.2">
      <c r="A77">
        <v>17</v>
      </c>
      <c r="B77">
        <v>12.5</v>
      </c>
      <c r="C77">
        <v>18460</v>
      </c>
      <c r="D77">
        <v>-62087.5</v>
      </c>
      <c r="E77">
        <v>77890.625000000015</v>
      </c>
      <c r="F77">
        <v>-43183.59375</v>
      </c>
      <c r="G77">
        <v>8942.87109375</v>
      </c>
      <c r="H77">
        <v>22.402343750014552</v>
      </c>
    </row>
    <row r="78" spans="1:8" x14ac:dyDescent="0.2">
      <c r="A78">
        <v>16.5</v>
      </c>
      <c r="B78">
        <v>12.625</v>
      </c>
      <c r="C78">
        <v>18460</v>
      </c>
      <c r="D78">
        <v>-62708.375</v>
      </c>
      <c r="E78">
        <v>79456.226562500015</v>
      </c>
      <c r="F78">
        <v>-44492.099824218749</v>
      </c>
      <c r="G78">
        <v>9305.9875210693372</v>
      </c>
      <c r="H78">
        <v>21.739259350602879</v>
      </c>
    </row>
    <row r="79" spans="1:8" x14ac:dyDescent="0.2">
      <c r="A79">
        <v>23</v>
      </c>
      <c r="B79">
        <v>14.125</v>
      </c>
      <c r="C79">
        <v>18460</v>
      </c>
      <c r="D79">
        <v>-70158.875</v>
      </c>
      <c r="E79">
        <v>99458.539062500015</v>
      </c>
      <c r="F79">
        <v>-62309.477871093746</v>
      </c>
      <c r="G79">
        <v>14581.115315991212</v>
      </c>
      <c r="H79">
        <v>31.301507397480236</v>
      </c>
    </row>
    <row r="80" spans="1:8" x14ac:dyDescent="0.2">
      <c r="A80">
        <v>26.5</v>
      </c>
      <c r="B80">
        <v>14.5</v>
      </c>
      <c r="C80">
        <v>18460</v>
      </c>
      <c r="D80">
        <v>-72021.5</v>
      </c>
      <c r="E80">
        <v>104809.62500000001</v>
      </c>
      <c r="F80">
        <v>-67405.098750000005</v>
      </c>
      <c r="G80">
        <v>16192.314393750001</v>
      </c>
      <c r="H80">
        <v>35.340643750010713</v>
      </c>
    </row>
    <row r="81" spans="1:8" x14ac:dyDescent="0.2">
      <c r="A81">
        <v>41</v>
      </c>
      <c r="B81">
        <v>17.25</v>
      </c>
      <c r="C81">
        <v>18460</v>
      </c>
      <c r="D81">
        <v>-85680.75</v>
      </c>
      <c r="E81">
        <v>148334.90625000003</v>
      </c>
      <c r="F81">
        <v>-113489.59359375</v>
      </c>
      <c r="G81">
        <v>32433.462587109378</v>
      </c>
      <c r="H81">
        <v>58.025243359403248</v>
      </c>
    </row>
    <row r="82" spans="1:8" x14ac:dyDescent="0.2">
      <c r="A82">
        <v>49</v>
      </c>
      <c r="B82">
        <v>17.75</v>
      </c>
      <c r="C82">
        <v>18460</v>
      </c>
      <c r="D82">
        <v>-88164.25</v>
      </c>
      <c r="E82">
        <v>157058.65625000003</v>
      </c>
      <c r="F82">
        <v>-123647.06578125</v>
      </c>
      <c r="G82">
        <v>36360.541993359373</v>
      </c>
      <c r="H82">
        <v>67.882462109402695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F31" sqref="F31"/>
    </sheetView>
  </sheetViews>
  <sheetFormatPr baseColWidth="10" defaultRowHeight="16" x14ac:dyDescent="0.2"/>
  <sheetData>
    <row r="2" spans="1:2" x14ac:dyDescent="0.2">
      <c r="A2" t="s">
        <v>42</v>
      </c>
      <c r="B2">
        <v>0.02</v>
      </c>
    </row>
    <row r="3" spans="1:2" x14ac:dyDescent="0.2">
      <c r="A3" t="s">
        <v>43</v>
      </c>
      <c r="B3">
        <v>0.03</v>
      </c>
    </row>
    <row r="4" spans="1:2" x14ac:dyDescent="0.2">
      <c r="A4">
        <v>1919</v>
      </c>
      <c r="B4">
        <v>0.02</v>
      </c>
    </row>
    <row r="5" spans="1:2" x14ac:dyDescent="0.2">
      <c r="A5" s="3">
        <v>11876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 113 #2</vt:lpstr>
      <vt:lpstr>Page 121 #2.a</vt:lpstr>
      <vt:lpstr>Page 127 #10</vt:lpstr>
      <vt:lpstr>Page 136 #7</vt:lpstr>
      <vt:lpstr>page 146 #5</vt:lpstr>
      <vt:lpstr>p157 #4</vt:lpstr>
      <vt:lpstr>p169 #11</vt:lpstr>
      <vt:lpstr>p181 #5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2017-02-14T22:22:56Z</dcterms:created>
  <dcterms:modified xsi:type="dcterms:W3CDTF">2017-02-22T19:10:13Z</dcterms:modified>
</cp:coreProperties>
</file>