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52c368020081e9b/bus 438 fixed income/"/>
    </mc:Choice>
  </mc:AlternateContent>
  <xr:revisionPtr revIDLastSave="1" documentId="8_{3C46A6CD-C918-44C6-ACAE-A234E1A485DC}" xr6:coauthVersionLast="47" xr6:coauthVersionMax="47" xr10:uidLastSave="{3158E3C0-6259-4903-B50C-65C9BE945EF6}"/>
  <bookViews>
    <workbookView xWindow="-108" yWindow="-108" windowWidth="23256" windowHeight="12456" xr2:uid="{B419DAC4-2549-496D-8427-CDDA67BBD983}"/>
  </bookViews>
  <sheets>
    <sheet name="main" sheetId="12" r:id="rId1"/>
    <sheet name="workshop 2" sheetId="11" state="hidden" r:id="rId2"/>
  </sheets>
  <definedNames>
    <definedName name="_xlnm._FilterDatabase" localSheetId="1" hidden="1">'workshop 2'!$C$39:$S$87</definedName>
    <definedName name="P_H">#REF!</definedName>
    <definedName name="P_L">#REF!</definedName>
    <definedName name="SIGM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3" i="11" l="1"/>
  <c r="E211" i="11"/>
  <c r="B3" i="12"/>
  <c r="I11" i="12" s="1"/>
  <c r="J11" i="12" s="1"/>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6" i="12"/>
  <c r="C44" i="12"/>
  <c r="G44" i="12" s="1"/>
  <c r="B166" i="11"/>
  <c r="L44" i="12"/>
  <c r="L45" i="12" s="1"/>
  <c r="L46" i="12" s="1"/>
  <c r="L47" i="12" s="1"/>
  <c r="L48" i="12" s="1"/>
  <c r="L49" i="12" s="1"/>
  <c r="L50" i="12" s="1"/>
  <c r="D53" i="12"/>
  <c r="D54" i="12" s="1"/>
  <c r="D55" i="12" s="1"/>
  <c r="D56" i="12" s="1"/>
  <c r="D57" i="12" s="1"/>
  <c r="D58" i="12" s="1"/>
  <c r="D59" i="12" s="1"/>
  <c r="D60" i="12" s="1"/>
  <c r="D61" i="12" s="1"/>
  <c r="D62" i="12" s="1"/>
  <c r="D63" i="12" s="1"/>
  <c r="D64" i="12" s="1"/>
  <c r="D65" i="12" s="1"/>
  <c r="D66" i="12" s="1"/>
  <c r="D67" i="12" s="1"/>
  <c r="D68" i="12" s="1"/>
  <c r="D69" i="12" s="1"/>
  <c r="D70" i="12" s="1"/>
  <c r="D71" i="12" s="1"/>
  <c r="D72" i="12" s="1"/>
  <c r="D73" i="12" s="1"/>
  <c r="D74" i="12" s="1"/>
  <c r="D75" i="12" s="1"/>
  <c r="D76" i="12" s="1"/>
  <c r="D77" i="12" s="1"/>
  <c r="D78" i="12" s="1"/>
  <c r="D79" i="12" s="1"/>
  <c r="D80" i="12" s="1"/>
  <c r="D81" i="12" s="1"/>
  <c r="D82" i="12" s="1"/>
  <c r="D83" i="12" s="1"/>
  <c r="D84" i="12" s="1"/>
  <c r="D85" i="12" s="1"/>
  <c r="D86" i="12" s="1"/>
  <c r="D87" i="12" s="1"/>
  <c r="D88" i="12" s="1"/>
  <c r="D89" i="12" s="1"/>
  <c r="D90" i="12" s="1"/>
  <c r="D91" i="12" s="1"/>
  <c r="D92" i="12" s="1"/>
  <c r="D93" i="12" s="1"/>
  <c r="D94" i="12" s="1"/>
  <c r="D95" i="12" s="1"/>
  <c r="D96" i="12" s="1"/>
  <c r="D97" i="12" s="1"/>
  <c r="D98" i="12" s="1"/>
  <c r="D99" i="12" s="1"/>
  <c r="D100" i="12" s="1"/>
  <c r="I28" i="12" l="1"/>
  <c r="J28" i="12" s="1"/>
  <c r="I22" i="12"/>
  <c r="J22" i="12" s="1"/>
  <c r="I21" i="12"/>
  <c r="J21" i="12" s="1"/>
  <c r="I16" i="12"/>
  <c r="J16" i="12" s="1"/>
  <c r="D29" i="12"/>
  <c r="E29" i="12" s="1"/>
  <c r="F29" i="12" s="1"/>
  <c r="D28" i="12"/>
  <c r="E28" i="12" s="1"/>
  <c r="F28" i="12" s="1"/>
  <c r="D15" i="12"/>
  <c r="E15" i="12" s="1"/>
  <c r="F15" i="12" s="1"/>
  <c r="I34" i="12"/>
  <c r="J34" i="12" s="1"/>
  <c r="I33" i="12"/>
  <c r="J33" i="12" s="1"/>
  <c r="I29" i="12"/>
  <c r="J29" i="12" s="1"/>
  <c r="M54" i="12"/>
  <c r="I10" i="12"/>
  <c r="J10" i="12" s="1"/>
  <c r="M56" i="12"/>
  <c r="I6" i="12"/>
  <c r="J6" i="12" s="1"/>
  <c r="I9" i="12"/>
  <c r="J9" i="12" s="1"/>
  <c r="I41" i="12"/>
  <c r="J41" i="12" s="1"/>
  <c r="I40" i="12"/>
  <c r="J40" i="12" s="1"/>
  <c r="I17" i="12"/>
  <c r="J17" i="12" s="1"/>
  <c r="D27" i="12"/>
  <c r="E27" i="12" s="1"/>
  <c r="F27" i="12" s="1"/>
  <c r="I44" i="12"/>
  <c r="J44" i="12" s="1"/>
  <c r="I32" i="12"/>
  <c r="J32" i="12" s="1"/>
  <c r="I20" i="12"/>
  <c r="J20" i="12" s="1"/>
  <c r="I8" i="12"/>
  <c r="J8" i="12" s="1"/>
  <c r="D17" i="12"/>
  <c r="E17" i="12" s="1"/>
  <c r="F17" i="12" s="1"/>
  <c r="I43" i="12"/>
  <c r="J43" i="12" s="1"/>
  <c r="I31" i="12"/>
  <c r="J31" i="12" s="1"/>
  <c r="I19" i="12"/>
  <c r="J19" i="12" s="1"/>
  <c r="I7" i="12"/>
  <c r="J7" i="12" s="1"/>
  <c r="D16" i="12"/>
  <c r="E16" i="12" s="1"/>
  <c r="F16" i="12" s="1"/>
  <c r="I42" i="12"/>
  <c r="J42" i="12" s="1"/>
  <c r="I30" i="12"/>
  <c r="J30" i="12" s="1"/>
  <c r="I18" i="12"/>
  <c r="J18" i="12" s="1"/>
  <c r="I39" i="12"/>
  <c r="J39" i="12" s="1"/>
  <c r="I27" i="12"/>
  <c r="J27" i="12" s="1"/>
  <c r="M52" i="12"/>
  <c r="I38" i="12"/>
  <c r="J38" i="12" s="1"/>
  <c r="I26" i="12"/>
  <c r="J26" i="12" s="1"/>
  <c r="D41" i="12"/>
  <c r="E41" i="12" s="1"/>
  <c r="F41" i="12" s="1"/>
  <c r="M51" i="12"/>
  <c r="I37" i="12"/>
  <c r="J37" i="12" s="1"/>
  <c r="I25" i="12"/>
  <c r="J25" i="12" s="1"/>
  <c r="I13" i="12"/>
  <c r="J13" i="12" s="1"/>
  <c r="I15" i="12"/>
  <c r="J15" i="12" s="1"/>
  <c r="I14" i="12"/>
  <c r="J14" i="12" s="1"/>
  <c r="D40" i="12"/>
  <c r="E40" i="12" s="1"/>
  <c r="F40" i="12" s="1"/>
  <c r="M50" i="12"/>
  <c r="N50" i="12" s="1"/>
  <c r="I36" i="12"/>
  <c r="J36" i="12" s="1"/>
  <c r="I24" i="12"/>
  <c r="J24" i="12" s="1"/>
  <c r="I12" i="12"/>
  <c r="J12" i="12" s="1"/>
  <c r="D39" i="12"/>
  <c r="E39" i="12" s="1"/>
  <c r="F39" i="12" s="1"/>
  <c r="M55" i="12"/>
  <c r="I35" i="12"/>
  <c r="J35" i="12" s="1"/>
  <c r="I23" i="12"/>
  <c r="J23" i="12" s="1"/>
  <c r="L51" i="12"/>
  <c r="D38" i="12"/>
  <c r="E38" i="12" s="1"/>
  <c r="D26" i="12"/>
  <c r="E26" i="12" s="1"/>
  <c r="D14" i="12"/>
  <c r="E14" i="12" s="1"/>
  <c r="M49" i="12"/>
  <c r="N49" i="12" s="1"/>
  <c r="M64" i="12"/>
  <c r="D37" i="12"/>
  <c r="E37" i="12" s="1"/>
  <c r="D25" i="12"/>
  <c r="E25" i="12" s="1"/>
  <c r="D13" i="12"/>
  <c r="E13" i="12" s="1"/>
  <c r="M48" i="12"/>
  <c r="N48" i="12" s="1"/>
  <c r="M63" i="12"/>
  <c r="D36" i="12"/>
  <c r="E36" i="12" s="1"/>
  <c r="D24" i="12"/>
  <c r="E24" i="12" s="1"/>
  <c r="D12" i="12"/>
  <c r="E12" i="12" s="1"/>
  <c r="M47" i="12"/>
  <c r="N47" i="12" s="1"/>
  <c r="M62" i="12"/>
  <c r="D35" i="12"/>
  <c r="E35" i="12" s="1"/>
  <c r="D23" i="12"/>
  <c r="E23" i="12" s="1"/>
  <c r="D11" i="12"/>
  <c r="E11" i="12" s="1"/>
  <c r="M46" i="12"/>
  <c r="N46" i="12" s="1"/>
  <c r="M61" i="12"/>
  <c r="D34" i="12"/>
  <c r="E34" i="12" s="1"/>
  <c r="D22" i="12"/>
  <c r="E22" i="12" s="1"/>
  <c r="D10" i="12"/>
  <c r="E10" i="12" s="1"/>
  <c r="M45" i="12"/>
  <c r="N45" i="12" s="1"/>
  <c r="M60" i="12"/>
  <c r="D6" i="12"/>
  <c r="D33" i="12"/>
  <c r="E33" i="12" s="1"/>
  <c r="D21" i="12"/>
  <c r="E21" i="12" s="1"/>
  <c r="D9" i="12"/>
  <c r="E9" i="12" s="1"/>
  <c r="M59" i="12"/>
  <c r="D44" i="12"/>
  <c r="E44" i="12" s="1"/>
  <c r="D32" i="12"/>
  <c r="E32" i="12" s="1"/>
  <c r="D20" i="12"/>
  <c r="E20" i="12" s="1"/>
  <c r="D8" i="12"/>
  <c r="E8" i="12" s="1"/>
  <c r="M58" i="12"/>
  <c r="D43" i="12"/>
  <c r="E43" i="12" s="1"/>
  <c r="D31" i="12"/>
  <c r="E31" i="12" s="1"/>
  <c r="D19" i="12"/>
  <c r="E19" i="12" s="1"/>
  <c r="D7" i="12"/>
  <c r="E7" i="12" s="1"/>
  <c r="M44" i="12"/>
  <c r="N44" i="12" s="1"/>
  <c r="M57" i="12"/>
  <c r="D42" i="12"/>
  <c r="E42" i="12" s="1"/>
  <c r="D30" i="12"/>
  <c r="E30" i="12" s="1"/>
  <c r="D18" i="12"/>
  <c r="E18" i="12" s="1"/>
  <c r="M53" i="12"/>
  <c r="E6" i="12" l="1"/>
  <c r="E45" i="12" s="1"/>
  <c r="D45" i="12"/>
  <c r="N51" i="12"/>
  <c r="J48" i="12"/>
  <c r="J52" i="12" s="1"/>
  <c r="F36" i="12"/>
  <c r="F34" i="12"/>
  <c r="F18" i="12"/>
  <c r="F25" i="12"/>
  <c r="F42" i="12"/>
  <c r="F11" i="12"/>
  <c r="F37" i="12"/>
  <c r="F8" i="12"/>
  <c r="F24" i="12"/>
  <c r="F32" i="12"/>
  <c r="F35" i="12"/>
  <c r="F43" i="12"/>
  <c r="F20" i="12"/>
  <c r="F13" i="12"/>
  <c r="F9" i="12"/>
  <c r="F10" i="12"/>
  <c r="F30" i="12"/>
  <c r="F19" i="12"/>
  <c r="F22" i="12"/>
  <c r="F44" i="12"/>
  <c r="F23" i="12"/>
  <c r="F21" i="12"/>
  <c r="F33" i="12"/>
  <c r="F14" i="12"/>
  <c r="F26" i="12"/>
  <c r="F31" i="12"/>
  <c r="F12" i="12"/>
  <c r="F38" i="12"/>
  <c r="L52" i="12"/>
  <c r="N52" i="12" s="1"/>
  <c r="E50" i="12"/>
  <c r="F6" i="12" l="1"/>
  <c r="J50" i="12"/>
  <c r="J49" i="12"/>
  <c r="J51" i="12" s="1"/>
  <c r="E46" i="12"/>
  <c r="E47" i="12" s="1"/>
  <c r="F7" i="12"/>
  <c r="L53" i="12"/>
  <c r="N53" i="12" s="1"/>
  <c r="F50" i="12"/>
  <c r="G50" i="12" s="1"/>
  <c r="O47" i="12"/>
  <c r="O59" i="12"/>
  <c r="O48" i="12"/>
  <c r="O60" i="12"/>
  <c r="O45" i="12"/>
  <c r="O57" i="12"/>
  <c r="O49" i="12"/>
  <c r="O61" i="12"/>
  <c r="O52" i="12"/>
  <c r="O54" i="12"/>
  <c r="O58" i="12"/>
  <c r="O50" i="12"/>
  <c r="O62" i="12"/>
  <c r="O55" i="12"/>
  <c r="O56" i="12"/>
  <c r="O46" i="12"/>
  <c r="O51" i="12"/>
  <c r="O63" i="12"/>
  <c r="O64" i="12"/>
  <c r="O53" i="12"/>
  <c r="O44" i="12"/>
  <c r="F45" i="12" l="1"/>
  <c r="F46" i="12" s="1"/>
  <c r="F47" i="12" s="1"/>
  <c r="L54" i="12"/>
  <c r="N54" i="12" s="1"/>
  <c r="J46" i="12" l="1"/>
  <c r="J47" i="12" s="1"/>
  <c r="P53" i="12" s="1"/>
  <c r="Q53" i="12" s="1"/>
  <c r="L55" i="12"/>
  <c r="N55" i="12" s="1"/>
  <c r="P52" i="12" l="1"/>
  <c r="Q52" i="12" s="1"/>
  <c r="P51" i="12"/>
  <c r="Q51" i="12" s="1"/>
  <c r="P49" i="12"/>
  <c r="Q49" i="12" s="1"/>
  <c r="P48" i="12"/>
  <c r="Q48" i="12" s="1"/>
  <c r="P50" i="12"/>
  <c r="Q50" i="12" s="1"/>
  <c r="P45" i="12"/>
  <c r="Q45" i="12" s="1"/>
  <c r="P47" i="12"/>
  <c r="Q47" i="12" s="1"/>
  <c r="P46" i="12"/>
  <c r="Q46" i="12" s="1"/>
  <c r="P54" i="12"/>
  <c r="Q54" i="12" s="1"/>
  <c r="P44" i="12"/>
  <c r="Q44" i="12" s="1"/>
  <c r="P55" i="12"/>
  <c r="Q55" i="12" s="1"/>
  <c r="L56" i="12"/>
  <c r="N56" i="12" l="1"/>
  <c r="P56" i="12"/>
  <c r="Q56" i="12" s="1"/>
  <c r="L57" i="12"/>
  <c r="N57" i="12" l="1"/>
  <c r="P57" i="12"/>
  <c r="Q57" i="12" s="1"/>
  <c r="L58" i="12"/>
  <c r="N58" i="12" l="1"/>
  <c r="P58" i="12"/>
  <c r="Q58" i="12" s="1"/>
  <c r="L59" i="12"/>
  <c r="N59" i="12" l="1"/>
  <c r="P59" i="12"/>
  <c r="Q59" i="12" s="1"/>
  <c r="L60" i="12"/>
  <c r="N60" i="12" l="1"/>
  <c r="P60" i="12"/>
  <c r="Q60" i="12" s="1"/>
  <c r="L61" i="12"/>
  <c r="N61" i="12" l="1"/>
  <c r="P61" i="12"/>
  <c r="Q61" i="12" s="1"/>
  <c r="L62" i="12"/>
  <c r="N62" i="12" l="1"/>
  <c r="P62" i="12"/>
  <c r="Q62" i="12" s="1"/>
  <c r="L63" i="12"/>
  <c r="N63" i="12" l="1"/>
  <c r="P63" i="12"/>
  <c r="Q63" i="12" s="1"/>
  <c r="L64" i="12"/>
  <c r="N64" i="12" l="1"/>
  <c r="P64" i="12"/>
  <c r="Q64" i="12" s="1"/>
  <c r="E114" i="11" l="1"/>
  <c r="D149" i="11"/>
  <c r="F142" i="11" s="1"/>
  <c r="D150" i="11"/>
  <c r="F147" i="11" s="1"/>
  <c r="D151" i="11"/>
  <c r="F148" i="11" s="1"/>
  <c r="D152" i="11"/>
  <c r="F149" i="11" s="1"/>
  <c r="D112" i="11"/>
  <c r="F230" i="11"/>
  <c r="F269" i="11"/>
  <c r="F151" i="11" l="1"/>
  <c r="G151" i="11" s="1"/>
  <c r="F150" i="11"/>
  <c r="E115" i="11"/>
  <c r="E116" i="11" l="1"/>
  <c r="E117" i="11" l="1"/>
  <c r="E118" i="11" l="1"/>
  <c r="E119" i="11" l="1"/>
  <c r="E120" i="11" l="1"/>
  <c r="E121" i="11" l="1"/>
  <c r="E122" i="11" l="1"/>
  <c r="E123" i="11" l="1"/>
  <c r="E124" i="11" l="1"/>
  <c r="E125" i="11" l="1"/>
  <c r="E126" i="11" l="1"/>
  <c r="E127" i="11" l="1"/>
  <c r="E128" i="11" l="1"/>
  <c r="E129" i="11" l="1"/>
  <c r="E130" i="11" l="1"/>
  <c r="E131" i="11" l="1"/>
  <c r="E132" i="11" l="1"/>
  <c r="E133" i="11" l="1"/>
  <c r="E134" i="11" l="1"/>
  <c r="E135" i="11" l="1"/>
  <c r="E136" i="11" l="1"/>
  <c r="E137" i="11" l="1"/>
  <c r="E138" i="11" l="1"/>
  <c r="E139" i="11" l="1"/>
  <c r="E140" i="11" l="1"/>
  <c r="E141" i="11" l="1"/>
  <c r="E142" i="11" l="1"/>
  <c r="G142" i="11" l="1"/>
  <c r="E143" i="11"/>
  <c r="E144" i="11" l="1"/>
  <c r="E145" i="11" l="1"/>
  <c r="E146" i="11" l="1"/>
  <c r="E147" i="11" l="1"/>
  <c r="G147" i="11" l="1"/>
  <c r="E148" i="11"/>
  <c r="G148" i="11" l="1"/>
  <c r="E149" i="11"/>
  <c r="E150" i="11" l="1"/>
  <c r="G149" i="11"/>
  <c r="G150" i="11" l="1"/>
  <c r="E151" i="11"/>
  <c r="M231" i="11" l="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D118" i="11"/>
  <c r="D119" i="11"/>
  <c r="D116" i="11"/>
  <c r="D114" i="11"/>
  <c r="D110" i="11"/>
  <c r="D113" i="11"/>
  <c r="D115" i="11"/>
  <c r="F114" i="11" s="1"/>
  <c r="G114" i="11" s="1"/>
  <c r="D117" i="11"/>
  <c r="D120" i="11"/>
  <c r="F115" i="11" s="1"/>
  <c r="G115" i="11" s="1"/>
  <c r="D121" i="11"/>
  <c r="D122" i="11"/>
  <c r="D123" i="11"/>
  <c r="F116" i="11" s="1"/>
  <c r="G116" i="11" s="1"/>
  <c r="D124" i="11"/>
  <c r="F117" i="11" s="1"/>
  <c r="G117" i="11" s="1"/>
  <c r="D125" i="11"/>
  <c r="F118" i="11" s="1"/>
  <c r="G118" i="11" s="1"/>
  <c r="D126" i="11"/>
  <c r="D127" i="11"/>
  <c r="D128" i="11"/>
  <c r="D129" i="11"/>
  <c r="F119" i="11" s="1"/>
  <c r="G119" i="11" s="1"/>
  <c r="D130" i="11"/>
  <c r="D131" i="11"/>
  <c r="F122" i="11" s="1"/>
  <c r="G122" i="11" s="1"/>
  <c r="D132" i="11"/>
  <c r="D133" i="11"/>
  <c r="D134" i="11"/>
  <c r="D135" i="11"/>
  <c r="D136" i="11"/>
  <c r="F145" i="11" s="1"/>
  <c r="G145" i="11" s="1"/>
  <c r="D137" i="11"/>
  <c r="D138" i="11"/>
  <c r="D139" i="11"/>
  <c r="F133" i="11" s="1"/>
  <c r="G133" i="11" s="1"/>
  <c r="D140" i="11"/>
  <c r="F134" i="11" s="1"/>
  <c r="G134" i="11" s="1"/>
  <c r="D141" i="11"/>
  <c r="F135" i="11" s="1"/>
  <c r="G135" i="11" s="1"/>
  <c r="D142" i="11"/>
  <c r="F136" i="11" s="1"/>
  <c r="G136" i="11" s="1"/>
  <c r="D143" i="11"/>
  <c r="F137" i="11" s="1"/>
  <c r="G137" i="11" s="1"/>
  <c r="D144" i="11"/>
  <c r="D145" i="11"/>
  <c r="F143" i="11" s="1"/>
  <c r="G143" i="11" s="1"/>
  <c r="D146" i="11"/>
  <c r="F138" i="11" s="1"/>
  <c r="G138" i="11" s="1"/>
  <c r="D147" i="11"/>
  <c r="F140" i="11" s="1"/>
  <c r="G140" i="11" s="1"/>
  <c r="D148" i="11"/>
  <c r="F141" i="11" s="1"/>
  <c r="G141" i="11" s="1"/>
  <c r="I270" i="11"/>
  <c r="I271" i="11" s="1"/>
  <c r="I272" i="11" s="1"/>
  <c r="I273" i="11" s="1"/>
  <c r="I274" i="11" s="1"/>
  <c r="I275" i="11" s="1"/>
  <c r="I276" i="11" s="1"/>
  <c r="I277" i="11" s="1"/>
  <c r="I278" i="11" s="1"/>
  <c r="I279" i="11" s="1"/>
  <c r="I280" i="11" s="1"/>
  <c r="I281" i="11" s="1"/>
  <c r="I282" i="11" s="1"/>
  <c r="I283" i="11" s="1"/>
  <c r="I284" i="11" s="1"/>
  <c r="I285" i="11" s="1"/>
  <c r="I286" i="11" s="1"/>
  <c r="I287" i="11" s="1"/>
  <c r="I288" i="11" s="1"/>
  <c r="I289" i="11" s="1"/>
  <c r="I290" i="11" s="1"/>
  <c r="I291" i="11" s="1"/>
  <c r="I292" i="11" s="1"/>
  <c r="I293" i="11" s="1"/>
  <c r="I294" i="11" s="1"/>
  <c r="I295" i="11" s="1"/>
  <c r="I296" i="11" s="1"/>
  <c r="I297" i="11" s="1"/>
  <c r="I298" i="11" s="1"/>
  <c r="I299" i="11" s="1"/>
  <c r="I300" i="11" s="1"/>
  <c r="I301" i="11" s="1"/>
  <c r="I302" i="11" s="1"/>
  <c r="I303" i="11" s="1"/>
  <c r="I304" i="11" s="1"/>
  <c r="J269" i="11"/>
  <c r="L269" i="11" s="1"/>
  <c r="I231" i="11"/>
  <c r="I232" i="11" s="1"/>
  <c r="I233" i="11" s="1"/>
  <c r="I234" i="11" s="1"/>
  <c r="I235" i="11" s="1"/>
  <c r="I236" i="11" s="1"/>
  <c r="I237" i="11" s="1"/>
  <c r="I238" i="11" s="1"/>
  <c r="I239" i="11" s="1"/>
  <c r="I240" i="11" s="1"/>
  <c r="I241" i="11" s="1"/>
  <c r="I242" i="11" s="1"/>
  <c r="I243" i="11" s="1"/>
  <c r="I244" i="11" s="1"/>
  <c r="I245" i="11" s="1"/>
  <c r="I246" i="11" s="1"/>
  <c r="I247" i="11" s="1"/>
  <c r="I248" i="11" s="1"/>
  <c r="I249" i="11" s="1"/>
  <c r="I250" i="11" s="1"/>
  <c r="I251" i="11" s="1"/>
  <c r="I252" i="11" s="1"/>
  <c r="I253" i="11" s="1"/>
  <c r="I254" i="11" s="1"/>
  <c r="I255" i="11" s="1"/>
  <c r="I256" i="11" s="1"/>
  <c r="I257" i="11" s="1"/>
  <c r="I258" i="11" s="1"/>
  <c r="I259" i="11" s="1"/>
  <c r="I260" i="11" s="1"/>
  <c r="I261" i="11" s="1"/>
  <c r="I262" i="11" s="1"/>
  <c r="I263" i="11" s="1"/>
  <c r="I264" i="11" s="1"/>
  <c r="I265" i="11" s="1"/>
  <c r="J230" i="11"/>
  <c r="D269" i="11"/>
  <c r="C270" i="11"/>
  <c r="C271" i="11" s="1"/>
  <c r="C272" i="11" s="1"/>
  <c r="C273" i="11" s="1"/>
  <c r="C274" i="11" s="1"/>
  <c r="C275" i="11" s="1"/>
  <c r="C276" i="11" s="1"/>
  <c r="C277" i="11" s="1"/>
  <c r="C278" i="11" s="1"/>
  <c r="C279" i="11" s="1"/>
  <c r="C280" i="11" s="1"/>
  <c r="C281" i="11" s="1"/>
  <c r="C282" i="11" s="1"/>
  <c r="C283" i="11" s="1"/>
  <c r="C284" i="11" s="1"/>
  <c r="C285" i="11" s="1"/>
  <c r="C286" i="11" s="1"/>
  <c r="C287" i="11" s="1"/>
  <c r="C288" i="11" s="1"/>
  <c r="C289" i="11" s="1"/>
  <c r="C290" i="11" s="1"/>
  <c r="C291" i="11" s="1"/>
  <c r="C292" i="11" s="1"/>
  <c r="C293" i="11" s="1"/>
  <c r="C294" i="11" s="1"/>
  <c r="C295" i="11" s="1"/>
  <c r="C296" i="11" s="1"/>
  <c r="C297" i="11" s="1"/>
  <c r="C298" i="11" s="1"/>
  <c r="C299" i="11" s="1"/>
  <c r="C300" i="11" s="1"/>
  <c r="C301" i="11" s="1"/>
  <c r="C302" i="11" s="1"/>
  <c r="C303" i="11" s="1"/>
  <c r="C304" i="11" s="1"/>
  <c r="D230" i="11"/>
  <c r="E230" i="11" s="1"/>
  <c r="C231" i="11"/>
  <c r="C232" i="11" s="1"/>
  <c r="C233" i="11" s="1"/>
  <c r="C234" i="11" s="1"/>
  <c r="C235" i="11" s="1"/>
  <c r="C236" i="11" s="1"/>
  <c r="C237" i="11" s="1"/>
  <c r="C238" i="11" s="1"/>
  <c r="C239" i="11" s="1"/>
  <c r="C240" i="11" s="1"/>
  <c r="C241" i="11" s="1"/>
  <c r="C242" i="11" s="1"/>
  <c r="C243" i="11" s="1"/>
  <c r="C244" i="11" s="1"/>
  <c r="C245" i="11" s="1"/>
  <c r="C246" i="11" s="1"/>
  <c r="C247" i="11" s="1"/>
  <c r="C248" i="11" s="1"/>
  <c r="C249" i="11" s="1"/>
  <c r="C250" i="11" s="1"/>
  <c r="C251" i="11" s="1"/>
  <c r="C252" i="11" s="1"/>
  <c r="C253" i="11" s="1"/>
  <c r="C254" i="11" s="1"/>
  <c r="C255" i="11" s="1"/>
  <c r="C256" i="11" s="1"/>
  <c r="C257" i="11" s="1"/>
  <c r="C258" i="11" s="1"/>
  <c r="C259" i="11" s="1"/>
  <c r="C260" i="11" s="1"/>
  <c r="C261" i="11" s="1"/>
  <c r="C262" i="11" s="1"/>
  <c r="C263" i="11" s="1"/>
  <c r="C264" i="11" s="1"/>
  <c r="C265" i="11" s="1"/>
  <c r="E212" i="11"/>
  <c r="G193" i="11"/>
  <c r="G194" i="11"/>
  <c r="G195" i="11"/>
  <c r="G196" i="11"/>
  <c r="G197" i="11"/>
  <c r="G198" i="11"/>
  <c r="G199" i="11"/>
  <c r="G200" i="11"/>
  <c r="G201" i="11"/>
  <c r="G202" i="11"/>
  <c r="G203" i="11"/>
  <c r="G192" i="11"/>
  <c r="F193" i="11"/>
  <c r="F194" i="11"/>
  <c r="F195" i="11"/>
  <c r="F196" i="11"/>
  <c r="F197" i="11"/>
  <c r="F198" i="11"/>
  <c r="F199" i="11"/>
  <c r="F200" i="11"/>
  <c r="F201" i="11"/>
  <c r="F202" i="11"/>
  <c r="F203" i="11"/>
  <c r="F192" i="11"/>
  <c r="S42" i="11"/>
  <c r="S43" i="11"/>
  <c r="S44" i="11"/>
  <c r="S45" i="11"/>
  <c r="S46" i="11"/>
  <c r="S47" i="11"/>
  <c r="S48" i="11"/>
  <c r="S49" i="11"/>
  <c r="S41" i="11"/>
  <c r="Q47" i="11"/>
  <c r="Q43" i="11"/>
  <c r="Q42" i="11"/>
  <c r="Q44" i="11"/>
  <c r="Q45" i="11"/>
  <c r="Q46" i="11"/>
  <c r="Q48" i="11"/>
  <c r="Q49" i="11"/>
  <c r="Q41" i="11"/>
  <c r="F129" i="11" l="1"/>
  <c r="G129" i="11" s="1"/>
  <c r="F131" i="11"/>
  <c r="G131" i="11" s="1"/>
  <c r="F125" i="11"/>
  <c r="G125" i="11" s="1"/>
  <c r="F139" i="11"/>
  <c r="G139" i="11" s="1"/>
  <c r="F123" i="11"/>
  <c r="G123" i="11" s="1"/>
  <c r="F127" i="11"/>
  <c r="G127" i="11" s="1"/>
  <c r="F132" i="11"/>
  <c r="G132" i="11" s="1"/>
  <c r="F146" i="11"/>
  <c r="G146" i="11" s="1"/>
  <c r="F144" i="11"/>
  <c r="G144" i="11" s="1"/>
  <c r="F126" i="11"/>
  <c r="G126" i="11" s="1"/>
  <c r="F130" i="11"/>
  <c r="G130" i="11" s="1"/>
  <c r="F124" i="11"/>
  <c r="G124" i="11" s="1"/>
  <c r="F128" i="11"/>
  <c r="G128" i="11" s="1"/>
  <c r="F120" i="11"/>
  <c r="G120" i="11" s="1"/>
  <c r="F121" i="11"/>
  <c r="G121" i="11" s="1"/>
  <c r="F204" i="11"/>
  <c r="G204" i="11"/>
  <c r="G230" i="11"/>
  <c r="D231" i="11" s="1"/>
  <c r="E231" i="11" s="1"/>
  <c r="G231" i="11" s="1"/>
  <c r="D232" i="11" s="1"/>
  <c r="E232" i="11" s="1"/>
  <c r="K230" i="11"/>
  <c r="E269" i="11"/>
  <c r="G269" i="11" s="1"/>
  <c r="D270" i="11" s="1"/>
  <c r="J42" i="11"/>
  <c r="N42" i="11" s="1"/>
  <c r="J43" i="11"/>
  <c r="N43" i="11" s="1"/>
  <c r="J44" i="11"/>
  <c r="N44" i="11" s="1"/>
  <c r="J45" i="11"/>
  <c r="N45" i="11" s="1"/>
  <c r="J46" i="11"/>
  <c r="N46" i="11" s="1"/>
  <c r="J47" i="11"/>
  <c r="N47" i="11" s="1"/>
  <c r="J48" i="11"/>
  <c r="N48" i="11" s="1"/>
  <c r="J49" i="11"/>
  <c r="N49" i="11" s="1"/>
  <c r="J50" i="11"/>
  <c r="N50" i="11" s="1"/>
  <c r="J51" i="11"/>
  <c r="N51" i="11" s="1"/>
  <c r="J52" i="11"/>
  <c r="N52" i="11" s="1"/>
  <c r="J53" i="11"/>
  <c r="N53" i="11" s="1"/>
  <c r="J54" i="11"/>
  <c r="N54" i="11" s="1"/>
  <c r="J55" i="11"/>
  <c r="N55" i="11" s="1"/>
  <c r="J56" i="11"/>
  <c r="N56" i="11" s="1"/>
  <c r="J57" i="11"/>
  <c r="N57" i="11" s="1"/>
  <c r="J58" i="11"/>
  <c r="N58" i="11" s="1"/>
  <c r="J59" i="11"/>
  <c r="N59" i="11" s="1"/>
  <c r="J60" i="11"/>
  <c r="N60" i="11" s="1"/>
  <c r="J61" i="11"/>
  <c r="N61" i="11" s="1"/>
  <c r="J62" i="11"/>
  <c r="N62" i="11" s="1"/>
  <c r="J63" i="11"/>
  <c r="N63" i="11" s="1"/>
  <c r="J64" i="11"/>
  <c r="N64" i="11" s="1"/>
  <c r="J65" i="11"/>
  <c r="N65" i="11" s="1"/>
  <c r="J66" i="11"/>
  <c r="N66" i="11" s="1"/>
  <c r="J67" i="11"/>
  <c r="N67" i="11" s="1"/>
  <c r="J68" i="11"/>
  <c r="N68" i="11" s="1"/>
  <c r="J69" i="11"/>
  <c r="N69" i="11" s="1"/>
  <c r="J70" i="11"/>
  <c r="N70" i="11" s="1"/>
  <c r="J71" i="11"/>
  <c r="N71" i="11" s="1"/>
  <c r="J72" i="11"/>
  <c r="N72" i="11" s="1"/>
  <c r="J73" i="11"/>
  <c r="N73" i="11" s="1"/>
  <c r="J74" i="11"/>
  <c r="N74" i="11" s="1"/>
  <c r="J75" i="11"/>
  <c r="N75" i="11" s="1"/>
  <c r="J76" i="11"/>
  <c r="N76" i="11" s="1"/>
  <c r="J77" i="11"/>
  <c r="N77" i="11" s="1"/>
  <c r="J78" i="11"/>
  <c r="N78" i="11" s="1"/>
  <c r="J79" i="11"/>
  <c r="N79" i="11" s="1"/>
  <c r="J80" i="11"/>
  <c r="N80" i="11" s="1"/>
  <c r="J81" i="11"/>
  <c r="N81" i="11" s="1"/>
  <c r="J82" i="11"/>
  <c r="N82" i="11" s="1"/>
  <c r="J83" i="11"/>
  <c r="N83" i="11" s="1"/>
  <c r="J84" i="11"/>
  <c r="N84" i="11" s="1"/>
  <c r="J85" i="11"/>
  <c r="N85" i="11" s="1"/>
  <c r="J86" i="11"/>
  <c r="N86" i="11" s="1"/>
  <c r="J87" i="11"/>
  <c r="N87" i="11" s="1"/>
  <c r="J41" i="11"/>
  <c r="N41" i="11" s="1"/>
  <c r="BK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AO37" i="11"/>
  <c r="AP37" i="11"/>
  <c r="AQ37" i="11"/>
  <c r="AR37" i="11"/>
  <c r="AS37" i="11"/>
  <c r="AT37" i="11"/>
  <c r="AU37" i="11"/>
  <c r="AV37" i="11"/>
  <c r="AW37" i="11"/>
  <c r="AX37" i="11"/>
  <c r="AY37" i="11"/>
  <c r="AZ37" i="11"/>
  <c r="BA37" i="11"/>
  <c r="BB37" i="11"/>
  <c r="BC37" i="11"/>
  <c r="BD37" i="11"/>
  <c r="BE37" i="11"/>
  <c r="BF37" i="11"/>
  <c r="BG37" i="11"/>
  <c r="BH37" i="11"/>
  <c r="BI37" i="11"/>
  <c r="BJ37" i="11"/>
  <c r="D37" i="11"/>
  <c r="C37" i="11"/>
  <c r="D36" i="11"/>
  <c r="E36" i="11" s="1"/>
  <c r="F36" i="11" s="1"/>
  <c r="G36" i="11" s="1"/>
  <c r="H36" i="11" s="1"/>
  <c r="I36" i="11" s="1"/>
  <c r="J36" i="11" s="1"/>
  <c r="K36" i="11" s="1"/>
  <c r="L36" i="11" s="1"/>
  <c r="M36" i="11" s="1"/>
  <c r="N36" i="11" s="1"/>
  <c r="O36" i="11" s="1"/>
  <c r="P36" i="11" s="1"/>
  <c r="Q36" i="11" s="1"/>
  <c r="R36" i="11" s="1"/>
  <c r="S36" i="11" s="1"/>
  <c r="T36" i="11" s="1"/>
  <c r="U36" i="11" s="1"/>
  <c r="V36" i="11" s="1"/>
  <c r="W36" i="11" s="1"/>
  <c r="X36" i="11" s="1"/>
  <c r="Y36" i="11" s="1"/>
  <c r="Z36" i="11" s="1"/>
  <c r="AA36" i="11" s="1"/>
  <c r="AB36" i="11" s="1"/>
  <c r="AC36" i="11" s="1"/>
  <c r="AD36" i="11" s="1"/>
  <c r="AE36" i="11" s="1"/>
  <c r="AF36" i="11" s="1"/>
  <c r="AG36" i="11" s="1"/>
  <c r="AH36" i="11" s="1"/>
  <c r="AI36" i="11" s="1"/>
  <c r="AJ36" i="11" s="1"/>
  <c r="AK36" i="11" s="1"/>
  <c r="AL36" i="11" s="1"/>
  <c r="AM36" i="11" s="1"/>
  <c r="AN36" i="11" s="1"/>
  <c r="AO36" i="11" s="1"/>
  <c r="AP36" i="11" s="1"/>
  <c r="AQ36" i="11" s="1"/>
  <c r="AR36" i="11" s="1"/>
  <c r="AS36" i="11" s="1"/>
  <c r="AT36" i="11" s="1"/>
  <c r="AU36" i="11" s="1"/>
  <c r="AV36" i="11" s="1"/>
  <c r="AW36" i="11" s="1"/>
  <c r="AX36" i="11" s="1"/>
  <c r="AY36" i="11" s="1"/>
  <c r="AZ36" i="11" s="1"/>
  <c r="BA36" i="11" s="1"/>
  <c r="BB36" i="11" s="1"/>
  <c r="BC36" i="11" s="1"/>
  <c r="BD36" i="11" s="1"/>
  <c r="BE36" i="11" s="1"/>
  <c r="BF36" i="11" s="1"/>
  <c r="BG36" i="11" s="1"/>
  <c r="BH36" i="11" s="1"/>
  <c r="BI36" i="11" s="1"/>
  <c r="BJ36" i="11" s="1"/>
  <c r="BK36" i="11" s="1"/>
  <c r="G109" i="11" l="1"/>
  <c r="J109" i="11"/>
  <c r="E214" i="11"/>
  <c r="N269" i="11"/>
  <c r="J270" i="11" s="1"/>
  <c r="L270" i="11" s="1"/>
  <c r="N230" i="11"/>
  <c r="J231" i="11" s="1"/>
  <c r="K231" i="11" s="1"/>
  <c r="E270" i="11"/>
  <c r="G270" i="11" s="1"/>
  <c r="D271" i="11" s="1"/>
  <c r="G232" i="11"/>
  <c r="D233" i="11" s="1"/>
  <c r="E233" i="11" s="1"/>
  <c r="G233" i="11" s="1"/>
  <c r="D234" i="11" s="1"/>
  <c r="C165" i="11" l="1"/>
  <c r="D111" i="11"/>
  <c r="F113" i="11" s="1"/>
  <c r="G113" i="11" s="1"/>
  <c r="J110" i="11"/>
  <c r="N270" i="11"/>
  <c r="J271" i="11" s="1"/>
  <c r="N231" i="11"/>
  <c r="J232" i="11" s="1"/>
  <c r="K232" i="11" s="1"/>
  <c r="E271" i="11"/>
  <c r="G271" i="11" s="1"/>
  <c r="D272" i="11" s="1"/>
  <c r="E234" i="11"/>
  <c r="G234" i="11" s="1"/>
  <c r="D235" i="11" s="1"/>
  <c r="L271" i="11" l="1"/>
  <c r="N271" i="11" s="1"/>
  <c r="J272" i="11" s="1"/>
  <c r="L272" i="11" s="1"/>
  <c r="N232" i="11"/>
  <c r="J233" i="11" s="1"/>
  <c r="E272" i="11"/>
  <c r="G272" i="11" s="1"/>
  <c r="D273" i="11" s="1"/>
  <c r="E235" i="11"/>
  <c r="G235" i="11" s="1"/>
  <c r="D236" i="11" s="1"/>
  <c r="N272" i="11" l="1"/>
  <c r="J273" i="11" s="1"/>
  <c r="K233" i="11"/>
  <c r="N233" i="11" s="1"/>
  <c r="E273" i="11"/>
  <c r="G273" i="11" s="1"/>
  <c r="D274" i="11" s="1"/>
  <c r="E236" i="11"/>
  <c r="G236" i="11" s="1"/>
  <c r="D237" i="11" s="1"/>
  <c r="L273" i="11" l="1"/>
  <c r="N273" i="11" s="1"/>
  <c r="J234" i="11"/>
  <c r="E274" i="11"/>
  <c r="G274" i="11" s="1"/>
  <c r="D275" i="11" s="1"/>
  <c r="E237" i="11"/>
  <c r="G237" i="11" s="1"/>
  <c r="D238" i="11" s="1"/>
  <c r="J274" i="11" l="1"/>
  <c r="K234" i="11"/>
  <c r="E275" i="11"/>
  <c r="G275" i="11" s="1"/>
  <c r="D276" i="11" s="1"/>
  <c r="E238" i="11"/>
  <c r="G238" i="11" s="1"/>
  <c r="D239" i="11" s="1"/>
  <c r="L274" i="11" l="1"/>
  <c r="N234" i="11"/>
  <c r="J235" i="11" s="1"/>
  <c r="E276" i="11"/>
  <c r="G276" i="11" s="1"/>
  <c r="D277" i="11" s="1"/>
  <c r="E239" i="11"/>
  <c r="G239" i="11" s="1"/>
  <c r="D240" i="11" s="1"/>
  <c r="N274" i="11" l="1"/>
  <c r="J275" i="11" s="1"/>
  <c r="K235" i="11"/>
  <c r="E277" i="11"/>
  <c r="G277" i="11" s="1"/>
  <c r="D278" i="11" s="1"/>
  <c r="E240" i="11"/>
  <c r="G240" i="11" s="1"/>
  <c r="D241" i="11" s="1"/>
  <c r="L275" i="11" l="1"/>
  <c r="N235" i="11"/>
  <c r="J236" i="11" s="1"/>
  <c r="E278" i="11"/>
  <c r="G278" i="11" s="1"/>
  <c r="D279" i="11" s="1"/>
  <c r="E241" i="11"/>
  <c r="G241" i="11" s="1"/>
  <c r="D242" i="11" s="1"/>
  <c r="N275" i="11" l="1"/>
  <c r="J276" i="11" s="1"/>
  <c r="K236" i="11"/>
  <c r="N236" i="11" s="1"/>
  <c r="E279" i="11"/>
  <c r="G279" i="11" s="1"/>
  <c r="D280" i="11" s="1"/>
  <c r="E242" i="11"/>
  <c r="G242" i="11" s="1"/>
  <c r="D243" i="11" s="1"/>
  <c r="L276" i="11" l="1"/>
  <c r="N276" i="11" s="1"/>
  <c r="J237" i="11"/>
  <c r="E280" i="11"/>
  <c r="G280" i="11" s="1"/>
  <c r="D281" i="11" s="1"/>
  <c r="E243" i="11"/>
  <c r="G243" i="11" s="1"/>
  <c r="D244" i="11" s="1"/>
  <c r="J277" i="11" l="1"/>
  <c r="K237" i="11"/>
  <c r="E281" i="11"/>
  <c r="G281" i="11" s="1"/>
  <c r="D282" i="11" s="1"/>
  <c r="E244" i="11"/>
  <c r="G244" i="11" s="1"/>
  <c r="D245" i="11" s="1"/>
  <c r="L277" i="11" l="1"/>
  <c r="N277" i="11" s="1"/>
  <c r="N237" i="11"/>
  <c r="J238" i="11" s="1"/>
  <c r="E282" i="11"/>
  <c r="G282" i="11" s="1"/>
  <c r="D283" i="11" s="1"/>
  <c r="E245" i="11"/>
  <c r="G245" i="11" s="1"/>
  <c r="D246" i="11" s="1"/>
  <c r="J278" i="11" l="1"/>
  <c r="K238" i="11"/>
  <c r="N238" i="11" s="1"/>
  <c r="E283" i="11"/>
  <c r="G283" i="11" s="1"/>
  <c r="D284" i="11" s="1"/>
  <c r="E246" i="11"/>
  <c r="G246" i="11" s="1"/>
  <c r="D247" i="11" s="1"/>
  <c r="L278" i="11" l="1"/>
  <c r="J239" i="11"/>
  <c r="E284" i="11"/>
  <c r="G284" i="11" s="1"/>
  <c r="D285" i="11" s="1"/>
  <c r="E247" i="11"/>
  <c r="G247" i="11" s="1"/>
  <c r="D248" i="11" s="1"/>
  <c r="N278" i="11" l="1"/>
  <c r="J279" i="11" s="1"/>
  <c r="K239" i="11"/>
  <c r="E285" i="11"/>
  <c r="G285" i="11" s="1"/>
  <c r="D286" i="11" s="1"/>
  <c r="E248" i="11"/>
  <c r="G248" i="11" s="1"/>
  <c r="D249" i="11" s="1"/>
  <c r="L279" i="11" l="1"/>
  <c r="N239" i="11"/>
  <c r="J240" i="11" s="1"/>
  <c r="E286" i="11"/>
  <c r="G286" i="11" s="1"/>
  <c r="D287" i="11" s="1"/>
  <c r="E249" i="11"/>
  <c r="G249" i="11" s="1"/>
  <c r="D250" i="11" s="1"/>
  <c r="N279" i="11" l="1"/>
  <c r="J280" i="11" s="1"/>
  <c r="K240" i="11"/>
  <c r="E287" i="11"/>
  <c r="G287" i="11" s="1"/>
  <c r="D288" i="11" s="1"/>
  <c r="E250" i="11"/>
  <c r="G250" i="11" s="1"/>
  <c r="D251" i="11" s="1"/>
  <c r="L280" i="11" l="1"/>
  <c r="N240" i="11"/>
  <c r="J241" i="11" s="1"/>
  <c r="E288" i="11"/>
  <c r="G288" i="11" s="1"/>
  <c r="D289" i="11" s="1"/>
  <c r="E251" i="11"/>
  <c r="G251" i="11" s="1"/>
  <c r="D252" i="11" s="1"/>
  <c r="N280" i="11" l="1"/>
  <c r="J281" i="11" s="1"/>
  <c r="K241" i="11"/>
  <c r="E289" i="11"/>
  <c r="G289" i="11" s="1"/>
  <c r="D290" i="11" s="1"/>
  <c r="E252" i="11"/>
  <c r="G252" i="11" s="1"/>
  <c r="D253" i="11" s="1"/>
  <c r="L281" i="11" l="1"/>
  <c r="N241" i="11"/>
  <c r="J242" i="11" s="1"/>
  <c r="E290" i="11"/>
  <c r="G290" i="11" s="1"/>
  <c r="D291" i="11" s="1"/>
  <c r="E253" i="11"/>
  <c r="G253" i="11" s="1"/>
  <c r="D254" i="11" s="1"/>
  <c r="N281" i="11" l="1"/>
  <c r="J282" i="11" s="1"/>
  <c r="K242" i="11"/>
  <c r="E291" i="11"/>
  <c r="G291" i="11" s="1"/>
  <c r="D292" i="11" s="1"/>
  <c r="E254" i="11"/>
  <c r="G254" i="11" s="1"/>
  <c r="D255" i="11" s="1"/>
  <c r="L282" i="11" l="1"/>
  <c r="N282" i="11" s="1"/>
  <c r="N242" i="11"/>
  <c r="J243" i="11" s="1"/>
  <c r="E292" i="11"/>
  <c r="G292" i="11" s="1"/>
  <c r="D293" i="11" s="1"/>
  <c r="E255" i="11"/>
  <c r="G255" i="11" s="1"/>
  <c r="D256" i="11" s="1"/>
  <c r="J283" i="11" l="1"/>
  <c r="K243" i="11"/>
  <c r="N243" i="11" s="1"/>
  <c r="E293" i="11"/>
  <c r="G293" i="11" s="1"/>
  <c r="D294" i="11" s="1"/>
  <c r="E256" i="11"/>
  <c r="G256" i="11" s="1"/>
  <c r="D257" i="11" s="1"/>
  <c r="L283" i="11" l="1"/>
  <c r="N283" i="11" s="1"/>
  <c r="J244" i="11"/>
  <c r="E294" i="11"/>
  <c r="G294" i="11" s="1"/>
  <c r="D295" i="11" s="1"/>
  <c r="E257" i="11"/>
  <c r="G257" i="11" s="1"/>
  <c r="D258" i="11" s="1"/>
  <c r="J284" i="11" l="1"/>
  <c r="K244" i="11"/>
  <c r="E295" i="11"/>
  <c r="G295" i="11" s="1"/>
  <c r="D296" i="11" s="1"/>
  <c r="E258" i="11"/>
  <c r="G258" i="11" s="1"/>
  <c r="D259" i="11" s="1"/>
  <c r="L284" i="11" l="1"/>
  <c r="N244" i="11"/>
  <c r="J245" i="11" s="1"/>
  <c r="E296" i="11"/>
  <c r="G296" i="11" s="1"/>
  <c r="D297" i="11" s="1"/>
  <c r="E259" i="11"/>
  <c r="G259" i="11" s="1"/>
  <c r="D260" i="11" s="1"/>
  <c r="N284" i="11" l="1"/>
  <c r="J285" i="11" s="1"/>
  <c r="K245" i="11"/>
  <c r="E297" i="11"/>
  <c r="G297" i="11" s="1"/>
  <c r="D298" i="11" s="1"/>
  <c r="E260" i="11"/>
  <c r="G260" i="11" s="1"/>
  <c r="D261" i="11" s="1"/>
  <c r="L285" i="11" l="1"/>
  <c r="N245" i="11"/>
  <c r="J246" i="11" s="1"/>
  <c r="E298" i="11"/>
  <c r="G298" i="11" s="1"/>
  <c r="D299" i="11" s="1"/>
  <c r="E261" i="11"/>
  <c r="G261" i="11" s="1"/>
  <c r="D262" i="11" s="1"/>
  <c r="N285" i="11" l="1"/>
  <c r="J286" i="11" s="1"/>
  <c r="K246" i="11"/>
  <c r="E299" i="11"/>
  <c r="G299" i="11" s="1"/>
  <c r="D300" i="11" s="1"/>
  <c r="E262" i="11"/>
  <c r="G262" i="11" s="1"/>
  <c r="D263" i="11" s="1"/>
  <c r="L286" i="11" l="1"/>
  <c r="N246" i="11"/>
  <c r="J247" i="11" s="1"/>
  <c r="E300" i="11"/>
  <c r="G300" i="11" s="1"/>
  <c r="D301" i="11" s="1"/>
  <c r="E263" i="11"/>
  <c r="G263" i="11" s="1"/>
  <c r="D264" i="11" s="1"/>
  <c r="N286" i="11" l="1"/>
  <c r="J287" i="11" s="1"/>
  <c r="K247" i="11"/>
  <c r="E301" i="11"/>
  <c r="G301" i="11" s="1"/>
  <c r="D302" i="11" s="1"/>
  <c r="E264" i="11"/>
  <c r="G264" i="11" s="1"/>
  <c r="D265" i="11" s="1"/>
  <c r="L287" i="11" l="1"/>
  <c r="N247" i="11"/>
  <c r="J248" i="11" s="1"/>
  <c r="E302" i="11"/>
  <c r="G302" i="11" s="1"/>
  <c r="D303" i="11" s="1"/>
  <c r="E265" i="11"/>
  <c r="G265" i="11" s="1"/>
  <c r="N287" i="11" l="1"/>
  <c r="J288" i="11" s="1"/>
  <c r="K248" i="11"/>
  <c r="E303" i="11"/>
  <c r="G303" i="11" s="1"/>
  <c r="D304" i="11" s="1"/>
  <c r="L288" i="11" l="1"/>
  <c r="N288" i="11" s="1"/>
  <c r="N248" i="11"/>
  <c r="J249" i="11" s="1"/>
  <c r="E304" i="11"/>
  <c r="G304" i="11" s="1"/>
  <c r="J289" i="11" l="1"/>
  <c r="K249" i="11"/>
  <c r="L289" i="11" l="1"/>
  <c r="N289" i="11" s="1"/>
  <c r="N249" i="11"/>
  <c r="J250" i="11" s="1"/>
  <c r="J290" i="11" l="1"/>
  <c r="K250" i="11"/>
  <c r="L290" i="11" l="1"/>
  <c r="N290" i="11" s="1"/>
  <c r="N250" i="11"/>
  <c r="J251" i="11" s="1"/>
  <c r="J291" i="11" l="1"/>
  <c r="K251" i="11"/>
  <c r="L291" i="11" l="1"/>
  <c r="N291" i="11" s="1"/>
  <c r="N251" i="11"/>
  <c r="J252" i="11" s="1"/>
  <c r="J292" i="11" l="1"/>
  <c r="K252" i="11"/>
  <c r="L292" i="11" l="1"/>
  <c r="N292" i="11" s="1"/>
  <c r="N252" i="11"/>
  <c r="J253" i="11" s="1"/>
  <c r="J293" i="11" l="1"/>
  <c r="K253" i="11"/>
  <c r="L293" i="11" l="1"/>
  <c r="N253" i="11"/>
  <c r="J254" i="11" s="1"/>
  <c r="N293" i="11" l="1"/>
  <c r="J294" i="11" s="1"/>
  <c r="K254" i="11"/>
  <c r="L294" i="11" l="1"/>
  <c r="N294" i="11" s="1"/>
  <c r="N254" i="11"/>
  <c r="J255" i="11" s="1"/>
  <c r="J295" i="11" l="1"/>
  <c r="K255" i="11"/>
  <c r="L295" i="11" l="1"/>
  <c r="N295" i="11" s="1"/>
  <c r="N255" i="11"/>
  <c r="J256" i="11" s="1"/>
  <c r="J296" i="11" l="1"/>
  <c r="K256" i="11"/>
  <c r="L296" i="11" l="1"/>
  <c r="N296" i="11" s="1"/>
  <c r="J297" i="11" s="1"/>
  <c r="N256" i="11"/>
  <c r="J257" i="11" s="1"/>
  <c r="L297" i="11" l="1"/>
  <c r="N297" i="11" s="1"/>
  <c r="K257" i="11"/>
  <c r="J298" i="11" l="1"/>
  <c r="N257" i="11"/>
  <c r="J258" i="11" s="1"/>
  <c r="L298" i="11" l="1"/>
  <c r="K258" i="11"/>
  <c r="N298" i="11" l="1"/>
  <c r="J299" i="11" s="1"/>
  <c r="N258" i="11"/>
  <c r="J259" i="11" s="1"/>
  <c r="L299" i="11" l="1"/>
  <c r="K259" i="11"/>
  <c r="N299" i="11" l="1"/>
  <c r="J300" i="11" s="1"/>
  <c r="N259" i="11"/>
  <c r="J260" i="11" s="1"/>
  <c r="L300" i="11" l="1"/>
  <c r="K260" i="11"/>
  <c r="N300" i="11" l="1"/>
  <c r="J301" i="11" s="1"/>
  <c r="N260" i="11"/>
  <c r="J261" i="11" s="1"/>
  <c r="L301" i="11" l="1"/>
  <c r="K261" i="11"/>
  <c r="N301" i="11" l="1"/>
  <c r="J302" i="11" s="1"/>
  <c r="N261" i="11"/>
  <c r="J262" i="11" s="1"/>
  <c r="L302" i="11" l="1"/>
  <c r="N302" i="11" s="1"/>
  <c r="K262" i="11"/>
  <c r="J303" i="11" l="1"/>
  <c r="N262" i="11"/>
  <c r="J263" i="11" s="1"/>
  <c r="L303" i="11" l="1"/>
  <c r="K263" i="11"/>
  <c r="N303" i="11" l="1"/>
  <c r="J304" i="11" s="1"/>
  <c r="N263" i="11"/>
  <c r="J264" i="11" s="1"/>
  <c r="L304" i="11" l="1"/>
  <c r="N304" i="11" s="1"/>
  <c r="K264" i="11"/>
  <c r="N264" i="11" l="1"/>
  <c r="J265" i="11" s="1"/>
  <c r="K265" i="11" l="1"/>
  <c r="N265" i="11" s="1"/>
  <c r="I114" i="11" l="1"/>
</calcChain>
</file>

<file path=xl/sharedStrings.xml><?xml version="1.0" encoding="utf-8"?>
<sst xmlns="http://schemas.openxmlformats.org/spreadsheetml/2006/main" count="410" uniqueCount="174">
  <si>
    <t>years</t>
  </si>
  <si>
    <t>price</t>
  </si>
  <si>
    <t>cf</t>
  </si>
  <si>
    <t>ytm</t>
  </si>
  <si>
    <t>maturity</t>
  </si>
  <si>
    <t>convexity</t>
  </si>
  <si>
    <t>coupon rate</t>
  </si>
  <si>
    <t>period</t>
  </si>
  <si>
    <t>discounted</t>
  </si>
  <si>
    <t>t</t>
  </si>
  <si>
    <t>problem 1</t>
  </si>
  <si>
    <t>see screenshots below</t>
  </si>
  <si>
    <t>problem 2 - Cash Flow Structure</t>
  </si>
  <si>
    <t>Fixed</t>
  </si>
  <si>
    <t>SNR Unsec</t>
  </si>
  <si>
    <t>Apple Inc **</t>
  </si>
  <si>
    <t>USD</t>
  </si>
  <si>
    <t>Apple Inc**</t>
  </si>
  <si>
    <t>08/20</t>
  </si>
  <si>
    <t>08/25</t>
  </si>
  <si>
    <t>02/15</t>
  </si>
  <si>
    <t>11/17</t>
  </si>
  <si>
    <t>05/15</t>
  </si>
  <si>
    <t>05/25</t>
  </si>
  <si>
    <t>05/20</t>
  </si>
  <si>
    <t>05/23</t>
  </si>
  <si>
    <t>05/26</t>
  </si>
  <si>
    <t>09/19</t>
  </si>
  <si>
    <t>09/26</t>
  </si>
  <si>
    <t>08/16</t>
  </si>
  <si>
    <t>08/26</t>
  </si>
  <si>
    <t>02/21</t>
  </si>
  <si>
    <t>02/26</t>
  </si>
  <si>
    <t>02/16</t>
  </si>
  <si>
    <t>06/17</t>
  </si>
  <si>
    <t>06/27</t>
  </si>
  <si>
    <t>11/27</t>
  </si>
  <si>
    <t>05/17</t>
  </si>
  <si>
    <t>05/27</t>
  </si>
  <si>
    <t>09/17</t>
  </si>
  <si>
    <t>09/27</t>
  </si>
  <si>
    <t>02/17</t>
  </si>
  <si>
    <t>02/27</t>
  </si>
  <si>
    <t>05/28</t>
  </si>
  <si>
    <t>08/21</t>
  </si>
  <si>
    <t>08/28</t>
  </si>
  <si>
    <t>02/28</t>
  </si>
  <si>
    <t>08/22</t>
  </si>
  <si>
    <t>08/29</t>
  </si>
  <si>
    <t>09/29</t>
  </si>
  <si>
    <t>05/30</t>
  </si>
  <si>
    <t>08/30</t>
  </si>
  <si>
    <t>08/31</t>
  </si>
  <si>
    <t>02/31</t>
  </si>
  <si>
    <t>08/32</t>
  </si>
  <si>
    <t>05/33</t>
  </si>
  <si>
    <t>02/36</t>
  </si>
  <si>
    <t>02/41</t>
  </si>
  <si>
    <t>05/13</t>
  </si>
  <si>
    <t>05/43</t>
  </si>
  <si>
    <t>05/14</t>
  </si>
  <si>
    <t>05/44</t>
  </si>
  <si>
    <t>02/45</t>
  </si>
  <si>
    <t>05/45</t>
  </si>
  <si>
    <t>08/46</t>
  </si>
  <si>
    <t>02/46</t>
  </si>
  <si>
    <t>02/47</t>
  </si>
  <si>
    <t>09/47</t>
  </si>
  <si>
    <t>11/47</t>
  </si>
  <si>
    <t>09/49</t>
  </si>
  <si>
    <t>08/50</t>
  </si>
  <si>
    <t>05/50</t>
  </si>
  <si>
    <t>08/51</t>
  </si>
  <si>
    <t>02/51</t>
  </si>
  <si>
    <t>08/52</t>
  </si>
  <si>
    <t>05/53</t>
  </si>
  <si>
    <t>08/60</t>
  </si>
  <si>
    <t>08/61</t>
  </si>
  <si>
    <t>02/61</t>
  </si>
  <si>
    <t>08/62</t>
  </si>
  <si>
    <t>balance sheet amt</t>
  </si>
  <si>
    <t>current amt out</t>
  </si>
  <si>
    <t>coupon type</t>
  </si>
  <si>
    <t>issue date</t>
  </si>
  <si>
    <t>maturiy</t>
  </si>
  <si>
    <t>currency</t>
  </si>
  <si>
    <t>seniority</t>
  </si>
  <si>
    <t>ytw</t>
  </si>
  <si>
    <t>todays date</t>
  </si>
  <si>
    <t>yield</t>
  </si>
  <si>
    <t xml:space="preserve"> yield curve</t>
  </si>
  <si>
    <t>spread</t>
  </si>
  <si>
    <t>problem 3 and 4 - Issuer's Credit Curve - see below</t>
  </si>
  <si>
    <t>problem 5</t>
  </si>
  <si>
    <t>problem 6</t>
  </si>
  <si>
    <t>theoertical price</t>
  </si>
  <si>
    <t>actual price</t>
  </si>
  <si>
    <t>the bond prices arent too far off</t>
  </si>
  <si>
    <t>since ytm &gt; coupon, bond selling at a discount</t>
  </si>
  <si>
    <t>duration</t>
  </si>
  <si>
    <t>modified duration</t>
  </si>
  <si>
    <t>part 2</t>
  </si>
  <si>
    <t>question 2</t>
  </si>
  <si>
    <t>Date</t>
  </si>
  <si>
    <t>1-Year Treasury Rate</t>
  </si>
  <si>
    <t>Bank Prime Loan Rate</t>
  </si>
  <si>
    <t>Credit Card Interest Rate</t>
  </si>
  <si>
    <t>Prime Spread</t>
  </si>
  <si>
    <t>APR Margin</t>
  </si>
  <si>
    <t>question 3</t>
  </si>
  <si>
    <t>1 year forward rate</t>
  </si>
  <si>
    <t>1 year forward rate two years from now</t>
  </si>
  <si>
    <t>future apr rate 1 year</t>
  </si>
  <si>
    <t xml:space="preserve">future apr 2 years </t>
  </si>
  <si>
    <t>apple</t>
  </si>
  <si>
    <t>Apple Card:</t>
  </si>
  <si>
    <r>
      <t xml:space="preserve">• </t>
    </r>
    <r>
      <rPr>
        <sz val="8"/>
        <color rgb="FF000000"/>
        <rFont val="Arial"/>
        <family val="2"/>
      </rPr>
      <t>Credit Limit: $10,000.00</t>
    </r>
  </si>
  <si>
    <r>
      <t xml:space="preserve">• </t>
    </r>
    <r>
      <rPr>
        <sz val="8"/>
        <color rgb="FF000000"/>
        <rFont val="Arial"/>
        <family val="2"/>
      </rPr>
      <t>Balance: $1,900.00</t>
    </r>
  </si>
  <si>
    <r>
      <t xml:space="preserve">• </t>
    </r>
    <r>
      <rPr>
        <sz val="8"/>
        <color rgb="FF000000"/>
        <rFont val="Arial"/>
        <family val="2"/>
      </rPr>
      <t>Current APR: 21.24%</t>
    </r>
  </si>
  <si>
    <r>
      <t xml:space="preserve">• </t>
    </r>
    <r>
      <rPr>
        <sz val="8"/>
        <color rgb="FF000000"/>
        <rFont val="Arial"/>
        <family val="2"/>
      </rPr>
      <t>Last Payment: $500.00</t>
    </r>
  </si>
  <si>
    <r>
      <t xml:space="preserve">• </t>
    </r>
    <r>
      <rPr>
        <sz val="8"/>
        <color rgb="FF000000"/>
        <rFont val="Arial"/>
        <family val="2"/>
      </rPr>
      <t>Minimum Payment:</t>
    </r>
  </si>
  <si>
    <r>
      <t xml:space="preserve">• </t>
    </r>
    <r>
      <rPr>
        <sz val="8"/>
        <color rgb="FF000000"/>
        <rFont val="Arial"/>
        <family val="2"/>
      </rPr>
      <t>Maximum Monthly</t>
    </r>
  </si>
  <si>
    <t>Payments: 36</t>
  </si>
  <si>
    <t>Discover Card</t>
  </si>
  <si>
    <t>discover</t>
  </si>
  <si>
    <t>• Credit Limit: $12,500.00</t>
  </si>
  <si>
    <t>• Balance: $4,400.00</t>
  </si>
  <si>
    <t>• Current APR: 26.24%</t>
  </si>
  <si>
    <t>• Last Payment: $500.00</t>
  </si>
  <si>
    <t>• Minimum Payment:</t>
  </si>
  <si>
    <t>• Maximum Monthly</t>
  </si>
  <si>
    <t>balance</t>
  </si>
  <si>
    <t>interest</t>
  </si>
  <si>
    <t>payment</t>
  </si>
  <si>
    <t>with early payment:</t>
  </si>
  <si>
    <t>early payment</t>
  </si>
  <si>
    <t>APPLE:</t>
  </si>
  <si>
    <t>DISCOVER:</t>
  </si>
  <si>
    <t>WITH EARLY PAYMENT</t>
  </si>
  <si>
    <t>EARLY PAYMENT</t>
  </si>
  <si>
    <t>ending balance W EARLY PAYMENT</t>
  </si>
  <si>
    <t>ending balance no early payment</t>
  </si>
  <si>
    <t>ending balance with early payment</t>
  </si>
  <si>
    <t>question 4 and 5 - graphs below</t>
  </si>
  <si>
    <t>graphs take a while to load (part 1 problems 3/4, problem 7) part 2 (problem 4/5)</t>
  </si>
  <si>
    <t>modified dur</t>
  </si>
  <si>
    <t>delta y</t>
  </si>
  <si>
    <t>current yield</t>
  </si>
  <si>
    <t>new yield</t>
  </si>
  <si>
    <t>old price</t>
  </si>
  <si>
    <t>new price</t>
  </si>
  <si>
    <t>slope semi</t>
  </si>
  <si>
    <t>slope annual</t>
  </si>
  <si>
    <t>(annuals</t>
  </si>
  <si>
    <t>new t</t>
  </si>
  <si>
    <t>annual convex</t>
  </si>
  <si>
    <t>new price w convexity</t>
  </si>
  <si>
    <t>slope convex</t>
  </si>
  <si>
    <t>see row S in the table above for yield spread</t>
  </si>
  <si>
    <t>see next sheet</t>
  </si>
  <si>
    <t>problem 7 and 8</t>
  </si>
  <si>
    <t>problem 9</t>
  </si>
  <si>
    <t>If the duration graph is steep, it suggests that small changes in interest rates lead to large price fluctuations. This indicates high interest rate risk, making the bond more volatile in response to rate changes.</t>
  </si>
  <si>
    <t>If the issuer’s yield spread over Treasuries increases, it often indicates rising credit risk, economic uncertainty, or declining market confidence. Investors may demand higher returns for taking on additional risk, potentially reducing the bond’s attractiveness.</t>
  </si>
  <si>
    <t>questions</t>
  </si>
  <si>
    <t xml:space="preserve">Yes the credit spread changes with maturity due to factors like credit risk and market expectations. Due to their higher credit risk, corporate bonds with longer maturities have a greater credit spread than those with shorter maturities. Investors want higher rates for longer maturities since the likelihood of an issuer experiencing financial difficulties rises over time. </t>
  </si>
  <si>
    <t>My theoretical price was 92.47 while the market price was 99.46. The reasons for this discrepancy may be a slight difference in yields used as well as different model assumptions applied.</t>
  </si>
  <si>
    <t>Using zero rates are not appropiate for corporate bonds as it does not account for credit or liquidity risk. Courporate bonds are priced using a credit spread adjusted yield curve which accounts for credit risk. Zero rates are suitable for virtually risk free securities like government bonds.</t>
  </si>
  <si>
    <t>With a modified duration of 13.46, for a 1% increase in interest rates leads to approx a 13% price decrease. Convexity is a second order derivative and the bond’s price follows a strong curved pattern, meaning it gains more than expected when rates drop and loses less than expected when rates rise.</t>
  </si>
  <si>
    <t xml:space="preserve">Treasury rates serves as a benchmark for lending rates and represents the risk free rate. Changes in these  yields influence other interest rates. Prime rates are what banks charge for their highest credit customers. It's at a spread above the federal fund rates. APR is the cost of borrowing including interest and fees and is known as Prime Rate + APR Marigin. Changes in treasury rates and prime rate affect APR which affects credit card costs. </t>
  </si>
  <si>
    <t>Forward rates are derived from the yield curve via spot rates. Formula: (1+s(t+1))^t+1/(1+st)^t)-1. Then to calculate APR forecast you take that forward rate derived from spots and add APR marigin and prime spread</t>
  </si>
  <si>
    <t>An increase in APR leads to higher monthly payments, higher interest and longer repayment periods while a decrease in APR reduces borrowing costs. It is more beneficial to have a lower APR</t>
  </si>
  <si>
    <t>Early repayments reduce interest and shorten the repayment periods. You can see evidence of this on the graphs that were plotted with the credit card's amortization schedules.</t>
  </si>
  <si>
    <t>move pink slider to see sensitivity analysis for interest rates changes or change number in yellow highlighted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</si>
</sst>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8" formatCode="&quot;$&quot;#,##0.00_);[Red]\(&quot;$&quot;#,##0.00\)"/>
    <numFmt numFmtId="44" formatCode="_(&quot;$&quot;* #,##0.00_);_(&quot;$&quot;* \(#,##0.00\);_(&quot;$&quot;* &quot;-&quot;??_);_(@_)"/>
    <numFmt numFmtId="164" formatCode="0.000%"/>
    <numFmt numFmtId="165" formatCode="0.00000"/>
    <numFmt numFmtId="166" formatCode="#,##0.0"/>
    <numFmt numFmtId="167" formatCode="0.##0%"/>
    <numFmt numFmtId="168" formatCode="##.##"/>
    <numFmt numFmtId="169" formatCode="#.##"/>
    <numFmt numFmtId="170" formatCode="#,#00.0"/>
    <numFmt numFmtId="171" formatCode="#.#00%"/>
    <numFmt numFmtId="172" formatCode="#.##0%"/>
    <numFmt numFmtId="173" formatCode="#,000.0"/>
    <numFmt numFmtId="174" formatCode="#.###%"/>
    <numFmt numFmtId="175" formatCode="#.#0"/>
    <numFmt numFmtId="176" formatCode="#00.00"/>
    <numFmt numFmtId="177" formatCode="#.0#0%"/>
    <numFmt numFmtId="178" formatCode="##.0#"/>
    <numFmt numFmtId="179" formatCode="0.#00%"/>
    <numFmt numFmtId="180" formatCode="#.000%"/>
    <numFmt numFmtId="181" formatCode="#0.##"/>
    <numFmt numFmtId="182" formatCode="#.0#"/>
    <numFmt numFmtId="183" formatCode="##.#0"/>
    <numFmt numFmtId="184" formatCode="#00.0"/>
    <numFmt numFmtId="185" formatCode="#00.##"/>
    <numFmt numFmtId="186" formatCode="[$-F800]dddd\,\ mmmm\ dd\,\ yyyy"/>
    <numFmt numFmtId="187" formatCode="#,##0.0000"/>
    <numFmt numFmtId="188" formatCode="0.0000"/>
  </numFmts>
  <fonts count="10"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1"/>
      <name val="Aptos Narrow"/>
      <family val="2"/>
      <scheme val="minor"/>
    </font>
    <font>
      <sz val="10"/>
      <color theme="1"/>
      <name val="Arial"/>
      <family val="2"/>
    </font>
    <font>
      <sz val="8"/>
      <color rgb="FF000000"/>
      <name val="Arial"/>
      <family val="2"/>
    </font>
    <font>
      <sz val="9"/>
      <color rgb="FF000000"/>
      <name val="Courier New"/>
      <family val="3"/>
    </font>
    <font>
      <b/>
      <sz val="20"/>
      <color theme="1"/>
      <name val="Aptos Narrow"/>
      <family val="2"/>
      <scheme val="minor"/>
    </font>
    <font>
      <b/>
      <sz val="36"/>
      <color theme="1"/>
      <name val="Aptos Narrow"/>
      <family val="2"/>
      <scheme val="minor"/>
    </font>
    <font>
      <sz val="12"/>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F0F0F0"/>
        <bgColor indexed="64"/>
      </patternFill>
    </fill>
    <fill>
      <patternFill patternType="solid">
        <fgColor theme="8" tint="0.79998168889431442"/>
        <bgColor indexed="64"/>
      </patternFill>
    </fill>
    <fill>
      <patternFill patternType="solid">
        <fgColor theme="7" tint="0.79998168889431442"/>
        <bgColor indexed="64"/>
      </patternFill>
    </fill>
  </fills>
  <borders count="12">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101">
    <xf numFmtId="0" fontId="0" fillId="0" borderId="0" xfId="0"/>
    <xf numFmtId="0" fontId="2" fillId="0" borderId="0" xfId="0" applyFont="1"/>
    <xf numFmtId="0" fontId="1" fillId="0" borderId="0" xfId="0" applyFont="1"/>
    <xf numFmtId="8" fontId="0" fillId="0" borderId="0" xfId="0" applyNumberFormat="1"/>
    <xf numFmtId="0" fontId="0" fillId="0" borderId="1" xfId="0" applyBorder="1"/>
    <xf numFmtId="10" fontId="0" fillId="0" borderId="0" xfId="0" applyNumberFormat="1"/>
    <xf numFmtId="2" fontId="0" fillId="0" borderId="0" xfId="0" applyNumberFormat="1"/>
    <xf numFmtId="0" fontId="0" fillId="0" borderId="4" xfId="0" applyBorder="1"/>
    <xf numFmtId="0" fontId="0" fillId="0" borderId="7" xfId="0" applyBorder="1"/>
    <xf numFmtId="0" fontId="0" fillId="0" borderId="2" xfId="0" applyBorder="1"/>
    <xf numFmtId="0" fontId="0" fillId="0" borderId="8" xfId="0" applyBorder="1"/>
    <xf numFmtId="0" fontId="0" fillId="0" borderId="3" xfId="0" applyBorder="1"/>
    <xf numFmtId="0" fontId="0" fillId="0" borderId="5" xfId="0" applyBorder="1"/>
    <xf numFmtId="0" fontId="0" fillId="0" borderId="6" xfId="0" applyBorder="1"/>
    <xf numFmtId="0" fontId="0" fillId="0" borderId="0" xfId="2" applyNumberFormat="1" applyFont="1"/>
    <xf numFmtId="165" fontId="0" fillId="0" borderId="0" xfId="0" applyNumberFormat="1"/>
    <xf numFmtId="3" fontId="0" fillId="0" borderId="0" xfId="0" applyNumberFormat="1"/>
    <xf numFmtId="16" fontId="0" fillId="0" borderId="0" xfId="0" applyNumberFormat="1"/>
    <xf numFmtId="0" fontId="0" fillId="0" borderId="0" xfId="0" applyAlignment="1">
      <alignment horizontal="lef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171" fontId="0" fillId="0" borderId="0" xfId="0" applyNumberFormat="1" applyAlignment="1">
      <alignment horizontal="right"/>
    </xf>
    <xf numFmtId="0" fontId="0" fillId="3" borderId="0" xfId="0" applyFill="1" applyAlignment="1">
      <alignment horizontal="left"/>
    </xf>
    <xf numFmtId="170" fontId="0" fillId="3" borderId="0" xfId="0" applyNumberFormat="1" applyFill="1" applyAlignment="1">
      <alignment horizontal="right"/>
    </xf>
    <xf numFmtId="172" fontId="0" fillId="3" borderId="0" xfId="0" applyNumberFormat="1" applyFill="1" applyAlignment="1">
      <alignment horizontal="right"/>
    </xf>
    <xf numFmtId="173" fontId="0" fillId="0" borderId="0" xfId="0" applyNumberFormat="1" applyAlignment="1">
      <alignment horizontal="right"/>
    </xf>
    <xf numFmtId="166" fontId="0" fillId="3" borderId="0" xfId="0" applyNumberFormat="1" applyFill="1" applyAlignment="1">
      <alignment horizontal="right"/>
    </xf>
    <xf numFmtId="174" fontId="0" fillId="3" borderId="0" xfId="0" applyNumberFormat="1" applyFill="1" applyAlignment="1">
      <alignment horizontal="right"/>
    </xf>
    <xf numFmtId="168" fontId="0" fillId="3" borderId="0" xfId="0" applyNumberFormat="1" applyFill="1" applyAlignment="1">
      <alignment horizontal="right"/>
    </xf>
    <xf numFmtId="175" fontId="0" fillId="3" borderId="0" xfId="0" applyNumberFormat="1" applyFill="1" applyAlignment="1">
      <alignment horizontal="right"/>
    </xf>
    <xf numFmtId="173" fontId="0" fillId="3" borderId="0" xfId="0" applyNumberFormat="1" applyFill="1" applyAlignment="1">
      <alignment horizontal="right"/>
    </xf>
    <xf numFmtId="176" fontId="0" fillId="3" borderId="0" xfId="0" applyNumberFormat="1" applyFill="1" applyAlignment="1">
      <alignment horizontal="right"/>
    </xf>
    <xf numFmtId="169" fontId="0" fillId="3" borderId="0" xfId="0" applyNumberFormat="1" applyFill="1" applyAlignment="1">
      <alignment horizontal="right"/>
    </xf>
    <xf numFmtId="177" fontId="0" fillId="3" borderId="0" xfId="0" applyNumberFormat="1" applyFill="1" applyAlignment="1">
      <alignment horizontal="right"/>
    </xf>
    <xf numFmtId="172" fontId="0" fillId="0" borderId="0" xfId="0" applyNumberFormat="1" applyAlignment="1">
      <alignment horizontal="right"/>
    </xf>
    <xf numFmtId="178" fontId="0" fillId="0" borderId="0" xfId="0" applyNumberFormat="1" applyAlignment="1">
      <alignment horizontal="right"/>
    </xf>
    <xf numFmtId="179" fontId="0" fillId="3" borderId="0" xfId="0" applyNumberFormat="1" applyFill="1" applyAlignment="1">
      <alignment horizontal="right"/>
    </xf>
    <xf numFmtId="180" fontId="0" fillId="3" borderId="0" xfId="0" applyNumberFormat="1" applyFill="1" applyAlignment="1">
      <alignment horizontal="right"/>
    </xf>
    <xf numFmtId="181" fontId="0" fillId="3" borderId="0" xfId="0" applyNumberFormat="1" applyFill="1" applyAlignment="1">
      <alignment horizontal="right"/>
    </xf>
    <xf numFmtId="182" fontId="0" fillId="3" borderId="0" xfId="0" applyNumberFormat="1" applyFill="1" applyAlignment="1">
      <alignment horizontal="right"/>
    </xf>
    <xf numFmtId="175" fontId="0" fillId="0" borderId="0" xfId="0" applyNumberFormat="1" applyAlignment="1">
      <alignment horizontal="right"/>
    </xf>
    <xf numFmtId="171" fontId="0" fillId="3" borderId="0" xfId="0" applyNumberFormat="1" applyFill="1" applyAlignment="1">
      <alignment horizontal="right"/>
    </xf>
    <xf numFmtId="178" fontId="0" fillId="3" borderId="0" xfId="0" applyNumberFormat="1" applyFill="1" applyAlignment="1">
      <alignment horizontal="right"/>
    </xf>
    <xf numFmtId="182" fontId="0" fillId="0" borderId="0" xfId="0" applyNumberFormat="1" applyAlignment="1">
      <alignment horizontal="right"/>
    </xf>
    <xf numFmtId="183" fontId="0" fillId="3" borderId="0" xfId="0" applyNumberFormat="1" applyFill="1" applyAlignment="1">
      <alignment horizontal="right"/>
    </xf>
    <xf numFmtId="184" fontId="0" fillId="3" borderId="0" xfId="0" applyNumberFormat="1" applyFill="1" applyAlignment="1">
      <alignment horizontal="right"/>
    </xf>
    <xf numFmtId="185" fontId="0" fillId="3" borderId="0" xfId="0" applyNumberFormat="1" applyFill="1" applyAlignment="1">
      <alignment horizontal="right"/>
    </xf>
    <xf numFmtId="183" fontId="0" fillId="0" borderId="0" xfId="0" applyNumberFormat="1" applyAlignment="1">
      <alignment horizontal="right"/>
    </xf>
    <xf numFmtId="181" fontId="0" fillId="0" borderId="0" xfId="0" applyNumberFormat="1" applyAlignment="1">
      <alignment horizontal="right"/>
    </xf>
    <xf numFmtId="174" fontId="0" fillId="0" borderId="0" xfId="0" applyNumberFormat="1" applyAlignment="1">
      <alignment horizontal="right"/>
    </xf>
    <xf numFmtId="186" fontId="0" fillId="0" borderId="0" xfId="0" applyNumberFormat="1" applyAlignment="1">
      <alignment horizontal="left"/>
    </xf>
    <xf numFmtId="14" fontId="0" fillId="0" borderId="0" xfId="0" applyNumberFormat="1"/>
    <xf numFmtId="14" fontId="0" fillId="0" borderId="0" xfId="0" applyNumberFormat="1" applyAlignment="1">
      <alignment horizontal="left"/>
    </xf>
    <xf numFmtId="0" fontId="0" fillId="4" borderId="0" xfId="0" applyFill="1"/>
    <xf numFmtId="16" fontId="0" fillId="4" borderId="0" xfId="0" applyNumberFormat="1" applyFill="1"/>
    <xf numFmtId="187" fontId="0" fillId="0" borderId="0" xfId="0" applyNumberFormat="1"/>
    <xf numFmtId="3" fontId="2" fillId="0" borderId="0" xfId="0" applyNumberFormat="1" applyFont="1"/>
    <xf numFmtId="4" fontId="2" fillId="0" borderId="0" xfId="0" applyNumberFormat="1" applyFont="1"/>
    <xf numFmtId="164" fontId="2" fillId="0" borderId="0" xfId="2" applyNumberFormat="1" applyFont="1"/>
    <xf numFmtId="10" fontId="2"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0" fontId="2" fillId="0" borderId="8" xfId="0" applyFont="1" applyBorder="1"/>
    <xf numFmtId="10" fontId="0" fillId="0" borderId="0" xfId="2" applyNumberFormat="1" applyFont="1"/>
    <xf numFmtId="188" fontId="0" fillId="0" borderId="0" xfId="0" applyNumberFormat="1"/>
    <xf numFmtId="10" fontId="0" fillId="0" borderId="4" xfId="2" applyNumberFormat="1" applyFont="1" applyBorder="1"/>
    <xf numFmtId="10" fontId="0" fillId="0" borderId="0" xfId="2" applyNumberFormat="1" applyFont="1" applyBorder="1"/>
    <xf numFmtId="44" fontId="0" fillId="0" borderId="0" xfId="1" applyFont="1" applyBorder="1"/>
    <xf numFmtId="10" fontId="0" fillId="0" borderId="5" xfId="2" applyNumberFormat="1" applyFont="1" applyBorder="1"/>
    <xf numFmtId="10" fontId="0" fillId="0" borderId="7" xfId="2" applyNumberFormat="1" applyFont="1" applyBorder="1"/>
    <xf numFmtId="10" fontId="0" fillId="0" borderId="7" xfId="0" applyNumberFormat="1" applyBorder="1"/>
    <xf numFmtId="44" fontId="0" fillId="0" borderId="7" xfId="1" applyFont="1" applyBorder="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0" fillId="0" borderId="9" xfId="0" applyBorder="1"/>
    <xf numFmtId="0" fontId="2" fillId="0" borderId="10" xfId="0" applyFont="1" applyBorder="1"/>
    <xf numFmtId="44" fontId="0" fillId="0" borderId="10" xfId="0" applyNumberFormat="1" applyBorder="1"/>
    <xf numFmtId="44" fontId="0" fillId="0" borderId="11" xfId="0" applyNumberFormat="1" applyBorder="1"/>
    <xf numFmtId="44" fontId="0" fillId="0" borderId="0" xfId="0" applyNumberFormat="1"/>
    <xf numFmtId="0" fontId="2" fillId="0" borderId="5" xfId="0" applyFont="1" applyBorder="1"/>
    <xf numFmtId="0" fontId="8" fillId="0" borderId="0" xfId="0" applyFont="1"/>
    <xf numFmtId="0" fontId="0" fillId="3" borderId="0" xfId="0" applyFill="1" applyAlignment="1">
      <alignment horizontal="right"/>
    </xf>
    <xf numFmtId="0" fontId="0" fillId="2" borderId="0" xfId="0" applyFill="1"/>
    <xf numFmtId="0" fontId="0" fillId="4" borderId="4" xfId="0" applyFill="1" applyBorder="1"/>
    <xf numFmtId="0" fontId="0" fillId="4" borderId="1" xfId="0" applyFill="1" applyBorder="1"/>
    <xf numFmtId="0" fontId="0" fillId="4" borderId="5" xfId="0" applyFill="1" applyBorder="1"/>
    <xf numFmtId="0" fontId="0" fillId="4" borderId="7" xfId="0" applyFill="1" applyBorder="1"/>
    <xf numFmtId="0" fontId="0" fillId="4" borderId="6" xfId="0" applyFill="1" applyBorder="1"/>
    <xf numFmtId="0" fontId="9" fillId="0" borderId="0" xfId="0" applyFont="1"/>
    <xf numFmtId="0" fontId="9" fillId="4" borderId="2" xfId="0" applyFont="1" applyFill="1" applyBorder="1"/>
    <xf numFmtId="0" fontId="9" fillId="4" borderId="8" xfId="0" applyFont="1" applyFill="1" applyBorder="1"/>
    <xf numFmtId="0" fontId="9" fillId="4" borderId="3" xfId="0" applyFont="1" applyFill="1" applyBorder="1"/>
    <xf numFmtId="0" fontId="9" fillId="5" borderId="0" xfId="0" applyFont="1" applyFill="1"/>
    <xf numFmtId="0" fontId="2" fillId="5" borderId="0" xfId="0" applyFont="1" applyFill="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Yield Relationship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Price</c:v>
          </c:tx>
          <c:spPr>
            <a:ln w="19050" cap="rnd">
              <a:solidFill>
                <a:schemeClr val="accent1"/>
              </a:solidFill>
              <a:round/>
            </a:ln>
            <a:effectLst/>
          </c:spPr>
          <c:marker>
            <c:symbol val="none"/>
          </c:marker>
          <c:xVal>
            <c:numRef>
              <c:f>main!$D$51:$D$100</c:f>
              <c:numCache>
                <c:formatCode>General</c:formatCode>
                <c:ptCount val="50"/>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numCache>
            </c:numRef>
          </c:xVal>
          <c:yVal>
            <c:numRef>
              <c:f>main!$E$51:$E$100</c:f>
              <c:numCache>
                <c:formatCode>General</c:formatCode>
                <c:ptCount val="50"/>
                <c:pt idx="0">
                  <c:v>1877.5</c:v>
                </c:pt>
                <c:pt idx="1">
                  <c:v>1618.6790575595683</c:v>
                </c:pt>
                <c:pt idx="2">
                  <c:v>1402.0379121886963</c:v>
                </c:pt>
                <c:pt idx="3">
                  <c:v>1220.2343716167836</c:v>
                </c:pt>
                <c:pt idx="4">
                  <c:v>1067.2564720638827</c:v>
                </c:pt>
                <c:pt idx="5">
                  <c:v>938.17413892902618</c:v>
                </c:pt>
                <c:pt idx="6">
                  <c:v>828.93838649925544</c:v>
                </c:pt>
                <c:pt idx="7">
                  <c:v>736.21875163621462</c:v>
                </c:pt>
                <c:pt idx="8">
                  <c:v>657.27151532163748</c:v>
                </c:pt>
                <c:pt idx="9">
                  <c:v>589.83274631817289</c:v>
                </c:pt>
                <c:pt idx="10">
                  <c:v>532.03138152841018</c:v>
                </c:pt>
                <c:pt idx="11">
                  <c:v>482.31849985030323</c:v>
                </c:pt>
                <c:pt idx="12">
                  <c:v>439.40969935688463</c:v>
                </c:pt>
                <c:pt idx="13">
                  <c:v>402.23809016822509</c:v>
                </c:pt>
                <c:pt idx="14">
                  <c:v>369.91589807290484</c:v>
                </c:pt>
                <c:pt idx="15">
                  <c:v>341.70306108555349</c:v>
                </c:pt>
                <c:pt idx="16">
                  <c:v>316.98151197435317</c:v>
                </c:pt>
                <c:pt idx="17">
                  <c:v>295.23408967734679</c:v>
                </c:pt>
                <c:pt idx="18">
                  <c:v>276.0272236352917</c:v>
                </c:pt>
                <c:pt idx="19">
                  <c:v>258.99669710802607</c:v>
                </c:pt>
                <c:pt idx="20">
                  <c:v>243.83592624973329</c:v>
                </c:pt>
                <c:pt idx="21">
                  <c:v>230.28629727403964</c:v>
                </c:pt>
                <c:pt idx="22">
                  <c:v>218.1291893793811</c:v>
                </c:pt>
                <c:pt idx="23">
                  <c:v>207.17938017841811</c:v>
                </c:pt>
                <c:pt idx="24">
                  <c:v>197.27958634588782</c:v>
                </c:pt>
                <c:pt idx="25">
                  <c:v>188.29593760379626</c:v>
                </c:pt>
                <c:pt idx="26">
                  <c:v>180.11421903729931</c:v>
                </c:pt>
                <c:pt idx="27">
                  <c:v>172.63674671524629</c:v>
                </c:pt>
                <c:pt idx="28">
                  <c:v>165.77976599228444</c:v>
                </c:pt>
                <c:pt idx="29">
                  <c:v>159.47128175474356</c:v>
                </c:pt>
                <c:pt idx="30">
                  <c:v>153.64924609466451</c:v>
                </c:pt>
                <c:pt idx="31">
                  <c:v>148.26004214509669</c:v>
                </c:pt>
                <c:pt idx="32">
                  <c:v>143.25721364226504</c:v>
                </c:pt>
                <c:pt idx="33">
                  <c:v>138.60039864713124</c:v>
                </c:pt>
                <c:pt idx="34">
                  <c:v>134.25443312505851</c:v>
                </c:pt>
                <c:pt idx="35">
                  <c:v>130.1885960435126</c:v>
                </c:pt>
                <c:pt idx="36">
                  <c:v>126.37597254387407</c:v>
                </c:pt>
                <c:pt idx="37">
                  <c:v>122.79291576945037</c:v>
                </c:pt>
                <c:pt idx="38">
                  <c:v>119.41859124604079</c:v>
                </c:pt>
                <c:pt idx="39">
                  <c:v>116.2345904429486</c:v>
                </c:pt>
                <c:pt idx="40">
                  <c:v>113.22460239618832</c:v>
                </c:pt>
                <c:pt idx="41">
                  <c:v>110.37413413754044</c:v>
                </c:pt>
                <c:pt idx="42">
                  <c:v>107.67027221300037</c:v>
                </c:pt>
                <c:pt idx="43">
                  <c:v>105.10147884928944</c:v>
                </c:pt>
                <c:pt idx="44">
                  <c:v>102.65741738419212</c:v>
                </c:pt>
                <c:pt idx="45">
                  <c:v>100.32880245392683</c:v>
                </c:pt>
                <c:pt idx="46">
                  <c:v>98.107271159932893</c:v>
                </c:pt>
                <c:pt idx="47">
                  <c:v>95.985272044188591</c:v>
                </c:pt>
                <c:pt idx="48">
                  <c:v>93.955969207629437</c:v>
                </c:pt>
                <c:pt idx="49">
                  <c:v>92.013159327864599</c:v>
                </c:pt>
              </c:numCache>
            </c:numRef>
          </c:yVal>
          <c:smooth val="1"/>
          <c:extLst>
            <c:ext xmlns:c16="http://schemas.microsoft.com/office/drawing/2014/chart" uri="{C3380CC4-5D6E-409C-BE32-E72D297353CC}">
              <c16:uniqueId val="{00000000-432F-4276-B574-8E03CFB2AFA4}"/>
            </c:ext>
          </c:extLst>
        </c:ser>
        <c:ser>
          <c:idx val="1"/>
          <c:order val="1"/>
          <c:tx>
            <c:strRef>
              <c:f>main!$F$49</c:f>
              <c:strCache>
                <c:ptCount val="1"/>
                <c:pt idx="0">
                  <c:v>duration</c:v>
                </c:pt>
              </c:strCache>
            </c:strRef>
          </c:tx>
          <c:spPr>
            <a:ln w="19050" cap="rnd">
              <a:solidFill>
                <a:schemeClr val="accent2"/>
              </a:solidFill>
              <a:round/>
            </a:ln>
            <a:effectLst/>
          </c:spPr>
          <c:marker>
            <c:symbol val="none"/>
          </c:marker>
          <c:xVal>
            <c:numRef>
              <c:f>main!$N$44:$N$64</c:f>
              <c:numCache>
                <c:formatCode>0.00%</c:formatCode>
                <c:ptCount val="21"/>
                <c:pt idx="0">
                  <c:v>-2.6600000000000013E-2</c:v>
                </c:pt>
                <c:pt idx="1">
                  <c:v>-1.6600000000000018E-2</c:v>
                </c:pt>
                <c:pt idx="2">
                  <c:v>-6.6000000000000225E-3</c:v>
                </c:pt>
                <c:pt idx="3">
                  <c:v>3.3999999999999725E-3</c:v>
                </c:pt>
                <c:pt idx="4">
                  <c:v>1.3399999999999974E-2</c:v>
                </c:pt>
                <c:pt idx="5">
                  <c:v>2.3399999999999976E-2</c:v>
                </c:pt>
                <c:pt idx="6">
                  <c:v>3.3399999999999978E-2</c:v>
                </c:pt>
                <c:pt idx="7">
                  <c:v>4.339999999999998E-2</c:v>
                </c:pt>
                <c:pt idx="8">
                  <c:v>5.3399999999999982E-2</c:v>
                </c:pt>
                <c:pt idx="9">
                  <c:v>6.3399999999999984E-2</c:v>
                </c:pt>
                <c:pt idx="10">
                  <c:v>7.3399999999999993E-2</c:v>
                </c:pt>
                <c:pt idx="11">
                  <c:v>8.3399999999999988E-2</c:v>
                </c:pt>
                <c:pt idx="12">
                  <c:v>9.3399999999999997E-2</c:v>
                </c:pt>
                <c:pt idx="13">
                  <c:v>0.10339999999999999</c:v>
                </c:pt>
                <c:pt idx="14">
                  <c:v>0.1134</c:v>
                </c:pt>
                <c:pt idx="15">
                  <c:v>0.1234</c:v>
                </c:pt>
                <c:pt idx="16">
                  <c:v>0.13339999999999999</c:v>
                </c:pt>
                <c:pt idx="17">
                  <c:v>0.1434</c:v>
                </c:pt>
                <c:pt idx="18">
                  <c:v>0.15339999999999998</c:v>
                </c:pt>
                <c:pt idx="19">
                  <c:v>0.16339999999999999</c:v>
                </c:pt>
                <c:pt idx="20">
                  <c:v>0.1734</c:v>
                </c:pt>
              </c:numCache>
            </c:numRef>
          </c:xVal>
          <c:yVal>
            <c:numRef>
              <c:f>main!$P$44:$P$64</c:f>
              <c:numCache>
                <c:formatCode>_("$"* #,##0.00_);_("$"* \(#,##0.00\);_("$"* "-"??_);_(@_)</c:formatCode>
                <c:ptCount val="21"/>
                <c:pt idx="0">
                  <c:v>1516.8589569584838</c:v>
                </c:pt>
                <c:pt idx="1">
                  <c:v>1435.9684554878036</c:v>
                </c:pt>
                <c:pt idx="2">
                  <c:v>1355.0779540171234</c:v>
                </c:pt>
                <c:pt idx="3">
                  <c:v>1274.1874525464432</c:v>
                </c:pt>
                <c:pt idx="4">
                  <c:v>1193.2969510757628</c:v>
                </c:pt>
                <c:pt idx="5">
                  <c:v>1112.4064496050823</c:v>
                </c:pt>
                <c:pt idx="6">
                  <c:v>1031.5159481344022</c:v>
                </c:pt>
                <c:pt idx="7">
                  <c:v>950.62544666372185</c:v>
                </c:pt>
                <c:pt idx="8">
                  <c:v>869.73494519304154</c:v>
                </c:pt>
                <c:pt idx="9">
                  <c:v>788.84444372236123</c:v>
                </c:pt>
                <c:pt idx="10">
                  <c:v>707.95394225168081</c:v>
                </c:pt>
                <c:pt idx="11">
                  <c:v>627.06344078100051</c:v>
                </c:pt>
                <c:pt idx="12">
                  <c:v>546.1729393103202</c:v>
                </c:pt>
                <c:pt idx="13">
                  <c:v>465.2824378396399</c:v>
                </c:pt>
                <c:pt idx="14">
                  <c:v>384.39193636895959</c:v>
                </c:pt>
                <c:pt idx="15">
                  <c:v>303.50143489827929</c:v>
                </c:pt>
                <c:pt idx="16">
                  <c:v>222.61093342759898</c:v>
                </c:pt>
                <c:pt idx="17">
                  <c:v>141.72043195691867</c:v>
                </c:pt>
                <c:pt idx="18">
                  <c:v>60.829930486238368</c:v>
                </c:pt>
                <c:pt idx="19">
                  <c:v>-20.060570984441824</c:v>
                </c:pt>
                <c:pt idx="20">
                  <c:v>-100.95107245512213</c:v>
                </c:pt>
              </c:numCache>
            </c:numRef>
          </c:yVal>
          <c:smooth val="1"/>
          <c:extLst>
            <c:ext xmlns:c16="http://schemas.microsoft.com/office/drawing/2014/chart" uri="{C3380CC4-5D6E-409C-BE32-E72D297353CC}">
              <c16:uniqueId val="{00000001-432F-4276-B574-8E03CFB2AFA4}"/>
            </c:ext>
          </c:extLst>
        </c:ser>
        <c:ser>
          <c:idx val="2"/>
          <c:order val="2"/>
          <c:tx>
            <c:v>duration + convexity</c:v>
          </c:tx>
          <c:spPr>
            <a:ln w="19050" cap="rnd">
              <a:solidFill>
                <a:schemeClr val="accent3"/>
              </a:solidFill>
              <a:round/>
            </a:ln>
            <a:effectLst/>
          </c:spPr>
          <c:marker>
            <c:symbol val="none"/>
          </c:marker>
          <c:xVal>
            <c:numRef>
              <c:f>main!$N$44:$N$64</c:f>
              <c:numCache>
                <c:formatCode>0.00%</c:formatCode>
                <c:ptCount val="21"/>
                <c:pt idx="0">
                  <c:v>-2.6600000000000013E-2</c:v>
                </c:pt>
                <c:pt idx="1">
                  <c:v>-1.6600000000000018E-2</c:v>
                </c:pt>
                <c:pt idx="2">
                  <c:v>-6.6000000000000225E-3</c:v>
                </c:pt>
                <c:pt idx="3">
                  <c:v>3.3999999999999725E-3</c:v>
                </c:pt>
                <c:pt idx="4">
                  <c:v>1.3399999999999974E-2</c:v>
                </c:pt>
                <c:pt idx="5">
                  <c:v>2.3399999999999976E-2</c:v>
                </c:pt>
                <c:pt idx="6">
                  <c:v>3.3399999999999978E-2</c:v>
                </c:pt>
                <c:pt idx="7">
                  <c:v>4.339999999999998E-2</c:v>
                </c:pt>
                <c:pt idx="8">
                  <c:v>5.3399999999999982E-2</c:v>
                </c:pt>
                <c:pt idx="9">
                  <c:v>6.3399999999999984E-2</c:v>
                </c:pt>
                <c:pt idx="10">
                  <c:v>7.3399999999999993E-2</c:v>
                </c:pt>
                <c:pt idx="11">
                  <c:v>8.3399999999999988E-2</c:v>
                </c:pt>
                <c:pt idx="12">
                  <c:v>9.3399999999999997E-2</c:v>
                </c:pt>
                <c:pt idx="13">
                  <c:v>0.10339999999999999</c:v>
                </c:pt>
                <c:pt idx="14">
                  <c:v>0.1134</c:v>
                </c:pt>
                <c:pt idx="15">
                  <c:v>0.1234</c:v>
                </c:pt>
                <c:pt idx="16">
                  <c:v>0.13339999999999999</c:v>
                </c:pt>
                <c:pt idx="17">
                  <c:v>0.1434</c:v>
                </c:pt>
                <c:pt idx="18">
                  <c:v>0.15339999999999998</c:v>
                </c:pt>
                <c:pt idx="19">
                  <c:v>0.16339999999999999</c:v>
                </c:pt>
                <c:pt idx="20">
                  <c:v>0.1734</c:v>
                </c:pt>
              </c:numCache>
            </c:numRef>
          </c:xVal>
          <c:yVal>
            <c:numRef>
              <c:f>main!$Q$44:$Q$64</c:f>
              <c:numCache>
                <c:formatCode>_("$"* #,##0.00_);_("$"* \(#,##0.00\);_("$"* "-"??_);_(@_)</c:formatCode>
                <c:ptCount val="21"/>
                <c:pt idx="0">
                  <c:v>2162.6798184755758</c:v>
                </c:pt>
                <c:pt idx="1">
                  <c:v>1959.0833533166483</c:v>
                </c:pt>
                <c:pt idx="2">
                  <c:v>1768.4033053880626</c:v>
                </c:pt>
                <c:pt idx="3">
                  <c:v>1590.6396746898185</c:v>
                </c:pt>
                <c:pt idx="4">
                  <c:v>1425.792461221916</c:v>
                </c:pt>
                <c:pt idx="5">
                  <c:v>1273.8616649843555</c:v>
                </c:pt>
                <c:pt idx="6">
                  <c:v>1134.8472859771368</c:v>
                </c:pt>
                <c:pt idx="7">
                  <c:v>1008.7493242002602</c:v>
                </c:pt>
                <c:pt idx="8">
                  <c:v>895.56777965372521</c:v>
                </c:pt>
                <c:pt idx="9">
                  <c:v>795.30265233753221</c:v>
                </c:pt>
                <c:pt idx="10">
                  <c:v>707.95394225168081</c:v>
                </c:pt>
                <c:pt idx="11">
                  <c:v>633.52164939617148</c:v>
                </c:pt>
                <c:pt idx="12">
                  <c:v>572.00577377100387</c:v>
                </c:pt>
                <c:pt idx="13">
                  <c:v>523.40631537617821</c:v>
                </c:pt>
                <c:pt idx="14">
                  <c:v>487.72327421169433</c:v>
                </c:pt>
                <c:pt idx="15">
                  <c:v>464.95665027755228</c:v>
                </c:pt>
                <c:pt idx="16">
                  <c:v>455.10644357375213</c:v>
                </c:pt>
                <c:pt idx="17">
                  <c:v>458.17265410029381</c:v>
                </c:pt>
                <c:pt idx="18">
                  <c:v>474.15528185717727</c:v>
                </c:pt>
                <c:pt idx="19">
                  <c:v>503.05432684440268</c:v>
                </c:pt>
                <c:pt idx="20">
                  <c:v>544.86978906196975</c:v>
                </c:pt>
              </c:numCache>
            </c:numRef>
          </c:yVal>
          <c:smooth val="1"/>
          <c:extLst>
            <c:ext xmlns:c16="http://schemas.microsoft.com/office/drawing/2014/chart" uri="{C3380CC4-5D6E-409C-BE32-E72D297353CC}">
              <c16:uniqueId val="{00000002-432F-4276-B574-8E03CFB2AFA4}"/>
            </c:ext>
          </c:extLst>
        </c:ser>
        <c:dLbls>
          <c:showLegendKey val="0"/>
          <c:showVal val="0"/>
          <c:showCatName val="0"/>
          <c:showSerName val="0"/>
          <c:showPercent val="0"/>
          <c:showBubbleSize val="0"/>
        </c:dLbls>
        <c:axId val="1611979551"/>
        <c:axId val="1614538479"/>
      </c:scatterChart>
      <c:valAx>
        <c:axId val="161197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Yield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538479"/>
        <c:crosses val="autoZero"/>
        <c:crossBetween val="midCat"/>
      </c:valAx>
      <c:valAx>
        <c:axId val="1614538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9795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Yield Curve</a:t>
            </a:r>
            <a:r>
              <a:rPr lang="en-US" baseline="0"/>
              <a:t>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7.4192038495188101E-2"/>
          <c:y val="0.17171296296296298"/>
          <c:w val="0.8964746281714786"/>
          <c:h val="0.72125801983085447"/>
        </c:manualLayout>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poly"/>
            <c:order val="3"/>
            <c:dispRSqr val="0"/>
            <c:dispEq val="0"/>
          </c:trendline>
          <c:trendline>
            <c:spPr>
              <a:ln w="25400" cap="rnd">
                <a:solidFill>
                  <a:schemeClr val="accent1">
                    <a:alpha val="50000"/>
                  </a:schemeClr>
                </a:solidFill>
              </a:ln>
              <a:effectLst/>
            </c:spPr>
            <c:trendlineType val="poly"/>
            <c:order val="3"/>
            <c:dispRSqr val="0"/>
            <c:dispEq val="0"/>
          </c:trendline>
          <c:yVal>
            <c:numRef>
              <c:f>'workshop 2'!$O$41:$O$87</c:f>
              <c:numCache>
                <c:formatCode>#.##</c:formatCode>
                <c:ptCount val="47"/>
                <c:pt idx="0">
                  <c:v>4.34</c:v>
                </c:pt>
                <c:pt idx="1">
                  <c:v>4.4400000000000004</c:v>
                </c:pt>
                <c:pt idx="2" formatCode="#.#0">
                  <c:v>4.5</c:v>
                </c:pt>
                <c:pt idx="3">
                  <c:v>4.25</c:v>
                </c:pt>
                <c:pt idx="4">
                  <c:v>4.1500000000000004</c:v>
                </c:pt>
                <c:pt idx="5">
                  <c:v>4.1399999999999997</c:v>
                </c:pt>
                <c:pt idx="6">
                  <c:v>4.2699999999999996</c:v>
                </c:pt>
                <c:pt idx="7">
                  <c:v>4.29</c:v>
                </c:pt>
                <c:pt idx="8">
                  <c:v>4.1100000000000003</c:v>
                </c:pt>
                <c:pt idx="9" formatCode="#.0#">
                  <c:v>4.0599999999999996</c:v>
                </c:pt>
                <c:pt idx="10" formatCode="#.#0">
                  <c:v>4.0999999999999996</c:v>
                </c:pt>
                <c:pt idx="11">
                  <c:v>4.1399999999999997</c:v>
                </c:pt>
                <c:pt idx="12" formatCode="#.0#">
                  <c:v>4.08</c:v>
                </c:pt>
                <c:pt idx="13" formatCode="#.0#">
                  <c:v>4.04</c:v>
                </c:pt>
                <c:pt idx="14">
                  <c:v>4.21</c:v>
                </c:pt>
                <c:pt idx="15">
                  <c:v>4.1399999999999997</c:v>
                </c:pt>
                <c:pt idx="16">
                  <c:v>4.21</c:v>
                </c:pt>
                <c:pt idx="17">
                  <c:v>4.2699999999999996</c:v>
                </c:pt>
                <c:pt idx="18" formatCode="#.0#">
                  <c:v>4.05</c:v>
                </c:pt>
                <c:pt idx="19">
                  <c:v>4.2699999999999996</c:v>
                </c:pt>
                <c:pt idx="20" formatCode="#.#0">
                  <c:v>4.3</c:v>
                </c:pt>
                <c:pt idx="21">
                  <c:v>4.32</c:v>
                </c:pt>
                <c:pt idx="22">
                  <c:v>4.29</c:v>
                </c:pt>
                <c:pt idx="23">
                  <c:v>4.34</c:v>
                </c:pt>
                <c:pt idx="24">
                  <c:v>4.3099999999999996</c:v>
                </c:pt>
                <c:pt idx="25">
                  <c:v>4.4800000000000004</c:v>
                </c:pt>
                <c:pt idx="26" formatCode="#.0#">
                  <c:v>5.0199999999999996</c:v>
                </c:pt>
                <c:pt idx="27" formatCode="#.0#">
                  <c:v>5.08</c:v>
                </c:pt>
                <c:pt idx="28">
                  <c:v>4.96</c:v>
                </c:pt>
                <c:pt idx="29">
                  <c:v>5.12</c:v>
                </c:pt>
                <c:pt idx="30" formatCode="#.#0">
                  <c:v>5.0999999999999996</c:v>
                </c:pt>
                <c:pt idx="31">
                  <c:v>5.15</c:v>
                </c:pt>
                <c:pt idx="32" formatCode="#.#0">
                  <c:v>5.0999999999999996</c:v>
                </c:pt>
                <c:pt idx="33">
                  <c:v>5.12</c:v>
                </c:pt>
                <c:pt idx="34">
                  <c:v>5.17</c:v>
                </c:pt>
                <c:pt idx="35">
                  <c:v>5.16</c:v>
                </c:pt>
                <c:pt idx="36">
                  <c:v>5.19</c:v>
                </c:pt>
                <c:pt idx="37">
                  <c:v>5.15</c:v>
                </c:pt>
                <c:pt idx="38">
                  <c:v>5.19</c:v>
                </c:pt>
                <c:pt idx="39">
                  <c:v>5.19</c:v>
                </c:pt>
                <c:pt idx="40" formatCode="#.#0">
                  <c:v>5.2</c:v>
                </c:pt>
                <c:pt idx="41">
                  <c:v>5.16</c:v>
                </c:pt>
                <c:pt idx="42">
                  <c:v>4.9800000000000004</c:v>
                </c:pt>
                <c:pt idx="43">
                  <c:v>4.93</c:v>
                </c:pt>
                <c:pt idx="44">
                  <c:v>5.15</c:v>
                </c:pt>
                <c:pt idx="45">
                  <c:v>5.17</c:v>
                </c:pt>
                <c:pt idx="46">
                  <c:v>5.18</c:v>
                </c:pt>
              </c:numCache>
            </c:numRef>
          </c:yVal>
          <c:smooth val="0"/>
          <c:extLst>
            <c:ext xmlns:c16="http://schemas.microsoft.com/office/drawing/2014/chart" uri="{C3380CC4-5D6E-409C-BE32-E72D297353CC}">
              <c16:uniqueId val="{00000000-233F-437C-823C-A746EBAE7E72}"/>
            </c:ext>
          </c:extLst>
        </c:ser>
        <c:ser>
          <c:idx val="1"/>
          <c:order val="1"/>
          <c:tx>
            <c:strRef>
              <c:f>'workshop 2'!$P$40</c:f>
              <c:strCache>
                <c:ptCount val="1"/>
                <c:pt idx="0">
                  <c:v> yield curve</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exp"/>
            <c:dispRSqr val="0"/>
            <c:dispEq val="0"/>
          </c:trendline>
          <c:xVal>
            <c:numRef>
              <c:f>'workshop 2'!$Q$41:$Q$49</c:f>
              <c:numCache>
                <c:formatCode>General</c:formatCode>
                <c:ptCount val="9"/>
                <c:pt idx="0">
                  <c:v>1.9178082191780823E-2</c:v>
                </c:pt>
                <c:pt idx="1">
                  <c:v>0.43835616438356162</c:v>
                </c:pt>
                <c:pt idx="2">
                  <c:v>1.0191780821917809</c:v>
                </c:pt>
                <c:pt idx="3">
                  <c:v>1.9342465753424658</c:v>
                </c:pt>
                <c:pt idx="4">
                  <c:v>2.9369863013698629</c:v>
                </c:pt>
                <c:pt idx="5">
                  <c:v>4.9369863013698634</c:v>
                </c:pt>
                <c:pt idx="6">
                  <c:v>6.9397260273972599</c:v>
                </c:pt>
                <c:pt idx="7">
                  <c:v>9.9397260273972599</c:v>
                </c:pt>
                <c:pt idx="8">
                  <c:v>29.953424657534246</c:v>
                </c:pt>
              </c:numCache>
            </c:numRef>
          </c:xVal>
          <c:yVal>
            <c:numRef>
              <c:f>'workshop 2'!$R$41:$R$49</c:f>
              <c:numCache>
                <c:formatCode>General</c:formatCode>
                <c:ptCount val="9"/>
                <c:pt idx="0">
                  <c:v>4.32</c:v>
                </c:pt>
                <c:pt idx="1">
                  <c:v>4.3099999999999996</c:v>
                </c:pt>
                <c:pt idx="2">
                  <c:v>4.04</c:v>
                </c:pt>
                <c:pt idx="3">
                  <c:v>3.95</c:v>
                </c:pt>
                <c:pt idx="4">
                  <c:v>3.96</c:v>
                </c:pt>
                <c:pt idx="5">
                  <c:v>3.96</c:v>
                </c:pt>
                <c:pt idx="6">
                  <c:v>4.05</c:v>
                </c:pt>
                <c:pt idx="7">
                  <c:v>4.18</c:v>
                </c:pt>
                <c:pt idx="8">
                  <c:v>4.45</c:v>
                </c:pt>
              </c:numCache>
            </c:numRef>
          </c:yVal>
          <c:smooth val="0"/>
          <c:extLst>
            <c:ext xmlns:c16="http://schemas.microsoft.com/office/drawing/2014/chart" uri="{C3380CC4-5D6E-409C-BE32-E72D297353CC}">
              <c16:uniqueId val="{00000007-233F-437C-823C-A746EBAE7E72}"/>
            </c:ext>
          </c:extLst>
        </c:ser>
        <c:ser>
          <c:idx val="2"/>
          <c:order val="2"/>
          <c:tx>
            <c:strRef>
              <c:f>'workshop 2'!$S$40</c:f>
              <c:strCache>
                <c:ptCount val="1"/>
                <c:pt idx="0">
                  <c:v>spread</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'workshop 2'!$Q$41:$Q$49</c:f>
              <c:numCache>
                <c:formatCode>General</c:formatCode>
                <c:ptCount val="9"/>
                <c:pt idx="0">
                  <c:v>1.9178082191780823E-2</c:v>
                </c:pt>
                <c:pt idx="1">
                  <c:v>0.43835616438356162</c:v>
                </c:pt>
                <c:pt idx="2">
                  <c:v>1.0191780821917809</c:v>
                </c:pt>
                <c:pt idx="3">
                  <c:v>1.9342465753424658</c:v>
                </c:pt>
                <c:pt idx="4">
                  <c:v>2.9369863013698629</c:v>
                </c:pt>
                <c:pt idx="5">
                  <c:v>4.9369863013698634</c:v>
                </c:pt>
                <c:pt idx="6">
                  <c:v>6.9397260273972599</c:v>
                </c:pt>
                <c:pt idx="7">
                  <c:v>9.9397260273972599</c:v>
                </c:pt>
                <c:pt idx="8">
                  <c:v>29.953424657534246</c:v>
                </c:pt>
              </c:numCache>
            </c:numRef>
          </c:xVal>
          <c:yVal>
            <c:numRef>
              <c:f>'workshop 2'!$S$41:$S$49</c:f>
              <c:numCache>
                <c:formatCode>General</c:formatCode>
                <c:ptCount val="9"/>
                <c:pt idx="0">
                  <c:v>1.9999999999999574E-2</c:v>
                </c:pt>
                <c:pt idx="1">
                  <c:v>0.13000000000000078</c:v>
                </c:pt>
                <c:pt idx="2">
                  <c:v>0.45999999999999996</c:v>
                </c:pt>
                <c:pt idx="3">
                  <c:v>0.29999999999999982</c:v>
                </c:pt>
                <c:pt idx="4">
                  <c:v>0.19000000000000039</c:v>
                </c:pt>
                <c:pt idx="5">
                  <c:v>0.17999999999999972</c:v>
                </c:pt>
                <c:pt idx="6">
                  <c:v>0.21999999999999975</c:v>
                </c:pt>
                <c:pt idx="7">
                  <c:v>0.11000000000000032</c:v>
                </c:pt>
                <c:pt idx="8">
                  <c:v>-0.33999999999999986</c:v>
                </c:pt>
              </c:numCache>
            </c:numRef>
          </c:yVal>
          <c:smooth val="0"/>
          <c:extLst>
            <c:ext xmlns:c16="http://schemas.microsoft.com/office/drawing/2014/chart" uri="{C3380CC4-5D6E-409C-BE32-E72D297353CC}">
              <c16:uniqueId val="{00000009-233F-437C-823C-A746EBAE7E72}"/>
            </c:ext>
          </c:extLst>
        </c:ser>
        <c:dLbls>
          <c:showLegendKey val="0"/>
          <c:showVal val="0"/>
          <c:showCatName val="0"/>
          <c:showSerName val="0"/>
          <c:showPercent val="0"/>
          <c:showBubbleSize val="0"/>
        </c:dLbls>
        <c:axId val="1571192224"/>
        <c:axId val="1571186464"/>
      </c:scatterChart>
      <c:valAx>
        <c:axId val="157119222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186464"/>
        <c:crosses val="autoZero"/>
        <c:crossBetween val="midCat"/>
      </c:valAx>
      <c:valAx>
        <c:axId val="1571186464"/>
        <c:scaling>
          <c:orientation val="minMax"/>
          <c:min val="3.9"/>
        </c:scaling>
        <c:delete val="0"/>
        <c:axPos val="l"/>
        <c:majorGridlines>
          <c:spPr>
            <a:ln w="9525" cap="flat" cmpd="sng" algn="ctr">
              <a:solidFill>
                <a:schemeClr val="dk1">
                  <a:lumMod val="65000"/>
                  <a:lumOff val="35000"/>
                  <a:alpha val="75000"/>
                </a:schemeClr>
              </a:solidFill>
              <a:round/>
            </a:ln>
            <a:effectLst/>
          </c:spPr>
        </c:majorGridlines>
        <c:numFmt formatCode="#.##"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1922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APPLE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580927384076988E-2"/>
          <c:y val="0.16708333333333336"/>
          <c:w val="0.87764129483814524"/>
          <c:h val="0.6153546952464275"/>
        </c:manualLayout>
      </c:layout>
      <c:lineChart>
        <c:grouping val="standard"/>
        <c:varyColors val="0"/>
        <c:ser>
          <c:idx val="1"/>
          <c:order val="0"/>
          <c:tx>
            <c:strRef>
              <c:f>'workshop 2'!$G$229</c:f>
              <c:strCache>
                <c:ptCount val="1"/>
                <c:pt idx="0">
                  <c:v>ending balance no early payment</c:v>
                </c:pt>
              </c:strCache>
            </c:strRef>
          </c:tx>
          <c:spPr>
            <a:ln w="31750" cap="rnd">
              <a:solidFill>
                <a:schemeClr val="accent2"/>
              </a:solidFill>
              <a:round/>
            </a:ln>
            <a:effectLst/>
          </c:spPr>
          <c:marker>
            <c:symbol val="none"/>
          </c:marker>
          <c:val>
            <c:numRef>
              <c:f>'workshop 2'!$G$230:$G$265</c:f>
              <c:numCache>
                <c:formatCode>General</c:formatCode>
                <c:ptCount val="36"/>
                <c:pt idx="0">
                  <c:v>1794.5530308654543</c:v>
                </c:pt>
                <c:pt idx="1">
                  <c:v>1690.9724730845901</c:v>
                </c:pt>
                <c:pt idx="2">
                  <c:v>1589.2252911764472</c:v>
                </c:pt>
                <c:pt idx="3">
                  <c:v>1489.2790343880783</c:v>
                </c:pt>
                <c:pt idx="4">
                  <c:v>1391.1018263448636</c:v>
                </c:pt>
                <c:pt idx="5">
                  <c:v>1294.6623548840139</c:v>
                </c:pt>
                <c:pt idx="6">
                  <c:v>1199.9298620680213</c:v>
                </c:pt>
                <c:pt idx="7">
                  <c:v>1106.8741343748718</c:v>
                </c:pt>
                <c:pt idx="8">
                  <c:v>1015.465493061891</c:v>
                </c:pt>
                <c:pt idx="9">
                  <c:v>925.67478470014998</c:v>
                </c:pt>
                <c:pt idx="10">
                  <c:v>837.47337187641176</c:v>
                </c:pt>
                <c:pt idx="11">
                  <c:v>750.83312405965364</c:v>
                </c:pt>
                <c:pt idx="12">
                  <c:v>665.72640862925221</c:v>
                </c:pt>
                <c:pt idx="13">
                  <c:v>582.12608206196887</c:v>
                </c:pt>
                <c:pt idx="14">
                  <c:v>500.00548127492641</c:v>
                </c:pt>
                <c:pt idx="15">
                  <c:v>419.33841512181459</c:v>
                </c:pt>
                <c:pt idx="16">
                  <c:v>340.09915603961286</c:v>
                </c:pt>
                <c:pt idx="17">
                  <c:v>262.2624318431661</c:v>
                </c:pt>
                <c:pt idx="18">
                  <c:v>185.80341766499646</c:v>
                </c:pt>
                <c:pt idx="19">
                  <c:v>110.69772803778041</c:v>
                </c:pt>
                <c:pt idx="20">
                  <c:v>36.921409116966089</c:v>
                </c:pt>
                <c:pt idx="21">
                  <c:v>-35.54906895894981</c:v>
                </c:pt>
                <c:pt idx="22">
                  <c:v>-106.736819572922</c:v>
                </c:pt>
                <c:pt idx="23">
                  <c:v>-176.6645470010269</c:v>
                </c:pt>
                <c:pt idx="24">
                  <c:v>-245.35455365365431</c:v>
                </c:pt>
                <c:pt idx="25">
                  <c:v>-312.8287471885302</c:v>
                </c:pt>
                <c:pt idx="26">
                  <c:v>-379.10864749783883</c:v>
                </c:pt>
                <c:pt idx="27">
                  <c:v>-444.21539357167268</c:v>
                </c:pt>
                <c:pt idx="28">
                  <c:v>-508.1697502399997</c:v>
                </c:pt>
                <c:pt idx="29">
                  <c:v>-570.99211479529731</c:v>
                </c:pt>
                <c:pt idx="30">
                  <c:v>-632.70252349796613</c:v>
                </c:pt>
                <c:pt idx="31">
                  <c:v>-693.32065796659776</c:v>
                </c:pt>
                <c:pt idx="32">
                  <c:v>-752.86585145513459</c:v>
                </c:pt>
                <c:pt idx="33">
                  <c:v>-811.35709501892427</c:v>
                </c:pt>
                <c:pt idx="34">
                  <c:v>-868.81304357163492</c:v>
                </c:pt>
                <c:pt idx="35">
                  <c:v>-925.25202183496265</c:v>
                </c:pt>
              </c:numCache>
            </c:numRef>
          </c:val>
          <c:smooth val="0"/>
          <c:extLst>
            <c:ext xmlns:c16="http://schemas.microsoft.com/office/drawing/2014/chart" uri="{C3380CC4-5D6E-409C-BE32-E72D297353CC}">
              <c16:uniqueId val="{00000001-60C9-4C42-8DA8-06E15E2E72B4}"/>
            </c:ext>
          </c:extLst>
        </c:ser>
        <c:ser>
          <c:idx val="0"/>
          <c:order val="1"/>
          <c:tx>
            <c:strRef>
              <c:f>'workshop 2'!$N$229</c:f>
              <c:strCache>
                <c:ptCount val="1"/>
                <c:pt idx="0">
                  <c:v>ending balance with early payment</c:v>
                </c:pt>
              </c:strCache>
            </c:strRef>
          </c:tx>
          <c:spPr>
            <a:ln w="31750" cap="rnd">
              <a:solidFill>
                <a:schemeClr val="accent1"/>
              </a:solidFill>
              <a:round/>
            </a:ln>
            <a:effectLst/>
          </c:spPr>
          <c:marker>
            <c:symbol val="none"/>
          </c:marker>
          <c:val>
            <c:numRef>
              <c:f>'workshop 2'!$N$230:$N$265</c:f>
              <c:numCache>
                <c:formatCode>General</c:formatCode>
                <c:ptCount val="36"/>
                <c:pt idx="0">
                  <c:v>1764.5530308654543</c:v>
                </c:pt>
                <c:pt idx="1">
                  <c:v>1631.50347308459</c:v>
                </c:pt>
                <c:pt idx="2">
                  <c:v>1500.8088924764472</c:v>
                </c:pt>
                <c:pt idx="3">
                  <c:v>1372.4276059450685</c:v>
                </c:pt>
                <c:pt idx="4">
                  <c:v>1246.3186681852951</c:v>
                </c:pt>
                <c:pt idx="5">
                  <c:v>1122.4418586238698</c:v>
                </c:pt>
                <c:pt idx="6">
                  <c:v>1000.7576685916817</c:v>
                </c:pt>
                <c:pt idx="7">
                  <c:v>881.22728872306334</c:v>
                </c:pt>
                <c:pt idx="8">
                  <c:v>763.8125965781195</c:v>
                </c:pt>
                <c:pt idx="9">
                  <c:v>648.47614448414117</c:v>
                </c:pt>
                <c:pt idx="10">
                  <c:v>535.18114759222624</c:v>
                </c:pt>
                <c:pt idx="11">
                  <c:v>423.89147214529817</c:v>
                </c:pt>
                <c:pt idx="12">
                  <c:v>314.57162395378077</c:v>
                </c:pt>
                <c:pt idx="13">
                  <c:v>207.18673707525323</c:v>
                </c:pt>
                <c:pt idx="14">
                  <c:v>101.70256269447566</c:v>
                </c:pt>
                <c:pt idx="15">
                  <c:v>-1.9145417997621621</c:v>
                </c:pt>
                <c:pt idx="16">
                  <c:v>-103.69762354445197</c:v>
                </c:pt>
                <c:pt idx="17">
                  <c:v>-203.67914474226077</c:v>
                </c:pt>
                <c:pt idx="18">
                  <c:v>-301.89099301486834</c:v>
                </c:pt>
                <c:pt idx="19">
                  <c:v>-398.36449157305077</c:v>
                </c:pt>
                <c:pt idx="20">
                  <c:v>-493.13040920675337</c:v>
                </c:pt>
                <c:pt idx="21">
                  <c:v>-586.21897009833947</c:v>
                </c:pt>
                <c:pt idx="22">
                  <c:v>-677.65986346214447</c:v>
                </c:pt>
                <c:pt idx="23">
                  <c:v>-767.48225301341017</c:v>
                </c:pt>
                <c:pt idx="24">
                  <c:v>-855.71478626961846</c:v>
                </c:pt>
                <c:pt idx="25">
                  <c:v>-942.38560368719186</c:v>
                </c:pt>
                <c:pt idx="26">
                  <c:v>-1027.522347636474</c:v>
                </c:pt>
                <c:pt idx="27">
                  <c:v>-1111.1521712178539</c:v>
                </c:pt>
                <c:pt idx="28">
                  <c:v>-1193.3017469218435</c:v>
                </c:pt>
                <c:pt idx="29">
                  <c:v>-1273.9972751358725</c:v>
                </c:pt>
                <c:pt idx="30">
                  <c:v>-1353.2644925005131</c:v>
                </c:pt>
                <c:pt idx="31">
                  <c:v>-1431.1286801177996</c:v>
                </c:pt>
                <c:pt idx="32">
                  <c:v>-1507.6146716142603</c:v>
                </c:pt>
                <c:pt idx="33">
                  <c:v>-1582.7468610612334</c:v>
                </c:pt>
                <c:pt idx="34">
                  <c:v>-1656.5492107549951</c:v>
                </c:pt>
                <c:pt idx="35">
                  <c:v>-1729.0452588591772</c:v>
                </c:pt>
              </c:numCache>
            </c:numRef>
          </c:val>
          <c:smooth val="0"/>
          <c:extLst>
            <c:ext xmlns:c16="http://schemas.microsoft.com/office/drawing/2014/chart" uri="{C3380CC4-5D6E-409C-BE32-E72D297353CC}">
              <c16:uniqueId val="{00000002-60C9-4C42-8DA8-06E15E2E72B4}"/>
            </c:ext>
          </c:extLst>
        </c:ser>
        <c:dLbls>
          <c:showLegendKey val="0"/>
          <c:showVal val="0"/>
          <c:showCatName val="0"/>
          <c:showSerName val="0"/>
          <c:showPercent val="0"/>
          <c:showBubbleSize val="0"/>
        </c:dLbls>
        <c:smooth val="0"/>
        <c:axId val="1571187424"/>
        <c:axId val="1571180704"/>
      </c:lineChart>
      <c:catAx>
        <c:axId val="1571187424"/>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71180704"/>
        <c:crosses val="autoZero"/>
        <c:auto val="1"/>
        <c:lblAlgn val="ctr"/>
        <c:lblOffset val="100"/>
        <c:noMultiLvlLbl val="0"/>
      </c:catAx>
      <c:valAx>
        <c:axId val="15711807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7118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Discover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'workshop 2'!$G$268</c:f>
              <c:strCache>
                <c:ptCount val="1"/>
                <c:pt idx="0">
                  <c:v>ending balance no early payment</c:v>
                </c:pt>
              </c:strCache>
            </c:strRef>
          </c:tx>
          <c:spPr>
            <a:ln w="22225" cap="rnd">
              <a:solidFill>
                <a:schemeClr val="accent1"/>
              </a:solidFill>
            </a:ln>
            <a:effectLst>
              <a:glow rad="139700">
                <a:schemeClr val="accent1">
                  <a:satMod val="175000"/>
                  <a:alpha val="14000"/>
                </a:schemeClr>
              </a:glow>
            </a:effectLst>
          </c:spPr>
          <c:marker>
            <c:symbol val="none"/>
          </c:marker>
          <c:yVal>
            <c:numRef>
              <c:f>'workshop 2'!$G$269:$G$304</c:f>
              <c:numCache>
                <c:formatCode>General</c:formatCode>
                <c:ptCount val="36"/>
                <c:pt idx="0">
                  <c:v>4144.2782589691724</c:v>
                </c:pt>
                <c:pt idx="1">
                  <c:v>3893.0827927545906</c:v>
                </c:pt>
                <c:pt idx="2">
                  <c:v>3646.3334862920069</c:v>
                </c:pt>
                <c:pt idx="3">
                  <c:v>3403.9516425538109</c:v>
                </c:pt>
                <c:pt idx="4">
                  <c:v>3165.8599574497807</c:v>
                </c:pt>
                <c:pt idx="5">
                  <c:v>2931.9824951720921</c:v>
                </c:pt>
                <c:pt idx="6">
                  <c:v>2702.2446639767186</c:v>
                </c:pt>
                <c:pt idx="7">
                  <c:v>2476.5731923935032</c:v>
                </c:pt>
                <c:pt idx="8">
                  <c:v>2254.8961058573109</c:v>
                </c:pt>
                <c:pt idx="9">
                  <c:v>2037.1427037528085</c:v>
                </c:pt>
                <c:pt idx="10">
                  <c:v>1823.2435368655561</c:v>
                </c:pt>
                <c:pt idx="11">
                  <c:v>1613.130385232208</c:v>
                </c:pt>
                <c:pt idx="12">
                  <c:v>1406.7362363827701</c:v>
                </c:pt>
                <c:pt idx="13">
                  <c:v>1203.9952639679673</c:v>
                </c:pt>
                <c:pt idx="14">
                  <c:v>1004.8428067649065</c:v>
                </c:pt>
                <c:pt idx="15">
                  <c:v>809.21534805433998</c:v>
                </c:pt>
                <c:pt idx="16">
                  <c:v>617.05049536295041</c:v>
                </c:pt>
                <c:pt idx="17">
                  <c:v>428.28696056419847</c:v>
                </c:pt>
                <c:pt idx="18">
                  <c:v>242.86454033138446</c:v>
                </c:pt>
                <c:pt idx="19">
                  <c:v>60.72409693669124</c:v>
                </c:pt>
                <c:pt idx="20">
                  <c:v>-118.1924606099159</c:v>
                </c:pt>
                <c:pt idx="21">
                  <c:v>-293.94219508794811</c:v>
                </c:pt>
                <c:pt idx="22">
                  <c:v>-466.58115926571918</c:v>
                </c:pt>
                <c:pt idx="23">
                  <c:v>-636.1644137775437</c:v>
                </c:pt>
                <c:pt idx="24">
                  <c:v>-802.74604468450889</c:v>
                </c:pt>
                <c:pt idx="25">
                  <c:v>-966.37918072442085</c:v>
                </c:pt>
                <c:pt idx="26">
                  <c:v>-1127.1160102564263</c:v>
                </c:pt>
                <c:pt idx="27">
                  <c:v>-1285.0077979057153</c:v>
                </c:pt>
                <c:pt idx="28">
                  <c:v>-1440.1049009136118</c:v>
                </c:pt>
                <c:pt idx="29">
                  <c:v>-1592.4567851982686</c:v>
                </c:pt>
                <c:pt idx="30">
                  <c:v>-1742.1120411310869</c:v>
                </c:pt>
                <c:pt idx="31">
                  <c:v>-1889.1183990338943</c:v>
                </c:pt>
                <c:pt idx="32">
                  <c:v>-2033.5227444018221</c:v>
                </c:pt>
                <c:pt idx="33">
                  <c:v>-2175.3711328567374</c:v>
                </c:pt>
                <c:pt idx="34">
                  <c:v>-2314.7088048360006</c:v>
                </c:pt>
                <c:pt idx="35">
                  <c:v>-2451.5802000212307</c:v>
                </c:pt>
              </c:numCache>
            </c:numRef>
          </c:yVal>
          <c:smooth val="1"/>
          <c:extLst>
            <c:ext xmlns:c16="http://schemas.microsoft.com/office/drawing/2014/chart" uri="{C3380CC4-5D6E-409C-BE32-E72D297353CC}">
              <c16:uniqueId val="{00000000-E68F-4B41-B502-F016F7C69151}"/>
            </c:ext>
          </c:extLst>
        </c:ser>
        <c:ser>
          <c:idx val="2"/>
          <c:order val="1"/>
          <c:tx>
            <c:strRef>
              <c:f>'workshop 2'!$N$268</c:f>
              <c:strCache>
                <c:ptCount val="1"/>
                <c:pt idx="0">
                  <c:v>ending balance W EARLY PAYMENT</c:v>
                </c:pt>
              </c:strCache>
            </c:strRef>
          </c:tx>
          <c:spPr>
            <a:ln w="22225" cap="rnd">
              <a:solidFill>
                <a:schemeClr val="accent2">
                  <a:lumMod val="40000"/>
                  <a:lumOff val="60000"/>
                </a:schemeClr>
              </a:solidFill>
            </a:ln>
            <a:effectLst>
              <a:glow rad="139700">
                <a:schemeClr val="accent3">
                  <a:satMod val="175000"/>
                  <a:alpha val="14000"/>
                </a:schemeClr>
              </a:glow>
            </a:effectLst>
          </c:spPr>
          <c:marker>
            <c:symbol val="none"/>
          </c:marker>
          <c:yVal>
            <c:numRef>
              <c:f>'workshop 2'!$N$269:$N$304</c:f>
              <c:numCache>
                <c:formatCode>General</c:formatCode>
                <c:ptCount val="36"/>
                <c:pt idx="0">
                  <c:v>4114.2782589691724</c:v>
                </c:pt>
                <c:pt idx="1">
                  <c:v>3833.6137927545906</c:v>
                </c:pt>
                <c:pt idx="2">
                  <c:v>3557.9170875920067</c:v>
                </c:pt>
                <c:pt idx="3">
                  <c:v>3287.1002141108006</c:v>
                </c:pt>
                <c:pt idx="4">
                  <c:v>3021.076799290212</c:v>
                </c:pt>
                <c:pt idx="5">
                  <c:v>2759.7619989119476</c:v>
                </c:pt>
                <c:pt idx="6">
                  <c:v>2503.0724705003786</c:v>
                </c:pt>
                <c:pt idx="7">
                  <c:v>2250.9263467416945</c:v>
                </c:pt>
                <c:pt idx="8">
                  <c:v>2003.2432093735385</c:v>
                </c:pt>
                <c:pt idx="9">
                  <c:v>1759.9440635367991</c:v>
                </c:pt>
                <c:pt idx="10">
                  <c:v>1520.9513125813701</c:v>
                </c:pt>
                <c:pt idx="11">
                  <c:v>1286.188733317852</c:v>
                </c:pt>
                <c:pt idx="12">
                  <c:v>1055.5814517072984</c:v>
                </c:pt>
                <c:pt idx="13">
                  <c:v>829.05591898125135</c:v>
                </c:pt>
                <c:pt idx="14">
                  <c:v>606.53988818445544</c:v>
                </c:pt>
                <c:pt idx="15">
                  <c:v>387.96239113276283</c:v>
                </c:pt>
                <c:pt idx="16">
                  <c:v>173.25371577888521</c:v>
                </c:pt>
                <c:pt idx="17">
                  <c:v>-37.654616021228776</c:v>
                </c:pt>
                <c:pt idx="18">
                  <c:v>-244.82987034848074</c:v>
                </c:pt>
                <c:pt idx="19">
                  <c:v>-448.33812267414032</c:v>
                </c:pt>
                <c:pt idx="20">
                  <c:v>-648.24427893363577</c:v>
                </c:pt>
                <c:pt idx="21">
                  <c:v>-844.61209622733816</c:v>
                </c:pt>
                <c:pt idx="22">
                  <c:v>-1037.5042031549419</c:v>
                </c:pt>
                <c:pt idx="23">
                  <c:v>-1226.9821197899271</c:v>
                </c:pt>
                <c:pt idx="24">
                  <c:v>-1413.106277300473</c:v>
                </c:pt>
                <c:pt idx="25">
                  <c:v>-1595.9360372230824</c:v>
                </c:pt>
                <c:pt idx="26">
                  <c:v>-1775.5297103950616</c:v>
                </c:pt>
                <c:pt idx="27">
                  <c:v>-1951.9445755518966</c:v>
                </c:pt>
                <c:pt idx="28">
                  <c:v>-2125.2368975954555</c:v>
                </c:pt>
                <c:pt idx="29">
                  <c:v>-2295.4619455388433</c:v>
                </c:pt>
                <c:pt idx="30">
                  <c:v>-2462.6740101336331</c:v>
                </c:pt>
                <c:pt idx="31">
                  <c:v>-2626.9264211850955</c:v>
                </c:pt>
                <c:pt idx="32">
                  <c:v>-2788.2715645609469</c:v>
                </c:pt>
                <c:pt idx="33">
                  <c:v>-2946.7608988990455</c:v>
                </c:pt>
                <c:pt idx="34">
                  <c:v>-3102.4449720193597</c:v>
                </c:pt>
                <c:pt idx="35">
                  <c:v>-3255.3734370454445</c:v>
                </c:pt>
              </c:numCache>
            </c:numRef>
          </c:yVal>
          <c:smooth val="1"/>
          <c:extLst>
            <c:ext xmlns:c16="http://schemas.microsoft.com/office/drawing/2014/chart" uri="{C3380CC4-5D6E-409C-BE32-E72D297353CC}">
              <c16:uniqueId val="{00000002-E68F-4B41-B502-F016F7C69151}"/>
            </c:ext>
          </c:extLst>
        </c:ser>
        <c:dLbls>
          <c:showLegendKey val="0"/>
          <c:showVal val="0"/>
          <c:showCatName val="0"/>
          <c:showSerName val="0"/>
          <c:showPercent val="0"/>
          <c:showBubbleSize val="0"/>
        </c:dLbls>
        <c:axId val="163352752"/>
        <c:axId val="2047489360"/>
      </c:scatterChart>
      <c:valAx>
        <c:axId val="163352752"/>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47489360"/>
        <c:crosses val="autoZero"/>
        <c:crossBetween val="midCat"/>
      </c:valAx>
      <c:valAx>
        <c:axId val="204748936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33527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C$3" horiz="1" inc="2" max="100" page="11" val="7"/>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11</xdr:col>
      <xdr:colOff>83820</xdr:colOff>
      <xdr:row>5</xdr:row>
      <xdr:rowOff>34290</xdr:rowOff>
    </xdr:from>
    <xdr:to>
      <xdr:col>19</xdr:col>
      <xdr:colOff>289560</xdr:colOff>
      <xdr:row>25</xdr:row>
      <xdr:rowOff>160020</xdr:rowOff>
    </xdr:to>
    <xdr:graphicFrame macro="">
      <xdr:nvGraphicFramePr>
        <xdr:cNvPr id="2" name="Chart 1">
          <a:extLst>
            <a:ext uri="{FF2B5EF4-FFF2-40B4-BE49-F238E27FC236}">
              <a16:creationId xmlns:a16="http://schemas.microsoft.com/office/drawing/2014/main" id="{80203F9E-A1E8-5448-3207-97F9A63321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312420</xdr:colOff>
          <xdr:row>0</xdr:row>
          <xdr:rowOff>114300</xdr:rowOff>
        </xdr:from>
        <xdr:to>
          <xdr:col>15</xdr:col>
          <xdr:colOff>129540</xdr:colOff>
          <xdr:row>2</xdr:row>
          <xdr:rowOff>114300</xdr:rowOff>
        </xdr:to>
        <xdr:sp macro="" textlink="">
          <xdr:nvSpPr>
            <xdr:cNvPr id="12293" name="Scroll Bar 5" hidden="1">
              <a:extLst>
                <a:ext uri="{63B3BB69-23CF-44E3-9099-C40C66FF867C}">
                  <a14:compatExt spid="_x0000_s12293"/>
                </a:ext>
                <a:ext uri="{FF2B5EF4-FFF2-40B4-BE49-F238E27FC236}">
                  <a16:creationId xmlns:a16="http://schemas.microsoft.com/office/drawing/2014/main" id="{00000000-0008-0000-0000-000005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518160</xdr:colOff>
      <xdr:row>10</xdr:row>
      <xdr:rowOff>114301</xdr:rowOff>
    </xdr:from>
    <xdr:to>
      <xdr:col>5</xdr:col>
      <xdr:colOff>252440</xdr:colOff>
      <xdr:row>28</xdr:row>
      <xdr:rowOff>68581</xdr:rowOff>
    </xdr:to>
    <xdr:pic>
      <xdr:nvPicPr>
        <xdr:cNvPr id="2" name="Picture 1">
          <a:extLst>
            <a:ext uri="{FF2B5EF4-FFF2-40B4-BE49-F238E27FC236}">
              <a16:creationId xmlns:a16="http://schemas.microsoft.com/office/drawing/2014/main" id="{8869AE40-5470-6D9D-5E26-6B246AAE5492}"/>
            </a:ext>
          </a:extLst>
        </xdr:cNvPr>
        <xdr:cNvPicPr>
          <a:picLocks noChangeAspect="1"/>
        </xdr:cNvPicPr>
      </xdr:nvPicPr>
      <xdr:blipFill>
        <a:blip xmlns:r="http://schemas.openxmlformats.org/officeDocument/2006/relationships" r:embed="rId1"/>
        <a:stretch>
          <a:fillRect/>
        </a:stretch>
      </xdr:blipFill>
      <xdr:spPr>
        <a:xfrm>
          <a:off x="518160" y="662941"/>
          <a:ext cx="4438572" cy="3246120"/>
        </a:xfrm>
        <a:prstGeom prst="rect">
          <a:avLst/>
        </a:prstGeom>
      </xdr:spPr>
    </xdr:pic>
    <xdr:clientData/>
  </xdr:twoCellAnchor>
  <xdr:twoCellAnchor editAs="oneCell">
    <xdr:from>
      <xdr:col>8</xdr:col>
      <xdr:colOff>147125</xdr:colOff>
      <xdr:row>7</xdr:row>
      <xdr:rowOff>93784</xdr:rowOff>
    </xdr:from>
    <xdr:to>
      <xdr:col>12</xdr:col>
      <xdr:colOff>705191</xdr:colOff>
      <xdr:row>30</xdr:row>
      <xdr:rowOff>17942</xdr:rowOff>
    </xdr:to>
    <xdr:pic>
      <xdr:nvPicPr>
        <xdr:cNvPr id="4" name="Picture 3">
          <a:extLst>
            <a:ext uri="{FF2B5EF4-FFF2-40B4-BE49-F238E27FC236}">
              <a16:creationId xmlns:a16="http://schemas.microsoft.com/office/drawing/2014/main" id="{3FAA60D8-3C01-D13A-04DF-54DB67312D15}"/>
            </a:ext>
          </a:extLst>
        </xdr:cNvPr>
        <xdr:cNvPicPr>
          <a:picLocks noChangeAspect="1"/>
        </xdr:cNvPicPr>
      </xdr:nvPicPr>
      <xdr:blipFill>
        <a:blip xmlns:r="http://schemas.openxmlformats.org/officeDocument/2006/relationships" r:embed="rId2"/>
        <a:stretch>
          <a:fillRect/>
        </a:stretch>
      </xdr:blipFill>
      <xdr:spPr>
        <a:xfrm>
          <a:off x="6202094" y="93784"/>
          <a:ext cx="5071842" cy="4103435"/>
        </a:xfrm>
        <a:prstGeom prst="rect">
          <a:avLst/>
        </a:prstGeom>
      </xdr:spPr>
    </xdr:pic>
    <xdr:clientData/>
  </xdr:twoCellAnchor>
  <xdr:twoCellAnchor>
    <xdr:from>
      <xdr:col>2</xdr:col>
      <xdr:colOff>8792</xdr:colOff>
      <xdr:row>87</xdr:row>
      <xdr:rowOff>137747</xdr:rowOff>
    </xdr:from>
    <xdr:to>
      <xdr:col>7</xdr:col>
      <xdr:colOff>454269</xdr:colOff>
      <xdr:row>102</xdr:row>
      <xdr:rowOff>155331</xdr:rowOff>
    </xdr:to>
    <xdr:graphicFrame macro="">
      <xdr:nvGraphicFramePr>
        <xdr:cNvPr id="7" name="Chart 6">
          <a:extLst>
            <a:ext uri="{FF2B5EF4-FFF2-40B4-BE49-F238E27FC236}">
              <a16:creationId xmlns:a16="http://schemas.microsoft.com/office/drawing/2014/main" id="{87761DE4-4966-F91F-EBAF-DA6EBCEC6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76200</xdr:colOff>
      <xdr:row>10</xdr:row>
      <xdr:rowOff>101600</xdr:rowOff>
    </xdr:from>
    <xdr:to>
      <xdr:col>20</xdr:col>
      <xdr:colOff>726003</xdr:colOff>
      <xdr:row>22</xdr:row>
      <xdr:rowOff>94169</xdr:rowOff>
    </xdr:to>
    <xdr:pic>
      <xdr:nvPicPr>
        <xdr:cNvPr id="8" name="Picture 7">
          <a:extLst>
            <a:ext uri="{FF2B5EF4-FFF2-40B4-BE49-F238E27FC236}">
              <a16:creationId xmlns:a16="http://schemas.microsoft.com/office/drawing/2014/main" id="{341485CC-DA37-4085-9A8A-81F3168AA320}"/>
            </a:ext>
          </a:extLst>
        </xdr:cNvPr>
        <xdr:cNvPicPr>
          <a:picLocks noChangeAspect="1"/>
        </xdr:cNvPicPr>
      </xdr:nvPicPr>
      <xdr:blipFill>
        <a:blip xmlns:r="http://schemas.openxmlformats.org/officeDocument/2006/relationships" r:embed="rId4"/>
        <a:stretch>
          <a:fillRect/>
        </a:stretch>
      </xdr:blipFill>
      <xdr:spPr>
        <a:xfrm>
          <a:off x="11421533" y="660400"/>
          <a:ext cx="4739203" cy="2227769"/>
        </a:xfrm>
        <a:prstGeom prst="rect">
          <a:avLst/>
        </a:prstGeom>
      </xdr:spPr>
    </xdr:pic>
    <xdr:clientData/>
  </xdr:twoCellAnchor>
  <xdr:twoCellAnchor>
    <xdr:from>
      <xdr:col>2</xdr:col>
      <xdr:colOff>297180</xdr:colOff>
      <xdr:row>306</xdr:row>
      <xdr:rowOff>19050</xdr:rowOff>
    </xdr:from>
    <xdr:to>
      <xdr:col>6</xdr:col>
      <xdr:colOff>769620</xdr:colOff>
      <xdr:row>321</xdr:row>
      <xdr:rowOff>19050</xdr:rowOff>
    </xdr:to>
    <xdr:graphicFrame macro="">
      <xdr:nvGraphicFramePr>
        <xdr:cNvPr id="9" name="Chart 8">
          <a:extLst>
            <a:ext uri="{FF2B5EF4-FFF2-40B4-BE49-F238E27FC236}">
              <a16:creationId xmlns:a16="http://schemas.microsoft.com/office/drawing/2014/main" id="{412BDEC2-58E9-A5E1-A551-0EB76535D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1676400</xdr:colOff>
      <xdr:row>306</xdr:row>
      <xdr:rowOff>26670</xdr:rowOff>
    </xdr:from>
    <xdr:to>
      <xdr:col>11</xdr:col>
      <xdr:colOff>601980</xdr:colOff>
      <xdr:row>321</xdr:row>
      <xdr:rowOff>26670</xdr:rowOff>
    </xdr:to>
    <xdr:graphicFrame macro="">
      <xdr:nvGraphicFramePr>
        <xdr:cNvPr id="11" name="Chart 10">
          <a:extLst>
            <a:ext uri="{FF2B5EF4-FFF2-40B4-BE49-F238E27FC236}">
              <a16:creationId xmlns:a16="http://schemas.microsoft.com/office/drawing/2014/main" id="{A388152A-EAD8-14F3-B416-A5267F610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57AF-4CDC-4ABA-818A-78905BA2BEF1}">
  <dimension ref="A1:Q100"/>
  <sheetViews>
    <sheetView tabSelected="1" zoomScale="91" zoomScaleNormal="90" workbookViewId="0">
      <selection activeCell="C4" sqref="C4"/>
    </sheetView>
  </sheetViews>
  <sheetFormatPr defaultRowHeight="14.4" x14ac:dyDescent="0.3"/>
  <cols>
    <col min="3" max="3" width="9.88671875" bestFit="1" customWidth="1"/>
    <col min="4" max="5" width="12" bestFit="1" customWidth="1"/>
    <col min="6" max="7" width="15.109375" bestFit="1" customWidth="1"/>
    <col min="8" max="8" width="0" hidden="1" customWidth="1"/>
    <col min="9" max="9" width="12.33203125" bestFit="1" customWidth="1"/>
    <col min="13" max="13" width="10.88671875" bestFit="1" customWidth="1"/>
    <col min="16" max="16" width="10.21875" bestFit="1" customWidth="1"/>
    <col min="17" max="17" width="19.109375" bestFit="1" customWidth="1"/>
  </cols>
  <sheetData>
    <row r="1" spans="1:16" s="95" customFormat="1" ht="28.2" customHeight="1" x14ac:dyDescent="0.3">
      <c r="A1" s="100" t="s">
        <v>173</v>
      </c>
      <c r="B1" s="99"/>
      <c r="C1" s="99"/>
      <c r="D1" s="99"/>
      <c r="E1" s="99"/>
      <c r="F1" s="99"/>
      <c r="G1" s="99"/>
      <c r="H1" s="99"/>
      <c r="I1" s="99"/>
      <c r="J1" s="99"/>
      <c r="K1" s="96"/>
      <c r="L1" s="97"/>
      <c r="M1" s="97"/>
      <c r="N1" s="97"/>
      <c r="O1" s="97"/>
      <c r="P1" s="98"/>
    </row>
    <row r="2" spans="1:16" x14ac:dyDescent="0.3">
      <c r="K2" s="90"/>
      <c r="L2" s="56"/>
      <c r="M2" s="56"/>
      <c r="N2" s="56"/>
      <c r="O2" s="56"/>
      <c r="P2" s="91"/>
    </row>
    <row r="3" spans="1:16" x14ac:dyDescent="0.3">
      <c r="B3" s="5">
        <f>C3/100</f>
        <v>7.3399999999999993E-2</v>
      </c>
      <c r="C3" s="89">
        <v>7.34</v>
      </c>
      <c r="K3" s="92"/>
      <c r="L3" s="93"/>
      <c r="M3" s="93"/>
      <c r="N3" s="93"/>
      <c r="O3" s="93"/>
      <c r="P3" s="94"/>
    </row>
    <row r="4" spans="1:16" x14ac:dyDescent="0.3">
      <c r="B4" s="1" t="s">
        <v>9</v>
      </c>
      <c r="C4" s="1" t="s">
        <v>2</v>
      </c>
      <c r="D4" s="1" t="s">
        <v>8</v>
      </c>
      <c r="E4" s="1" t="s">
        <v>99</v>
      </c>
      <c r="F4" s="1" t="s">
        <v>100</v>
      </c>
      <c r="G4" s="1" t="s">
        <v>154</v>
      </c>
      <c r="H4" s="1"/>
      <c r="I4" s="1" t="s">
        <v>8</v>
      </c>
      <c r="J4" s="1" t="s">
        <v>5</v>
      </c>
    </row>
    <row r="6" spans="1:16" x14ac:dyDescent="0.3">
      <c r="B6">
        <v>1</v>
      </c>
      <c r="C6">
        <v>22.5</v>
      </c>
      <c r="D6">
        <f>C6/(1+$B$3/2)^B6</f>
        <v>21.703482203144596</v>
      </c>
      <c r="E6">
        <f>D6*B6</f>
        <v>21.703482203144596</v>
      </c>
      <c r="F6">
        <f>E6/(1+$B$3/2)</f>
        <v>20.935161766320629</v>
      </c>
      <c r="G6">
        <f>B6*(B6+1)*C6</f>
        <v>45</v>
      </c>
      <c r="I6">
        <f>1/(1+($B$3/2))^(B6+2)</f>
        <v>0.89751291025243052</v>
      </c>
      <c r="J6">
        <f>I6*G6</f>
        <v>40.388080961359371</v>
      </c>
    </row>
    <row r="7" spans="1:16" x14ac:dyDescent="0.3">
      <c r="B7">
        <v>2</v>
      </c>
      <c r="C7">
        <v>22.5</v>
      </c>
      <c r="D7">
        <f t="shared" ref="D7:D44" si="0">C7/(1+$B$3/2)^B7</f>
        <v>20.935161766320629</v>
      </c>
      <c r="E7">
        <f t="shared" ref="E7:E44" si="1">D7*B7</f>
        <v>41.870323532641258</v>
      </c>
      <c r="F7">
        <f t="shared" ref="F7:F44" si="2">E7/(1+$B$3/2)</f>
        <v>40.388080961359371</v>
      </c>
      <c r="G7">
        <f t="shared" ref="G7:G44" si="3">B7*(B7+1)*C7</f>
        <v>135</v>
      </c>
      <c r="I7">
        <f t="shared" ref="I7:I44" si="4">1/(1+($B$3/2))^(B7+2)</f>
        <v>0.86574024332249488</v>
      </c>
      <c r="J7">
        <f>I7*G7</f>
        <v>116.87493284853682</v>
      </c>
    </row>
    <row r="8" spans="1:16" x14ac:dyDescent="0.3">
      <c r="B8">
        <v>3</v>
      </c>
      <c r="C8">
        <v>22.5</v>
      </c>
      <c r="D8">
        <f t="shared" si="0"/>
        <v>20.194040480679686</v>
      </c>
      <c r="E8">
        <f t="shared" si="1"/>
        <v>60.582121442039053</v>
      </c>
      <c r="F8">
        <f t="shared" si="2"/>
        <v>58.437466424268408</v>
      </c>
      <c r="G8">
        <f t="shared" si="3"/>
        <v>270</v>
      </c>
      <c r="I8">
        <f t="shared" si="4"/>
        <v>0.8350923539331484</v>
      </c>
      <c r="J8">
        <f t="shared" ref="J8:J44" si="5">I8*G8</f>
        <v>225.47493556195008</v>
      </c>
    </row>
    <row r="9" spans="1:16" x14ac:dyDescent="0.3">
      <c r="B9">
        <v>4</v>
      </c>
      <c r="C9">
        <v>22.5</v>
      </c>
      <c r="D9">
        <f t="shared" si="0"/>
        <v>19.479155474756134</v>
      </c>
      <c r="E9">
        <f t="shared" si="1"/>
        <v>77.916621899024534</v>
      </c>
      <c r="F9">
        <f t="shared" si="2"/>
        <v>75.158311853983349</v>
      </c>
      <c r="G9">
        <f t="shared" si="3"/>
        <v>450</v>
      </c>
      <c r="I9">
        <f t="shared" si="4"/>
        <v>0.80552942406978734</v>
      </c>
      <c r="J9">
        <f t="shared" si="5"/>
        <v>362.48824083140431</v>
      </c>
    </row>
    <row r="10" spans="1:16" x14ac:dyDescent="0.3">
      <c r="B10">
        <v>5</v>
      </c>
      <c r="C10">
        <v>22.5</v>
      </c>
      <c r="D10">
        <f t="shared" si="0"/>
        <v>18.789577963495841</v>
      </c>
      <c r="E10">
        <f t="shared" si="1"/>
        <v>93.947889817479208</v>
      </c>
      <c r="F10">
        <f t="shared" si="2"/>
        <v>90.622060207851078</v>
      </c>
      <c r="G10">
        <f t="shared" si="3"/>
        <v>675</v>
      </c>
      <c r="I10">
        <f t="shared" si="4"/>
        <v>0.77701304530701976</v>
      </c>
      <c r="J10">
        <f t="shared" si="5"/>
        <v>524.48380558223835</v>
      </c>
    </row>
    <row r="11" spans="1:16" x14ac:dyDescent="0.3">
      <c r="B11">
        <v>6</v>
      </c>
      <c r="C11">
        <v>22.5</v>
      </c>
      <c r="D11">
        <f t="shared" si="0"/>
        <v>18.124412041570213</v>
      </c>
      <c r="E11">
        <f t="shared" si="1"/>
        <v>108.74647224942129</v>
      </c>
      <c r="F11">
        <f t="shared" si="2"/>
        <v>104.89676111644766</v>
      </c>
      <c r="G11">
        <f t="shared" si="3"/>
        <v>945</v>
      </c>
      <c r="I11">
        <f t="shared" si="4"/>
        <v>0.74950616890809263</v>
      </c>
      <c r="J11">
        <f t="shared" si="5"/>
        <v>708.28332961814749</v>
      </c>
    </row>
    <row r="12" spans="1:16" x14ac:dyDescent="0.3">
      <c r="B12">
        <v>7</v>
      </c>
      <c r="C12">
        <v>22.5</v>
      </c>
      <c r="D12">
        <f t="shared" si="0"/>
        <v>17.482793519407945</v>
      </c>
      <c r="E12">
        <f t="shared" si="1"/>
        <v>122.37955463585561</v>
      </c>
      <c r="F12">
        <f t="shared" si="2"/>
        <v>118.04722160302461</v>
      </c>
      <c r="G12">
        <f t="shared" si="3"/>
        <v>1260</v>
      </c>
      <c r="I12">
        <f t="shared" si="4"/>
        <v>0.72297305769083897</v>
      </c>
      <c r="J12">
        <f t="shared" si="5"/>
        <v>910.94605269045712</v>
      </c>
    </row>
    <row r="13" spans="1:16" x14ac:dyDescent="0.3">
      <c r="B13">
        <v>8</v>
      </c>
      <c r="C13">
        <v>22.5</v>
      </c>
      <c r="D13">
        <f t="shared" si="0"/>
        <v>16.863888800432086</v>
      </c>
      <c r="E13">
        <f t="shared" si="1"/>
        <v>134.91111040345669</v>
      </c>
      <c r="F13">
        <f t="shared" si="2"/>
        <v>130.13515038435102</v>
      </c>
      <c r="G13">
        <f t="shared" si="3"/>
        <v>1620</v>
      </c>
      <c r="I13">
        <f t="shared" si="4"/>
        <v>0.69737923959760684</v>
      </c>
      <c r="J13">
        <f t="shared" si="5"/>
        <v>1129.7543681481231</v>
      </c>
    </row>
    <row r="14" spans="1:16" x14ac:dyDescent="0.3">
      <c r="B14">
        <v>9</v>
      </c>
      <c r="C14">
        <v>22.5</v>
      </c>
      <c r="D14">
        <f t="shared" si="0"/>
        <v>16.266893798043878</v>
      </c>
      <c r="E14">
        <f t="shared" si="1"/>
        <v>146.40204418239489</v>
      </c>
      <c r="F14">
        <f t="shared" si="2"/>
        <v>141.21929601851539</v>
      </c>
      <c r="G14">
        <f t="shared" si="3"/>
        <v>2025</v>
      </c>
      <c r="I14">
        <f t="shared" si="4"/>
        <v>0.67269146290885207</v>
      </c>
      <c r="J14">
        <f t="shared" si="5"/>
        <v>1362.2002123904253</v>
      </c>
    </row>
    <row r="15" spans="1:16" x14ac:dyDescent="0.3">
      <c r="B15">
        <v>10</v>
      </c>
      <c r="C15">
        <v>22.5</v>
      </c>
      <c r="D15">
        <f t="shared" si="0"/>
        <v>15.691032890946152</v>
      </c>
      <c r="E15">
        <f t="shared" si="1"/>
        <v>156.91032890946153</v>
      </c>
      <c r="F15">
        <f t="shared" si="2"/>
        <v>151.35557915449169</v>
      </c>
      <c r="G15">
        <f t="shared" si="3"/>
        <v>2475</v>
      </c>
      <c r="I15">
        <f t="shared" si="4"/>
        <v>0.64887765304220313</v>
      </c>
      <c r="J15">
        <f t="shared" si="5"/>
        <v>1605.9721912794528</v>
      </c>
    </row>
    <row r="16" spans="1:16" x14ac:dyDescent="0.3">
      <c r="B16">
        <v>11</v>
      </c>
      <c r="C16">
        <v>22.5</v>
      </c>
      <c r="D16">
        <f t="shared" si="0"/>
        <v>15.135557915449171</v>
      </c>
      <c r="E16">
        <f t="shared" si="1"/>
        <v>166.49113706994089</v>
      </c>
      <c r="F16">
        <f t="shared" si="2"/>
        <v>160.59721912794529</v>
      </c>
      <c r="G16">
        <f t="shared" si="3"/>
        <v>2970</v>
      </c>
      <c r="I16">
        <f t="shared" si="4"/>
        <v>0.62590687088087504</v>
      </c>
      <c r="J16">
        <f t="shared" si="5"/>
        <v>1858.9434065161988</v>
      </c>
    </row>
    <row r="17" spans="2:10" x14ac:dyDescent="0.3">
      <c r="B17">
        <v>12</v>
      </c>
      <c r="C17">
        <v>22.5</v>
      </c>
      <c r="D17">
        <f t="shared" si="0"/>
        <v>14.59974719344957</v>
      </c>
      <c r="E17">
        <f t="shared" si="1"/>
        <v>175.19696632139483</v>
      </c>
      <c r="F17">
        <f t="shared" si="2"/>
        <v>168.99485513783625</v>
      </c>
      <c r="G17">
        <f t="shared" si="3"/>
        <v>3510</v>
      </c>
      <c r="I17">
        <f t="shared" si="4"/>
        <v>0.60374927257728861</v>
      </c>
      <c r="J17">
        <f t="shared" si="5"/>
        <v>2119.1599467462829</v>
      </c>
    </row>
    <row r="18" spans="2:10" x14ac:dyDescent="0.3">
      <c r="B18">
        <v>13</v>
      </c>
      <c r="C18">
        <v>22.5</v>
      </c>
      <c r="D18">
        <f t="shared" si="0"/>
        <v>14.082904594819688</v>
      </c>
      <c r="E18">
        <f t="shared" si="1"/>
        <v>183.07775973265595</v>
      </c>
      <c r="F18">
        <f t="shared" si="2"/>
        <v>176.5966622288569</v>
      </c>
      <c r="G18">
        <f t="shared" si="3"/>
        <v>4095</v>
      </c>
      <c r="I18">
        <f t="shared" si="4"/>
        <v>0.58237607077967457</v>
      </c>
      <c r="J18">
        <f t="shared" si="5"/>
        <v>2384.8300098427671</v>
      </c>
    </row>
    <row r="19" spans="2:10" x14ac:dyDescent="0.3">
      <c r="B19">
        <v>14</v>
      </c>
      <c r="C19">
        <v>22.5</v>
      </c>
      <c r="D19">
        <f t="shared" si="0"/>
        <v>13.584358632988993</v>
      </c>
      <c r="E19">
        <f t="shared" si="1"/>
        <v>190.18102086184589</v>
      </c>
      <c r="F19">
        <f t="shared" si="2"/>
        <v>183.44846229559747</v>
      </c>
      <c r="G19">
        <f t="shared" si="3"/>
        <v>4725</v>
      </c>
      <c r="I19">
        <f t="shared" si="4"/>
        <v>0.56175949723128638</v>
      </c>
      <c r="J19">
        <f t="shared" si="5"/>
        <v>2654.3136244178281</v>
      </c>
    </row>
    <row r="20" spans="2:10" x14ac:dyDescent="0.3">
      <c r="B20">
        <v>15</v>
      </c>
      <c r="C20">
        <v>22.5</v>
      </c>
      <c r="D20">
        <f t="shared" si="0"/>
        <v>13.103461592542679</v>
      </c>
      <c r="E20">
        <f t="shared" si="1"/>
        <v>196.55192388814018</v>
      </c>
      <c r="F20">
        <f t="shared" si="2"/>
        <v>189.59383031555916</v>
      </c>
      <c r="G20">
        <f t="shared" si="3"/>
        <v>5400</v>
      </c>
      <c r="I20">
        <f t="shared" si="4"/>
        <v>0.54187276669363016</v>
      </c>
      <c r="J20">
        <f t="shared" si="5"/>
        <v>2926.1129401456028</v>
      </c>
    </row>
    <row r="21" spans="2:10" x14ac:dyDescent="0.3">
      <c r="B21">
        <v>16</v>
      </c>
      <c r="C21">
        <v>22.5</v>
      </c>
      <c r="D21">
        <f t="shared" si="0"/>
        <v>12.639588687703943</v>
      </c>
      <c r="E21">
        <f t="shared" si="1"/>
        <v>202.23341900326309</v>
      </c>
      <c r="F21">
        <f t="shared" si="2"/>
        <v>195.07419600970687</v>
      </c>
      <c r="G21">
        <f t="shared" si="3"/>
        <v>6120</v>
      </c>
      <c r="I21">
        <f t="shared" si="4"/>
        <v>0.52269004214684112</v>
      </c>
      <c r="J21">
        <f t="shared" si="5"/>
        <v>3198.8630579386677</v>
      </c>
    </row>
    <row r="22" spans="2:10" x14ac:dyDescent="0.3">
      <c r="B22">
        <v>17</v>
      </c>
      <c r="C22">
        <v>22.5</v>
      </c>
      <c r="D22">
        <f t="shared" si="0"/>
        <v>12.192137250606677</v>
      </c>
      <c r="E22">
        <f t="shared" si="1"/>
        <v>207.2663332603135</v>
      </c>
      <c r="F22">
        <f t="shared" si="2"/>
        <v>199.9289411211667</v>
      </c>
      <c r="G22">
        <f t="shared" si="3"/>
        <v>6885</v>
      </c>
      <c r="I22">
        <f t="shared" si="4"/>
        <v>0.50418640122199399</v>
      </c>
      <c r="J22">
        <f t="shared" si="5"/>
        <v>3471.3233724134284</v>
      </c>
    </row>
    <row r="23" spans="2:10" x14ac:dyDescent="0.3">
      <c r="B23">
        <v>18</v>
      </c>
      <c r="C23">
        <v>22.5</v>
      </c>
      <c r="D23">
        <f t="shared" si="0"/>
        <v>11.760525948303924</v>
      </c>
      <c r="E23">
        <f t="shared" si="1"/>
        <v>211.68946706947062</v>
      </c>
      <c r="F23">
        <f t="shared" si="2"/>
        <v>204.19549249490754</v>
      </c>
      <c r="G23">
        <f t="shared" si="3"/>
        <v>7695</v>
      </c>
      <c r="I23">
        <f t="shared" si="4"/>
        <v>0.48633780382173619</v>
      </c>
      <c r="J23">
        <f t="shared" si="5"/>
        <v>3742.3694004082599</v>
      </c>
    </row>
    <row r="24" spans="2:10" x14ac:dyDescent="0.3">
      <c r="B24">
        <v>19</v>
      </c>
      <c r="C24">
        <v>22.5</v>
      </c>
      <c r="D24">
        <f t="shared" si="0"/>
        <v>11.344194027494865</v>
      </c>
      <c r="E24">
        <f t="shared" si="1"/>
        <v>215.53968652240243</v>
      </c>
      <c r="F24">
        <f t="shared" si="2"/>
        <v>207.90941113379228</v>
      </c>
      <c r="G24">
        <f t="shared" si="3"/>
        <v>8550</v>
      </c>
      <c r="I24">
        <f t="shared" si="4"/>
        <v>0.46912106088717692</v>
      </c>
      <c r="J24">
        <f t="shared" si="5"/>
        <v>4010.9850705853628</v>
      </c>
    </row>
    <row r="25" spans="2:10" x14ac:dyDescent="0.3">
      <c r="B25">
        <v>20</v>
      </c>
      <c r="C25">
        <v>22.5</v>
      </c>
      <c r="D25">
        <f t="shared" si="0"/>
        <v>10.942600585989064</v>
      </c>
      <c r="E25">
        <f t="shared" si="1"/>
        <v>218.85201171978127</v>
      </c>
      <c r="F25">
        <f t="shared" si="2"/>
        <v>211.10447739922955</v>
      </c>
      <c r="G25">
        <f t="shared" si="3"/>
        <v>9450</v>
      </c>
      <c r="I25">
        <f t="shared" si="4"/>
        <v>0.4525138042704514</v>
      </c>
      <c r="J25">
        <f t="shared" si="5"/>
        <v>4276.2554503557658</v>
      </c>
    </row>
    <row r="26" spans="2:10" x14ac:dyDescent="0.3">
      <c r="B26">
        <v>21</v>
      </c>
      <c r="C26">
        <v>22.5</v>
      </c>
      <c r="D26">
        <f t="shared" si="0"/>
        <v>10.55522386996148</v>
      </c>
      <c r="E26">
        <f t="shared" si="1"/>
        <v>221.65970126919109</v>
      </c>
      <c r="F26">
        <f t="shared" si="2"/>
        <v>213.81277251778826</v>
      </c>
      <c r="G26">
        <f t="shared" si="3"/>
        <v>10395</v>
      </c>
      <c r="I26">
        <f t="shared" si="4"/>
        <v>0.43649445767382206</v>
      </c>
      <c r="J26">
        <f t="shared" si="5"/>
        <v>4537.3598875193802</v>
      </c>
    </row>
    <row r="27" spans="2:10" x14ac:dyDescent="0.3">
      <c r="B27">
        <v>22</v>
      </c>
      <c r="C27">
        <v>22.5</v>
      </c>
      <c r="D27">
        <f t="shared" si="0"/>
        <v>10.181560596085156</v>
      </c>
      <c r="E27">
        <f t="shared" si="1"/>
        <v>223.99433311387344</v>
      </c>
      <c r="F27">
        <f t="shared" si="2"/>
        <v>216.06475654854196</v>
      </c>
      <c r="G27">
        <f t="shared" si="3"/>
        <v>11385</v>
      </c>
      <c r="I27">
        <f t="shared" si="4"/>
        <v>0.4210422086175577</v>
      </c>
      <c r="J27">
        <f t="shared" si="5"/>
        <v>4793.5655451108942</v>
      </c>
    </row>
    <row r="28" spans="2:10" x14ac:dyDescent="0.3">
      <c r="B28">
        <v>23</v>
      </c>
      <c r="C28">
        <v>22.5</v>
      </c>
      <c r="D28">
        <f t="shared" si="0"/>
        <v>9.8211252976609966</v>
      </c>
      <c r="E28">
        <f t="shared" si="1"/>
        <v>225.88588184620292</v>
      </c>
      <c r="F28">
        <f t="shared" si="2"/>
        <v>217.88934295958612</v>
      </c>
      <c r="G28">
        <f t="shared" si="3"/>
        <v>12420</v>
      </c>
      <c r="I28">
        <f t="shared" si="4"/>
        <v>0.40613698140017146</v>
      </c>
      <c r="J28">
        <f t="shared" si="5"/>
        <v>5044.2213089901297</v>
      </c>
    </row>
    <row r="29" spans="2:10" x14ac:dyDescent="0.3">
      <c r="B29">
        <v>24</v>
      </c>
      <c r="C29">
        <v>22.5</v>
      </c>
      <c r="D29">
        <f t="shared" si="0"/>
        <v>9.4734496938950485</v>
      </c>
      <c r="E29">
        <f t="shared" si="1"/>
        <v>227.36279265348116</v>
      </c>
      <c r="F29">
        <f t="shared" si="2"/>
        <v>219.31396995609256</v>
      </c>
      <c r="G29">
        <f t="shared" si="3"/>
        <v>13500</v>
      </c>
      <c r="I29">
        <f t="shared" si="4"/>
        <v>0.39175941101588835</v>
      </c>
      <c r="J29">
        <f t="shared" si="5"/>
        <v>5288.752048714493</v>
      </c>
    </row>
    <row r="30" spans="2:10" x14ac:dyDescent="0.3">
      <c r="B30">
        <v>25</v>
      </c>
      <c r="C30">
        <v>22.5</v>
      </c>
      <c r="D30">
        <f t="shared" si="0"/>
        <v>9.1380820815038586</v>
      </c>
      <c r="E30">
        <f t="shared" si="1"/>
        <v>228.45205203759647</v>
      </c>
      <c r="F30">
        <f t="shared" si="2"/>
        <v>220.36466869643723</v>
      </c>
      <c r="G30">
        <f t="shared" si="3"/>
        <v>14625</v>
      </c>
      <c r="I30">
        <f t="shared" si="4"/>
        <v>0.37789081799545526</v>
      </c>
      <c r="J30">
        <f t="shared" si="5"/>
        <v>5526.6532131835329</v>
      </c>
    </row>
    <row r="31" spans="2:10" x14ac:dyDescent="0.3">
      <c r="B31">
        <v>26</v>
      </c>
      <c r="C31">
        <v>22.5</v>
      </c>
      <c r="D31">
        <f t="shared" si="0"/>
        <v>8.8145867478574882</v>
      </c>
      <c r="E31">
        <f t="shared" si="1"/>
        <v>229.17925544429468</v>
      </c>
      <c r="F31">
        <f t="shared" si="2"/>
        <v>221.06612852734128</v>
      </c>
      <c r="G31">
        <f t="shared" si="3"/>
        <v>15795</v>
      </c>
      <c r="I31">
        <f t="shared" si="4"/>
        <v>0.36451318413760508</v>
      </c>
      <c r="J31">
        <f t="shared" si="5"/>
        <v>5757.4857434534724</v>
      </c>
    </row>
    <row r="32" spans="2:10" x14ac:dyDescent="0.3">
      <c r="B32">
        <v>27</v>
      </c>
      <c r="C32">
        <v>22.5</v>
      </c>
      <c r="D32">
        <f t="shared" si="0"/>
        <v>8.5025434048977431</v>
      </c>
      <c r="E32">
        <f t="shared" si="1"/>
        <v>229.56867193223906</v>
      </c>
      <c r="F32">
        <f t="shared" si="2"/>
        <v>221.44175936359511</v>
      </c>
      <c r="G32">
        <f t="shared" si="3"/>
        <v>17010</v>
      </c>
      <c r="I32">
        <f t="shared" si="4"/>
        <v>0.35160912909964803</v>
      </c>
      <c r="J32">
        <f t="shared" si="5"/>
        <v>5980.8712859850129</v>
      </c>
    </row>
    <row r="33" spans="2:17" x14ac:dyDescent="0.3">
      <c r="B33">
        <v>28</v>
      </c>
      <c r="C33">
        <v>22.5</v>
      </c>
      <c r="D33">
        <f t="shared" si="0"/>
        <v>8.2015466430961137</v>
      </c>
      <c r="E33">
        <f t="shared" si="1"/>
        <v>229.64330600669118</v>
      </c>
      <c r="F33">
        <f t="shared" si="2"/>
        <v>221.51375133277821</v>
      </c>
      <c r="G33">
        <f t="shared" si="3"/>
        <v>18270</v>
      </c>
      <c r="I33">
        <f t="shared" si="4"/>
        <v>0.33916188781677248</v>
      </c>
      <c r="J33">
        <f t="shared" si="5"/>
        <v>6196.487690412433</v>
      </c>
    </row>
    <row r="34" spans="2:17" x14ac:dyDescent="0.3">
      <c r="B34">
        <v>29</v>
      </c>
      <c r="C34">
        <v>22.5</v>
      </c>
      <c r="D34">
        <f t="shared" si="0"/>
        <v>7.9112054047420806</v>
      </c>
      <c r="E34">
        <f t="shared" si="1"/>
        <v>229.42495673752035</v>
      </c>
      <c r="F34">
        <f t="shared" si="2"/>
        <v>221.30313180044405</v>
      </c>
      <c r="G34">
        <f t="shared" si="3"/>
        <v>19575</v>
      </c>
      <c r="I34">
        <f t="shared" si="4"/>
        <v>0.32715528872072203</v>
      </c>
      <c r="J34">
        <f t="shared" si="5"/>
        <v>6404.0647767081336</v>
      </c>
    </row>
    <row r="35" spans="2:17" x14ac:dyDescent="0.3">
      <c r="B35">
        <v>30</v>
      </c>
      <c r="C35">
        <v>22.5</v>
      </c>
      <c r="D35">
        <f t="shared" si="0"/>
        <v>7.6311424758773807</v>
      </c>
      <c r="E35">
        <f t="shared" si="1"/>
        <v>228.93427427632142</v>
      </c>
      <c r="F35">
        <f t="shared" si="2"/>
        <v>220.82981988648734</v>
      </c>
      <c r="G35">
        <f t="shared" si="3"/>
        <v>20925</v>
      </c>
      <c r="I35">
        <f t="shared" si="4"/>
        <v>0.31557373272954758</v>
      </c>
      <c r="J35">
        <f t="shared" si="5"/>
        <v>6603.3803573657833</v>
      </c>
    </row>
    <row r="36" spans="2:17" x14ac:dyDescent="0.3">
      <c r="B36">
        <v>31</v>
      </c>
      <c r="C36">
        <v>22.5</v>
      </c>
      <c r="D36">
        <f t="shared" si="0"/>
        <v>7.3609939962162452</v>
      </c>
      <c r="E36">
        <f>D36*B36</f>
        <v>228.19081388270359</v>
      </c>
      <c r="F36">
        <f t="shared" si="2"/>
        <v>220.11267857885946</v>
      </c>
      <c r="G36">
        <f t="shared" si="3"/>
        <v>22320</v>
      </c>
      <c r="I36">
        <f t="shared" si="4"/>
        <v>0.30440217298113975</v>
      </c>
      <c r="J36">
        <f t="shared" si="5"/>
        <v>6794.2565009390391</v>
      </c>
    </row>
    <row r="37" spans="2:17" x14ac:dyDescent="0.3">
      <c r="B37">
        <v>32</v>
      </c>
      <c r="C37">
        <v>22.5</v>
      </c>
      <c r="D37">
        <f t="shared" si="0"/>
        <v>7.1004089864148208</v>
      </c>
      <c r="E37">
        <f t="shared" si="1"/>
        <v>227.21308756527426</v>
      </c>
      <c r="F37">
        <f t="shared" si="2"/>
        <v>219.16956454642065</v>
      </c>
      <c r="G37">
        <f t="shared" si="3"/>
        <v>23760</v>
      </c>
      <c r="I37">
        <f t="shared" si="4"/>
        <v>0.2936260952842093</v>
      </c>
      <c r="J37">
        <f t="shared" si="5"/>
        <v>6976.5560239528131</v>
      </c>
    </row>
    <row r="38" spans="2:17" x14ac:dyDescent="0.3">
      <c r="B38">
        <v>33</v>
      </c>
      <c r="C38">
        <v>22.5</v>
      </c>
      <c r="D38">
        <f t="shared" si="0"/>
        <v>6.8490488920756443</v>
      </c>
      <c r="E38">
        <f t="shared" si="1"/>
        <v>226.01861343849626</v>
      </c>
      <c r="F38">
        <f t="shared" si="2"/>
        <v>218.01737574852538</v>
      </c>
      <c r="G38">
        <f t="shared" si="3"/>
        <v>25245</v>
      </c>
      <c r="I38">
        <f t="shared" si="4"/>
        <v>0.28323149926131896</v>
      </c>
      <c r="J38">
        <f t="shared" si="5"/>
        <v>7150.1791988519972</v>
      </c>
    </row>
    <row r="39" spans="2:17" x14ac:dyDescent="0.3">
      <c r="B39">
        <v>34</v>
      </c>
      <c r="C39">
        <v>22.5</v>
      </c>
      <c r="D39">
        <f t="shared" si="0"/>
        <v>6.6065871438947097</v>
      </c>
      <c r="E39">
        <f t="shared" si="1"/>
        <v>224.62396289242014</v>
      </c>
      <c r="F39">
        <f t="shared" si="2"/>
        <v>216.67209693490898</v>
      </c>
      <c r="G39">
        <f t="shared" si="3"/>
        <v>26775</v>
      </c>
      <c r="I39">
        <f t="shared" si="4"/>
        <v>0.27320488015946653</v>
      </c>
      <c r="J39">
        <f t="shared" si="5"/>
        <v>7315.0606662697164</v>
      </c>
    </row>
    <row r="40" spans="2:17" x14ac:dyDescent="0.3">
      <c r="B40">
        <v>35</v>
      </c>
      <c r="C40">
        <v>22.5</v>
      </c>
      <c r="D40">
        <f t="shared" si="0"/>
        <v>6.3727087333796764</v>
      </c>
      <c r="E40">
        <f t="shared" si="1"/>
        <v>223.04480566828866</v>
      </c>
      <c r="F40">
        <f t="shared" si="2"/>
        <v>215.1488431255799</v>
      </c>
      <c r="G40">
        <f t="shared" si="3"/>
        <v>28350</v>
      </c>
      <c r="I40">
        <f t="shared" si="4"/>
        <v>0.26353321130458812</v>
      </c>
      <c r="J40">
        <f t="shared" si="5"/>
        <v>7471.1665404850737</v>
      </c>
    </row>
    <row r="41" spans="2:17" x14ac:dyDescent="0.3">
      <c r="B41">
        <v>36</v>
      </c>
      <c r="C41">
        <v>22.5</v>
      </c>
      <c r="D41">
        <f t="shared" si="0"/>
        <v>6.1471098035879965</v>
      </c>
      <c r="E41">
        <f t="shared" si="1"/>
        <v>221.29595292916787</v>
      </c>
      <c r="F41">
        <f t="shared" si="2"/>
        <v>213.46190115671638</v>
      </c>
      <c r="G41">
        <f t="shared" si="3"/>
        <v>29970</v>
      </c>
      <c r="I41">
        <f t="shared" si="4"/>
        <v>0.25420392717718543</v>
      </c>
      <c r="J41">
        <f t="shared" si="5"/>
        <v>7618.491697500247</v>
      </c>
    </row>
    <row r="42" spans="2:17" x14ac:dyDescent="0.3">
      <c r="B42">
        <v>37</v>
      </c>
      <c r="C42">
        <v>22.5</v>
      </c>
      <c r="D42">
        <f t="shared" si="0"/>
        <v>5.9294972543532332</v>
      </c>
      <c r="E42">
        <f t="shared" si="1"/>
        <v>219.39139841106962</v>
      </c>
      <c r="F42">
        <f t="shared" si="2"/>
        <v>211.62476937500688</v>
      </c>
      <c r="G42">
        <f t="shared" si="3"/>
        <v>31635</v>
      </c>
      <c r="I42">
        <f t="shared" si="4"/>
        <v>0.24520490708708928</v>
      </c>
      <c r="J42">
        <f t="shared" si="5"/>
        <v>7757.0572357000692</v>
      </c>
      <c r="L42" s="9"/>
      <c r="M42" s="10" t="s">
        <v>153</v>
      </c>
      <c r="N42" s="10"/>
      <c r="O42" s="10"/>
      <c r="P42" s="81"/>
      <c r="Q42" s="10"/>
    </row>
    <row r="43" spans="2:17" x14ac:dyDescent="0.3">
      <c r="B43">
        <v>38</v>
      </c>
      <c r="C43">
        <v>22.5</v>
      </c>
      <c r="D43">
        <f t="shared" si="0"/>
        <v>5.7195883614866725</v>
      </c>
      <c r="E43">
        <f t="shared" si="1"/>
        <v>217.34435773649355</v>
      </c>
      <c r="F43">
        <f t="shared" si="2"/>
        <v>209.65019555946134</v>
      </c>
      <c r="G43">
        <f t="shared" si="3"/>
        <v>33345</v>
      </c>
      <c r="I43">
        <f t="shared" si="4"/>
        <v>0.23652445942614955</v>
      </c>
      <c r="J43">
        <f t="shared" si="5"/>
        <v>7886.9080995649565</v>
      </c>
      <c r="L43" s="79" t="s">
        <v>146</v>
      </c>
      <c r="M43" s="1" t="s">
        <v>147</v>
      </c>
      <c r="N43" s="1" t="s">
        <v>148</v>
      </c>
      <c r="O43" s="1" t="s">
        <v>149</v>
      </c>
      <c r="P43" s="82" t="s">
        <v>150</v>
      </c>
      <c r="Q43" s="80" t="s">
        <v>156</v>
      </c>
    </row>
    <row r="44" spans="2:17" x14ac:dyDescent="0.3">
      <c r="B44">
        <v>39</v>
      </c>
      <c r="C44">
        <f>1000+22.5</f>
        <v>1022.5</v>
      </c>
      <c r="D44">
        <f t="shared" si="0"/>
        <v>250.72201749654877</v>
      </c>
      <c r="E44">
        <f t="shared" si="1"/>
        <v>9778.1586823654015</v>
      </c>
      <c r="F44">
        <f t="shared" si="2"/>
        <v>9432.0041307662796</v>
      </c>
      <c r="G44">
        <f t="shared" si="3"/>
        <v>1595100</v>
      </c>
      <c r="I44">
        <f t="shared" si="4"/>
        <v>0.22815130647839263</v>
      </c>
      <c r="J44">
        <f t="shared" si="5"/>
        <v>363924.1489636841</v>
      </c>
      <c r="L44" s="70">
        <f>-0.1</f>
        <v>-0.1</v>
      </c>
      <c r="M44" s="71">
        <f>$B$3</f>
        <v>7.3399999999999993E-2</v>
      </c>
      <c r="N44" s="5">
        <f>L44+M44</f>
        <v>-2.6600000000000013E-2</v>
      </c>
      <c r="O44" s="72">
        <f>$E$50</f>
        <v>707.95394225168081</v>
      </c>
      <c r="P44" s="83">
        <f>O44+$J$47*L44</f>
        <v>1516.8589569584838</v>
      </c>
      <c r="Q44" s="85">
        <f>P44+1/2*$J$52*L44^2</f>
        <v>2162.6798184755758</v>
      </c>
    </row>
    <row r="45" spans="2:17" x14ac:dyDescent="0.3">
      <c r="B45" s="10"/>
      <c r="C45" s="10"/>
      <c r="D45" s="10">
        <f>SUM(D6:D44)</f>
        <v>707.95394225168081</v>
      </c>
      <c r="E45" s="10">
        <f>SUM(E6:E44)</f>
        <v>16771.836574930854</v>
      </c>
      <c r="F45" s="10">
        <f>SUM(F6:F44)</f>
        <v>16178.100294136062</v>
      </c>
      <c r="G45" s="10"/>
      <c r="I45" s="10"/>
      <c r="J45" s="10"/>
      <c r="L45" s="70">
        <f>L44+0.01</f>
        <v>-9.0000000000000011E-2</v>
      </c>
      <c r="M45" s="71">
        <f t="shared" ref="M45:M64" si="6">$B$3</f>
        <v>7.3399999999999993E-2</v>
      </c>
      <c r="N45" s="5">
        <f t="shared" ref="N45:N64" si="7">L45+M45</f>
        <v>-1.6600000000000018E-2</v>
      </c>
      <c r="O45" s="72">
        <f t="shared" ref="O45:O64" si="8">$E$50</f>
        <v>707.95394225168081</v>
      </c>
      <c r="P45" s="83">
        <f t="shared" ref="P45:P64" si="9">O45+$J$47*L45</f>
        <v>1435.9684554878036</v>
      </c>
      <c r="Q45" s="85">
        <f t="shared" ref="Q45:Q64" si="10">P45+1/2*$J$52*L45^2</f>
        <v>1959.0833533166483</v>
      </c>
    </row>
    <row r="46" spans="2:17" x14ac:dyDescent="0.3">
      <c r="E46" s="6">
        <f>E45/$D$45</f>
        <v>23.690575860891798</v>
      </c>
      <c r="F46" s="6">
        <f>F45/$D$45</f>
        <v>22.851910736849423</v>
      </c>
      <c r="I46" s="77" t="s">
        <v>151</v>
      </c>
      <c r="J46" s="11">
        <f>-F46*E50</f>
        <v>-16178.10029413606</v>
      </c>
      <c r="L46" s="70">
        <f>L45+0.01</f>
        <v>-8.0000000000000016E-2</v>
      </c>
      <c r="M46" s="71">
        <f t="shared" si="6"/>
        <v>7.3399999999999993E-2</v>
      </c>
      <c r="N46" s="5">
        <f t="shared" si="7"/>
        <v>-6.6000000000000225E-3</v>
      </c>
      <c r="O46" s="72">
        <f t="shared" si="8"/>
        <v>707.95394225168081</v>
      </c>
      <c r="P46" s="83">
        <f t="shared" si="9"/>
        <v>1355.0779540171234</v>
      </c>
      <c r="Q46" s="85">
        <f t="shared" si="10"/>
        <v>1768.4033053880626</v>
      </c>
    </row>
    <row r="47" spans="2:17" x14ac:dyDescent="0.3">
      <c r="E47">
        <f>E46/2</f>
        <v>11.845287930445899</v>
      </c>
      <c r="F47">
        <f>F46/2</f>
        <v>11.425955368424711</v>
      </c>
      <c r="I47" s="79" t="s">
        <v>152</v>
      </c>
      <c r="J47" s="4">
        <f>J46/2</f>
        <v>-8089.0501470680301</v>
      </c>
      <c r="L47" s="70">
        <f>L46+0.01</f>
        <v>-7.0000000000000021E-2</v>
      </c>
      <c r="M47" s="71">
        <f t="shared" si="6"/>
        <v>7.3399999999999993E-2</v>
      </c>
      <c r="N47" s="5">
        <f t="shared" si="7"/>
        <v>3.3999999999999725E-3</v>
      </c>
      <c r="O47" s="72">
        <f t="shared" si="8"/>
        <v>707.95394225168081</v>
      </c>
      <c r="P47" s="83">
        <f t="shared" si="9"/>
        <v>1274.1874525464432</v>
      </c>
      <c r="Q47" s="85">
        <f t="shared" si="10"/>
        <v>1590.6396746898185</v>
      </c>
    </row>
    <row r="48" spans="2:17" x14ac:dyDescent="0.3">
      <c r="I48" s="79" t="s">
        <v>5</v>
      </c>
      <c r="J48" s="4">
        <f>SUM(J6:J44)</f>
        <v>516656.68921367358</v>
      </c>
      <c r="L48" s="70">
        <f t="shared" ref="L48:L51" si="11">L47+0.01</f>
        <v>-6.0000000000000019E-2</v>
      </c>
      <c r="M48" s="71">
        <f t="shared" si="6"/>
        <v>7.3399999999999993E-2</v>
      </c>
      <c r="N48" s="5">
        <f t="shared" si="7"/>
        <v>1.3399999999999974E-2</v>
      </c>
      <c r="O48" s="72">
        <f t="shared" si="8"/>
        <v>707.95394225168081</v>
      </c>
      <c r="P48" s="83">
        <f t="shared" si="9"/>
        <v>1193.2969510757628</v>
      </c>
      <c r="Q48" s="85">
        <f t="shared" si="10"/>
        <v>1425.792461221916</v>
      </c>
    </row>
    <row r="49" spans="4:17" x14ac:dyDescent="0.3">
      <c r="D49" s="77"/>
      <c r="E49" s="67" t="s">
        <v>1</v>
      </c>
      <c r="F49" s="67" t="s">
        <v>99</v>
      </c>
      <c r="G49" s="78" t="s">
        <v>145</v>
      </c>
      <c r="I49" s="79"/>
      <c r="J49" s="4">
        <f>J48/D45</f>
        <v>729.788561626513</v>
      </c>
      <c r="L49" s="70">
        <f t="shared" si="11"/>
        <v>-5.0000000000000017E-2</v>
      </c>
      <c r="M49" s="71">
        <f t="shared" si="6"/>
        <v>7.3399999999999993E-2</v>
      </c>
      <c r="N49" s="5">
        <f t="shared" si="7"/>
        <v>2.3399999999999976E-2</v>
      </c>
      <c r="O49" s="72">
        <f t="shared" si="8"/>
        <v>707.95394225168081</v>
      </c>
      <c r="P49" s="83">
        <f t="shared" si="9"/>
        <v>1112.4064496050823</v>
      </c>
      <c r="Q49" s="85">
        <f t="shared" si="10"/>
        <v>1273.8616649843555</v>
      </c>
    </row>
    <row r="50" spans="4:17" x14ac:dyDescent="0.3">
      <c r="D50" s="7" t="s">
        <v>89</v>
      </c>
      <c r="E50">
        <f>SUM(D6:D44)</f>
        <v>707.95394225168081</v>
      </c>
      <c r="F50">
        <f>(SUM(E6:E44)/E50)/2</f>
        <v>11.845287930445899</v>
      </c>
      <c r="G50" s="4">
        <f>F50/(1+B3/2)</f>
        <v>11.425955368424713</v>
      </c>
      <c r="I50" s="79"/>
      <c r="J50" s="4">
        <f>J48/2^2</f>
        <v>129164.1723034184</v>
      </c>
      <c r="L50" s="70">
        <f t="shared" si="11"/>
        <v>-4.0000000000000015E-2</v>
      </c>
      <c r="M50" s="71">
        <f t="shared" si="6"/>
        <v>7.3399999999999993E-2</v>
      </c>
      <c r="N50" s="5">
        <f t="shared" si="7"/>
        <v>3.3399999999999978E-2</v>
      </c>
      <c r="O50" s="72">
        <f t="shared" si="8"/>
        <v>707.95394225168081</v>
      </c>
      <c r="P50" s="83">
        <f t="shared" si="9"/>
        <v>1031.5159481344022</v>
      </c>
      <c r="Q50" s="85">
        <f t="shared" si="10"/>
        <v>1134.8472859771368</v>
      </c>
    </row>
    <row r="51" spans="4:17" x14ac:dyDescent="0.3">
      <c r="D51" s="7">
        <v>0</v>
      </c>
      <c r="E51">
        <f t="dataTable" ref="E51:H100" dt2D="0" dtr="0" r1="B3"/>
        <v>1877.5</v>
      </c>
      <c r="F51">
        <v>15.059920106524634</v>
      </c>
      <c r="G51" s="4">
        <v>15.059920106524634</v>
      </c>
      <c r="H51">
        <v>0</v>
      </c>
      <c r="I51" s="79" t="s">
        <v>155</v>
      </c>
      <c r="J51" s="4">
        <f>J49/2^2</f>
        <v>182.44714040662825</v>
      </c>
      <c r="L51" s="70">
        <f t="shared" si="11"/>
        <v>-3.0000000000000013E-2</v>
      </c>
      <c r="M51" s="71">
        <f t="shared" si="6"/>
        <v>7.3399999999999993E-2</v>
      </c>
      <c r="N51" s="5">
        <f t="shared" si="7"/>
        <v>4.339999999999998E-2</v>
      </c>
      <c r="O51" s="72">
        <f t="shared" si="8"/>
        <v>707.95394225168081</v>
      </c>
      <c r="P51" s="83">
        <f t="shared" si="9"/>
        <v>950.62544666372185</v>
      </c>
      <c r="Q51" s="85">
        <f t="shared" si="10"/>
        <v>1008.7493242002602</v>
      </c>
    </row>
    <row r="52" spans="4:17" x14ac:dyDescent="0.3">
      <c r="D52" s="7">
        <v>0.01</v>
      </c>
      <c r="E52">
        <v>1618.6790575595683</v>
      </c>
      <c r="F52">
        <v>14.676420270226064</v>
      </c>
      <c r="G52" s="4">
        <v>14.603403253956284</v>
      </c>
      <c r="H52">
        <v>0</v>
      </c>
      <c r="I52" s="86" t="s">
        <v>157</v>
      </c>
      <c r="J52" s="13">
        <f>J48/4</f>
        <v>129164.1723034184</v>
      </c>
      <c r="L52" s="70">
        <f t="shared" ref="L52:L64" si="12">L51+0.01</f>
        <v>-2.0000000000000011E-2</v>
      </c>
      <c r="M52" s="71">
        <f t="shared" si="6"/>
        <v>7.3399999999999993E-2</v>
      </c>
      <c r="N52" s="5">
        <f t="shared" si="7"/>
        <v>5.3399999999999982E-2</v>
      </c>
      <c r="O52" s="72">
        <f t="shared" si="8"/>
        <v>707.95394225168081</v>
      </c>
      <c r="P52" s="83">
        <f t="shared" si="9"/>
        <v>869.73494519304154</v>
      </c>
      <c r="Q52" s="85">
        <f t="shared" si="10"/>
        <v>895.56777965372521</v>
      </c>
    </row>
    <row r="53" spans="4:17" x14ac:dyDescent="0.3">
      <c r="D53" s="7">
        <f>D52+0.01</f>
        <v>0.02</v>
      </c>
      <c r="E53">
        <v>1402.0379121886963</v>
      </c>
      <c r="F53">
        <v>14.27207162636199</v>
      </c>
      <c r="G53" s="4">
        <v>14.130763986497019</v>
      </c>
      <c r="H53">
        <v>0</v>
      </c>
      <c r="I53" s="1"/>
      <c r="L53" s="70">
        <f t="shared" si="12"/>
        <v>-1.0000000000000011E-2</v>
      </c>
      <c r="M53" s="71">
        <f t="shared" si="6"/>
        <v>7.3399999999999993E-2</v>
      </c>
      <c r="N53" s="5">
        <f t="shared" si="7"/>
        <v>6.3399999999999984E-2</v>
      </c>
      <c r="O53" s="72">
        <f t="shared" si="8"/>
        <v>707.95394225168081</v>
      </c>
      <c r="P53" s="83">
        <f t="shared" si="9"/>
        <v>788.84444372236123</v>
      </c>
      <c r="Q53" s="85">
        <f t="shared" si="10"/>
        <v>795.30265233753221</v>
      </c>
    </row>
    <row r="54" spans="4:17" x14ac:dyDescent="0.3">
      <c r="D54" s="7">
        <f t="shared" ref="D54:D100" si="13">D53+0.01</f>
        <v>0.03</v>
      </c>
      <c r="E54">
        <v>1220.2343716167836</v>
      </c>
      <c r="F54">
        <v>13.848453509173305</v>
      </c>
      <c r="G54" s="4">
        <v>13.643796560761878</v>
      </c>
      <c r="H54">
        <v>0</v>
      </c>
      <c r="I54" s="1"/>
      <c r="L54" s="70">
        <f t="shared" si="12"/>
        <v>0</v>
      </c>
      <c r="M54" s="71">
        <f t="shared" si="6"/>
        <v>7.3399999999999993E-2</v>
      </c>
      <c r="N54" s="5">
        <f t="shared" si="7"/>
        <v>7.3399999999999993E-2</v>
      </c>
      <c r="O54" s="72">
        <f t="shared" si="8"/>
        <v>707.95394225168081</v>
      </c>
      <c r="P54" s="83">
        <f t="shared" si="9"/>
        <v>707.95394225168081</v>
      </c>
      <c r="Q54" s="85">
        <f t="shared" si="10"/>
        <v>707.95394225168081</v>
      </c>
    </row>
    <row r="55" spans="4:17" x14ac:dyDescent="0.3">
      <c r="D55" s="7">
        <f t="shared" si="13"/>
        <v>0.04</v>
      </c>
      <c r="E55">
        <v>1067.2564720638827</v>
      </c>
      <c r="F55">
        <v>13.407612807664661</v>
      </c>
      <c r="G55" s="4">
        <v>13.144718438886922</v>
      </c>
      <c r="H55">
        <v>0</v>
      </c>
      <c r="L55" s="70">
        <f t="shared" si="12"/>
        <v>0.01</v>
      </c>
      <c r="M55" s="71">
        <f t="shared" si="6"/>
        <v>7.3399999999999993E-2</v>
      </c>
      <c r="N55" s="5">
        <f t="shared" si="7"/>
        <v>8.3399999999999988E-2</v>
      </c>
      <c r="O55" s="72">
        <f t="shared" si="8"/>
        <v>707.95394225168081</v>
      </c>
      <c r="P55" s="83">
        <f t="shared" si="9"/>
        <v>627.06344078100051</v>
      </c>
      <c r="Q55" s="85">
        <f t="shared" si="10"/>
        <v>633.52164939617148</v>
      </c>
    </row>
    <row r="56" spans="4:17" x14ac:dyDescent="0.3">
      <c r="D56" s="7">
        <f t="shared" si="13"/>
        <v>0.05</v>
      </c>
      <c r="E56">
        <v>938.17413892902618</v>
      </c>
      <c r="F56">
        <v>12.952037977280195</v>
      </c>
      <c r="G56" s="4">
        <v>12.63613461198068</v>
      </c>
      <c r="H56">
        <v>0</v>
      </c>
      <c r="L56" s="70">
        <f t="shared" si="12"/>
        <v>0.02</v>
      </c>
      <c r="M56" s="71">
        <f t="shared" si="6"/>
        <v>7.3399999999999993E-2</v>
      </c>
      <c r="N56" s="5">
        <f t="shared" si="7"/>
        <v>9.3399999999999997E-2</v>
      </c>
      <c r="O56" s="72">
        <f t="shared" si="8"/>
        <v>707.95394225168081</v>
      </c>
      <c r="P56" s="83">
        <f t="shared" si="9"/>
        <v>546.1729393103202</v>
      </c>
      <c r="Q56" s="85">
        <f t="shared" si="10"/>
        <v>572.00577377100387</v>
      </c>
    </row>
    <row r="57" spans="4:17" x14ac:dyDescent="0.3">
      <c r="D57" s="7">
        <f t="shared" si="13"/>
        <v>6.0000000000000005E-2</v>
      </c>
      <c r="E57">
        <v>828.93838649925544</v>
      </c>
      <c r="F57">
        <v>12.484608989733562</v>
      </c>
      <c r="G57" s="4">
        <v>12.12097960168307</v>
      </c>
      <c r="H57">
        <v>0</v>
      </c>
      <c r="L57" s="70">
        <f t="shared" si="12"/>
        <v>0.03</v>
      </c>
      <c r="M57" s="71">
        <f t="shared" si="6"/>
        <v>7.3399999999999993E-2</v>
      </c>
      <c r="N57" s="5">
        <f t="shared" si="7"/>
        <v>0.10339999999999999</v>
      </c>
      <c r="O57" s="72">
        <f t="shared" si="8"/>
        <v>707.95394225168081</v>
      </c>
      <c r="P57" s="83">
        <f t="shared" si="9"/>
        <v>465.2824378396399</v>
      </c>
      <c r="Q57" s="85">
        <f t="shared" si="10"/>
        <v>523.40631537617821</v>
      </c>
    </row>
    <row r="58" spans="4:17" x14ac:dyDescent="0.3">
      <c r="D58" s="7">
        <f t="shared" si="13"/>
        <v>7.0000000000000007E-2</v>
      </c>
      <c r="E58">
        <v>736.21875163621462</v>
      </c>
      <c r="F58">
        <v>12.008524452234003</v>
      </c>
      <c r="G58" s="4">
        <v>11.602439084284061</v>
      </c>
      <c r="H58">
        <v>0</v>
      </c>
      <c r="L58" s="70">
        <f t="shared" si="12"/>
        <v>0.04</v>
      </c>
      <c r="M58" s="71">
        <f t="shared" si="6"/>
        <v>7.3399999999999993E-2</v>
      </c>
      <c r="N58" s="5">
        <f t="shared" si="7"/>
        <v>0.1134</v>
      </c>
      <c r="O58" s="72">
        <f t="shared" si="8"/>
        <v>707.95394225168081</v>
      </c>
      <c r="P58" s="83">
        <f t="shared" si="9"/>
        <v>384.39193636895959</v>
      </c>
      <c r="Q58" s="85">
        <f t="shared" si="10"/>
        <v>487.72327421169433</v>
      </c>
    </row>
    <row r="59" spans="4:17" x14ac:dyDescent="0.3">
      <c r="D59" s="7">
        <f t="shared" si="13"/>
        <v>0.08</v>
      </c>
      <c r="E59">
        <v>657.27151532163748</v>
      </c>
      <c r="F59">
        <v>11.527209360963536</v>
      </c>
      <c r="G59" s="4">
        <v>11.08385515477263</v>
      </c>
      <c r="H59">
        <v>0</v>
      </c>
      <c r="L59" s="70">
        <f t="shared" si="12"/>
        <v>0.05</v>
      </c>
      <c r="M59" s="71">
        <f t="shared" si="6"/>
        <v>7.3399999999999993E-2</v>
      </c>
      <c r="N59" s="5">
        <f t="shared" si="7"/>
        <v>0.1234</v>
      </c>
      <c r="O59" s="72">
        <f t="shared" si="8"/>
        <v>707.95394225168081</v>
      </c>
      <c r="P59" s="83">
        <f t="shared" si="9"/>
        <v>303.50143489827929</v>
      </c>
      <c r="Q59" s="85">
        <f t="shared" si="10"/>
        <v>464.95665027755228</v>
      </c>
    </row>
    <row r="60" spans="4:17" x14ac:dyDescent="0.3">
      <c r="D60" s="7">
        <f t="shared" si="13"/>
        <v>0.09</v>
      </c>
      <c r="E60">
        <v>589.83274631817289</v>
      </c>
      <c r="F60">
        <v>11.04420897365608</v>
      </c>
      <c r="G60" s="4">
        <v>10.568621027422086</v>
      </c>
      <c r="H60">
        <v>0</v>
      </c>
      <c r="L60" s="70">
        <f t="shared" si="12"/>
        <v>6.0000000000000005E-2</v>
      </c>
      <c r="M60" s="71">
        <f t="shared" si="6"/>
        <v>7.3399999999999993E-2</v>
      </c>
      <c r="N60" s="5">
        <f t="shared" si="7"/>
        <v>0.13339999999999999</v>
      </c>
      <c r="O60" s="72">
        <f t="shared" si="8"/>
        <v>707.95394225168081</v>
      </c>
      <c r="P60" s="83">
        <f t="shared" si="9"/>
        <v>222.61093342759898</v>
      </c>
      <c r="Q60" s="85">
        <f t="shared" si="10"/>
        <v>455.10644357375213</v>
      </c>
    </row>
    <row r="61" spans="4:17" x14ac:dyDescent="0.3">
      <c r="D61" s="7">
        <f t="shared" si="13"/>
        <v>9.9999999999999992E-2</v>
      </c>
      <c r="E61">
        <v>532.03138152841018</v>
      </c>
      <c r="F61">
        <v>10.563075776370624</v>
      </c>
      <c r="G61" s="4">
        <v>10.060072167972022</v>
      </c>
      <c r="H61">
        <v>0</v>
      </c>
      <c r="L61" s="70">
        <f t="shared" si="12"/>
        <v>7.0000000000000007E-2</v>
      </c>
      <c r="M61" s="71">
        <f t="shared" si="6"/>
        <v>7.3399999999999993E-2</v>
      </c>
      <c r="N61" s="5">
        <f t="shared" si="7"/>
        <v>0.1434</v>
      </c>
      <c r="O61" s="72">
        <f t="shared" si="8"/>
        <v>707.95394225168081</v>
      </c>
      <c r="P61" s="83">
        <f t="shared" si="9"/>
        <v>141.72043195691867</v>
      </c>
      <c r="Q61" s="85">
        <f t="shared" si="10"/>
        <v>458.17265410029381</v>
      </c>
    </row>
    <row r="62" spans="4:17" x14ac:dyDescent="0.3">
      <c r="D62" s="7">
        <f t="shared" si="13"/>
        <v>0.10999999999999999</v>
      </c>
      <c r="E62">
        <v>482.31849985030323</v>
      </c>
      <c r="F62">
        <v>10.0872572362561</v>
      </c>
      <c r="G62" s="4">
        <v>9.561381266593461</v>
      </c>
      <c r="H62">
        <v>0</v>
      </c>
      <c r="L62" s="70">
        <f t="shared" si="12"/>
        <v>0.08</v>
      </c>
      <c r="M62" s="71">
        <f t="shared" si="6"/>
        <v>7.3399999999999993E-2</v>
      </c>
      <c r="N62" s="5">
        <f t="shared" si="7"/>
        <v>0.15339999999999998</v>
      </c>
      <c r="O62" s="72">
        <f t="shared" si="8"/>
        <v>707.95394225168081</v>
      </c>
      <c r="P62" s="83">
        <f t="shared" si="9"/>
        <v>60.829930486238368</v>
      </c>
      <c r="Q62" s="85">
        <f t="shared" si="10"/>
        <v>474.15528185717727</v>
      </c>
    </row>
    <row r="63" spans="4:17" x14ac:dyDescent="0.3">
      <c r="D63" s="7">
        <f t="shared" si="13"/>
        <v>0.11999999999999998</v>
      </c>
      <c r="E63">
        <v>439.40969935688463</v>
      </c>
      <c r="F63">
        <v>9.6199918596574587</v>
      </c>
      <c r="G63" s="4">
        <v>9.0754640185447712</v>
      </c>
      <c r="H63">
        <v>0</v>
      </c>
      <c r="L63" s="70">
        <f t="shared" si="12"/>
        <v>0.09</v>
      </c>
      <c r="M63" s="71">
        <f t="shared" si="6"/>
        <v>7.3399999999999993E-2</v>
      </c>
      <c r="N63" s="5">
        <f t="shared" si="7"/>
        <v>0.16339999999999999</v>
      </c>
      <c r="O63" s="72">
        <f t="shared" si="8"/>
        <v>707.95394225168081</v>
      </c>
      <c r="P63" s="83">
        <f t="shared" si="9"/>
        <v>-20.060570984441824</v>
      </c>
      <c r="Q63" s="85">
        <f t="shared" si="10"/>
        <v>503.05432684440268</v>
      </c>
    </row>
    <row r="64" spans="4:17" x14ac:dyDescent="0.3">
      <c r="D64" s="7">
        <f t="shared" si="13"/>
        <v>0.12999999999999998</v>
      </c>
      <c r="E64">
        <v>402.23809016822509</v>
      </c>
      <c r="F64">
        <v>9.1642200523442412</v>
      </c>
      <c r="G64" s="4">
        <v>8.6049014576002261</v>
      </c>
      <c r="H64">
        <v>0</v>
      </c>
      <c r="L64" s="73">
        <f t="shared" si="12"/>
        <v>9.9999999999999992E-2</v>
      </c>
      <c r="M64" s="74">
        <f t="shared" si="6"/>
        <v>7.3399999999999993E-2</v>
      </c>
      <c r="N64" s="75">
        <f t="shared" si="7"/>
        <v>0.1734</v>
      </c>
      <c r="O64" s="76">
        <f t="shared" si="8"/>
        <v>707.95394225168081</v>
      </c>
      <c r="P64" s="84">
        <f t="shared" si="9"/>
        <v>-100.95107245512213</v>
      </c>
      <c r="Q64" s="85">
        <f t="shared" si="10"/>
        <v>544.86978906196975</v>
      </c>
    </row>
    <row r="65" spans="4:12" x14ac:dyDescent="0.3">
      <c r="D65" s="7">
        <f t="shared" si="13"/>
        <v>0.13999999999999999</v>
      </c>
      <c r="E65">
        <v>369.91589807290484</v>
      </c>
      <c r="F65">
        <v>8.7225145886611699</v>
      </c>
      <c r="G65" s="4">
        <v>8.1518827931412794</v>
      </c>
      <c r="H65">
        <v>0</v>
      </c>
      <c r="L65" s="5"/>
    </row>
    <row r="66" spans="4:12" x14ac:dyDescent="0.3">
      <c r="D66" s="7">
        <f t="shared" si="13"/>
        <v>0.15</v>
      </c>
      <c r="E66">
        <v>341.70306108555349</v>
      </c>
      <c r="F66">
        <v>8.2970334208514771</v>
      </c>
      <c r="G66" s="4">
        <v>7.718170624047886</v>
      </c>
      <c r="H66">
        <v>0</v>
      </c>
    </row>
    <row r="67" spans="4:12" x14ac:dyDescent="0.3">
      <c r="D67" s="7">
        <f t="shared" si="13"/>
        <v>0.16</v>
      </c>
      <c r="E67">
        <v>316.98151197435317</v>
      </c>
      <c r="F67">
        <v>7.8894954156505142</v>
      </c>
      <c r="G67" s="4">
        <v>7.3050883478245501</v>
      </c>
      <c r="H67">
        <v>0</v>
      </c>
    </row>
    <row r="68" spans="4:12" x14ac:dyDescent="0.3">
      <c r="D68" s="7">
        <f t="shared" si="13"/>
        <v>0.17</v>
      </c>
      <c r="E68">
        <v>295.23408967734679</v>
      </c>
      <c r="F68">
        <v>7.5011776799153527</v>
      </c>
      <c r="G68" s="4">
        <v>6.9135278155901867</v>
      </c>
      <c r="H68">
        <v>0</v>
      </c>
    </row>
    <row r="69" spans="4:12" x14ac:dyDescent="0.3">
      <c r="D69" s="7">
        <f t="shared" si="13"/>
        <v>0.18000000000000002</v>
      </c>
      <c r="E69">
        <v>276.0272236352917</v>
      </c>
      <c r="F69">
        <v>7.1329316396887634</v>
      </c>
      <c r="G69" s="4">
        <v>6.5439739813658377</v>
      </c>
      <c r="H69">
        <v>0</v>
      </c>
    </row>
    <row r="70" spans="4:12" x14ac:dyDescent="0.3">
      <c r="D70" s="7">
        <f t="shared" si="13"/>
        <v>0.19000000000000003</v>
      </c>
      <c r="E70">
        <v>258.99669710802607</v>
      </c>
      <c r="F70">
        <v>6.7852140751043439</v>
      </c>
      <c r="G70" s="4">
        <v>6.1965425343418667</v>
      </c>
      <c r="H70">
        <v>0</v>
      </c>
    </row>
    <row r="71" spans="4:12" x14ac:dyDescent="0.3">
      <c r="D71" s="7">
        <f t="shared" si="13"/>
        <v>0.20000000000000004</v>
      </c>
      <c r="E71">
        <v>243.83592624973329</v>
      </c>
      <c r="F71">
        <v>6.4581288948775946</v>
      </c>
      <c r="G71" s="4">
        <v>5.8710262680705396</v>
      </c>
      <c r="H71">
        <v>0</v>
      </c>
    </row>
    <row r="72" spans="4:12" x14ac:dyDescent="0.3">
      <c r="D72" s="7">
        <f t="shared" si="13"/>
        <v>0.21000000000000005</v>
      </c>
      <c r="E72">
        <v>230.28629727403964</v>
      </c>
      <c r="F72">
        <v>6.1514754888243255</v>
      </c>
      <c r="G72" s="4">
        <v>5.5669461437324212</v>
      </c>
      <c r="H72">
        <v>0</v>
      </c>
    </row>
    <row r="73" spans="4:12" x14ac:dyDescent="0.3">
      <c r="D73" s="7">
        <f t="shared" si="13"/>
        <v>0.22000000000000006</v>
      </c>
      <c r="E73">
        <v>218.1291893793811</v>
      </c>
      <c r="F73">
        <v>5.864799907952901</v>
      </c>
      <c r="G73" s="4">
        <v>5.2836035206782883</v>
      </c>
      <c r="H73">
        <v>0</v>
      </c>
    </row>
    <row r="74" spans="4:12" x14ac:dyDescent="0.3">
      <c r="D74" s="7">
        <f t="shared" si="13"/>
        <v>0.23000000000000007</v>
      </c>
      <c r="E74">
        <v>207.17938017841811</v>
      </c>
      <c r="F74">
        <v>5.5974457563151807</v>
      </c>
      <c r="G74" s="4">
        <v>5.0201307231526284</v>
      </c>
      <c r="H74">
        <v>0</v>
      </c>
    </row>
    <row r="75" spans="4:12" x14ac:dyDescent="0.3">
      <c r="D75" s="7">
        <f t="shared" si="13"/>
        <v>0.24000000000000007</v>
      </c>
      <c r="E75">
        <v>197.27958634588782</v>
      </c>
      <c r="F75">
        <v>5.3486024128018608</v>
      </c>
      <c r="G75" s="4">
        <v>4.7755378685730898</v>
      </c>
      <c r="H75">
        <v>0</v>
      </c>
    </row>
    <row r="76" spans="4:12" x14ac:dyDescent="0.3">
      <c r="D76" s="7">
        <f t="shared" si="13"/>
        <v>0.25000000000000006</v>
      </c>
      <c r="E76">
        <v>188.29593760379626</v>
      </c>
      <c r="F76">
        <v>5.1173489343595007</v>
      </c>
      <c r="G76" s="4">
        <v>4.5487546083195562</v>
      </c>
      <c r="H76">
        <v>0</v>
      </c>
    </row>
    <row r="77" spans="4:12" x14ac:dyDescent="0.3">
      <c r="D77" s="7">
        <f t="shared" si="13"/>
        <v>0.26000000000000006</v>
      </c>
      <c r="E77">
        <v>180.11421903729931</v>
      </c>
      <c r="F77">
        <v>4.9026926550260521</v>
      </c>
      <c r="G77" s="4">
        <v>4.3386660663947358</v>
      </c>
      <c r="H77">
        <v>0</v>
      </c>
    </row>
    <row r="78" spans="4:12" x14ac:dyDescent="0.3">
      <c r="D78" s="7">
        <f t="shared" si="13"/>
        <v>0.27000000000000007</v>
      </c>
      <c r="E78">
        <v>172.63674671524629</v>
      </c>
      <c r="F78">
        <v>4.7036020478013469</v>
      </c>
      <c r="G78" s="4">
        <v>4.1441427733932574</v>
      </c>
      <c r="H78">
        <v>0</v>
      </c>
    </row>
    <row r="79" spans="4:12" x14ac:dyDescent="0.3">
      <c r="D79" s="7">
        <f t="shared" si="13"/>
        <v>0.28000000000000008</v>
      </c>
      <c r="E79">
        <v>165.77976599228444</v>
      </c>
      <c r="F79">
        <v>4.5190338435178665</v>
      </c>
      <c r="G79" s="4">
        <v>3.9640647750156721</v>
      </c>
      <c r="H79">
        <v>0</v>
      </c>
    </row>
    <row r="80" spans="4:12" x14ac:dyDescent="0.3">
      <c r="D80" s="7">
        <f t="shared" si="13"/>
        <v>0.29000000000000009</v>
      </c>
      <c r="E80">
        <v>159.47128175474356</v>
      </c>
      <c r="F80">
        <v>4.3479547053686654</v>
      </c>
      <c r="G80" s="4">
        <v>3.7973403540337687</v>
      </c>
      <c r="H80">
        <v>0</v>
      </c>
    </row>
    <row r="81" spans="4:8" x14ac:dyDescent="0.3">
      <c r="D81" s="7">
        <f t="shared" si="13"/>
        <v>0.3000000000000001</v>
      </c>
      <c r="E81">
        <v>153.64924609466451</v>
      </c>
      <c r="F81">
        <v>4.1893579536153549</v>
      </c>
      <c r="G81" s="4">
        <v>3.6429199596655257</v>
      </c>
      <c r="H81">
        <v>0</v>
      </c>
    </row>
    <row r="82" spans="4:8" x14ac:dyDescent="0.3">
      <c r="D82" s="7">
        <f t="shared" si="13"/>
        <v>0.31000000000000011</v>
      </c>
      <c r="E82">
        <v>148.26004214509669</v>
      </c>
      <c r="F82">
        <v>4.0422759418091623</v>
      </c>
      <c r="G82" s="4">
        <v>3.4998060102243826</v>
      </c>
      <c r="H82">
        <v>0</v>
      </c>
    </row>
    <row r="83" spans="4:8" x14ac:dyDescent="0.3">
      <c r="D83" s="7">
        <f t="shared" si="13"/>
        <v>0.32000000000000012</v>
      </c>
      <c r="E83">
        <v>143.25721364226504</v>
      </c>
      <c r="F83">
        <v>3.9057887245192799</v>
      </c>
      <c r="G83" s="4">
        <v>3.3670592452752408</v>
      </c>
      <c r="H83">
        <v>0</v>
      </c>
    </row>
    <row r="84" spans="4:8" x14ac:dyDescent="0.3">
      <c r="D84" s="7">
        <f t="shared" si="13"/>
        <v>0.33000000000000013</v>
      </c>
      <c r="E84">
        <v>138.60039864713124</v>
      </c>
      <c r="F84">
        <v>3.7790296466245827</v>
      </c>
      <c r="G84" s="4">
        <v>3.2438022717807575</v>
      </c>
      <c r="H84">
        <v>0</v>
      </c>
    </row>
    <row r="85" spans="4:8" x14ac:dyDescent="0.3">
      <c r="D85" s="7">
        <f t="shared" si="13"/>
        <v>0.34000000000000014</v>
      </c>
      <c r="E85">
        <v>134.25443312505851</v>
      </c>
      <c r="F85">
        <v>3.6611884424073713</v>
      </c>
      <c r="G85" s="4">
        <v>3.1292208909464709</v>
      </c>
      <c r="H85">
        <v>0</v>
      </c>
    </row>
    <row r="86" spans="4:8" x14ac:dyDescent="0.3">
      <c r="D86" s="7">
        <f t="shared" si="13"/>
        <v>0.35000000000000014</v>
      </c>
      <c r="E86">
        <v>130.1885960435126</v>
      </c>
      <c r="F86">
        <v>3.5515123723370619</v>
      </c>
      <c r="G86" s="4">
        <v>3.0225637211379248</v>
      </c>
      <c r="H86">
        <v>0</v>
      </c>
    </row>
    <row r="87" spans="4:8" x14ac:dyDescent="0.3">
      <c r="D87" s="7">
        <f t="shared" si="13"/>
        <v>0.36000000000000015</v>
      </c>
      <c r="E87">
        <v>126.37597254387407</v>
      </c>
      <c r="F87">
        <v>3.4493058565587305</v>
      </c>
      <c r="G87" s="4">
        <v>2.9231405564057034</v>
      </c>
      <c r="H87">
        <v>0</v>
      </c>
    </row>
    <row r="88" spans="4:8" x14ac:dyDescent="0.3">
      <c r="D88" s="7">
        <f t="shared" si="13"/>
        <v>0.37000000000000016</v>
      </c>
      <c r="E88">
        <v>122.79291576945037</v>
      </c>
      <c r="F88">
        <v>3.3539289937653156</v>
      </c>
      <c r="G88" s="4">
        <v>2.8303198259622917</v>
      </c>
      <c r="H88">
        <v>0</v>
      </c>
    </row>
    <row r="89" spans="4:8" x14ac:dyDescent="0.3">
      <c r="D89" s="7">
        <f t="shared" si="13"/>
        <v>0.38000000000000017</v>
      </c>
      <c r="E89">
        <v>119.41859124604079</v>
      </c>
      <c r="F89">
        <v>3.2647952869623613</v>
      </c>
      <c r="G89" s="4">
        <v>2.7435254512288747</v>
      </c>
      <c r="H89">
        <v>0</v>
      </c>
    </row>
    <row r="90" spans="4:8" x14ac:dyDescent="0.3">
      <c r="D90" s="7">
        <f t="shared" si="13"/>
        <v>0.39000000000000018</v>
      </c>
      <c r="E90">
        <v>116.2345904429486</v>
      </c>
      <c r="F90">
        <v>3.1813688363813597</v>
      </c>
      <c r="G90" s="4">
        <v>2.6622333358839829</v>
      </c>
      <c r="H90">
        <v>0</v>
      </c>
    </row>
    <row r="91" spans="4:8" x14ac:dyDescent="0.3">
      <c r="D91" s="7">
        <f t="shared" si="13"/>
        <v>0.40000000000000019</v>
      </c>
      <c r="E91">
        <v>113.22460239618832</v>
      </c>
      <c r="F91">
        <v>3.103161205833469</v>
      </c>
      <c r="G91" s="4">
        <v>2.5859676715278903</v>
      </c>
      <c r="H91">
        <v>0</v>
      </c>
    </row>
    <row r="92" spans="4:8" x14ac:dyDescent="0.3">
      <c r="D92" s="7">
        <f t="shared" si="13"/>
        <v>0.4100000000000002</v>
      </c>
      <c r="E92">
        <v>110.37413413754044</v>
      </c>
      <c r="F92">
        <v>3.0297281225370818</v>
      </c>
      <c r="G92" s="4">
        <v>2.5142971971262087</v>
      </c>
      <c r="H92">
        <v>0</v>
      </c>
    </row>
    <row r="93" spans="4:8" x14ac:dyDescent="0.3">
      <c r="D93" s="7">
        <f t="shared" si="13"/>
        <v>0.42000000000000021</v>
      </c>
      <c r="E93">
        <v>107.67027221300037</v>
      </c>
      <c r="F93">
        <v>2.9606661316939591</v>
      </c>
      <c r="G93" s="4">
        <v>2.4468315137966599</v>
      </c>
      <c r="H93">
        <v>0</v>
      </c>
    </row>
    <row r="94" spans="4:8" x14ac:dyDescent="0.3">
      <c r="D94" s="7">
        <f t="shared" si="13"/>
        <v>0.43000000000000022</v>
      </c>
      <c r="E94">
        <v>105.10147884928944</v>
      </c>
      <c r="F94">
        <v>2.8956092952540695</v>
      </c>
      <c r="G94" s="4">
        <v>2.3832175269580818</v>
      </c>
      <c r="H94">
        <v>0</v>
      </c>
    </row>
    <row r="95" spans="4:8" x14ac:dyDescent="0.3">
      <c r="D95" s="7">
        <f t="shared" si="13"/>
        <v>0.44000000000000022</v>
      </c>
      <c r="E95">
        <v>102.65741738419212</v>
      </c>
      <c r="F95">
        <v>2.8342259986300551</v>
      </c>
      <c r="G95" s="4">
        <v>2.3231360644508645</v>
      </c>
      <c r="H95">
        <v>0</v>
      </c>
    </row>
    <row r="96" spans="4:8" x14ac:dyDescent="0.3">
      <c r="D96" s="7">
        <f t="shared" si="13"/>
        <v>0.45000000000000023</v>
      </c>
      <c r="E96">
        <v>100.32880245392683</v>
      </c>
      <c r="F96">
        <v>2.7762159087627576</v>
      </c>
      <c r="G96" s="4">
        <v>2.2662987010308222</v>
      </c>
      <c r="H96">
        <v>0</v>
      </c>
    </row>
    <row r="97" spans="4:8" x14ac:dyDescent="0.3">
      <c r="D97" s="7">
        <f t="shared" si="13"/>
        <v>0.46000000000000024</v>
      </c>
      <c r="E97">
        <v>98.107271159932893</v>
      </c>
      <c r="F97">
        <v>2.7213071110715497</v>
      </c>
      <c r="G97" s="4">
        <v>2.212444805749227</v>
      </c>
      <c r="H97">
        <v>0</v>
      </c>
    </row>
    <row r="98" spans="4:8" x14ac:dyDescent="0.3">
      <c r="D98" s="7">
        <f t="shared" si="13"/>
        <v>0.47000000000000025</v>
      </c>
      <c r="E98">
        <v>95.985272044188591</v>
      </c>
      <c r="F98">
        <v>2.6692534406783244</v>
      </c>
      <c r="G98" s="4">
        <v>2.1613388183630153</v>
      </c>
      <c r="H98">
        <v>0</v>
      </c>
    </row>
    <row r="99" spans="4:8" x14ac:dyDescent="0.3">
      <c r="D99" s="7">
        <f t="shared" si="13"/>
        <v>0.48000000000000026</v>
      </c>
      <c r="E99">
        <v>93.955969207629437</v>
      </c>
      <c r="F99">
        <v>2.6198320141818643</v>
      </c>
      <c r="G99" s="4">
        <v>2.1127677533724709</v>
      </c>
      <c r="H99">
        <v>0</v>
      </c>
    </row>
    <row r="100" spans="4:8" x14ac:dyDescent="0.3">
      <c r="D100" s="12">
        <f t="shared" si="13"/>
        <v>0.49000000000000027</v>
      </c>
      <c r="E100" s="8">
        <v>92.013159327864599</v>
      </c>
      <c r="F100" s="8">
        <v>2.5728409615823917</v>
      </c>
      <c r="G100" s="13">
        <v>2.0665389249657764</v>
      </c>
      <c r="H100">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93" r:id="rId3" name="Scroll Bar 5">
              <controlPr defaultSize="0" autoPict="0">
                <anchor moveWithCells="1">
                  <from>
                    <xdr:col>10</xdr:col>
                    <xdr:colOff>312420</xdr:colOff>
                    <xdr:row>0</xdr:row>
                    <xdr:rowOff>114300</xdr:rowOff>
                  </from>
                  <to>
                    <xdr:col>15</xdr:col>
                    <xdr:colOff>129540</xdr:colOff>
                    <xdr:row>2</xdr:row>
                    <xdr:rowOff>114300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0088-E9C3-41D1-8FB2-9FF39FDC0970}">
  <dimension ref="A2:BK330"/>
  <sheetViews>
    <sheetView topLeftCell="E61" zoomScale="80" zoomScaleNormal="80" workbookViewId="0">
      <selection activeCell="G80" sqref="G80"/>
    </sheetView>
  </sheetViews>
  <sheetFormatPr defaultRowHeight="14.4" x14ac:dyDescent="0.3"/>
  <cols>
    <col min="1" max="1" width="10.6640625" style="1" customWidth="1"/>
    <col min="2" max="2" width="9.33203125" bestFit="1" customWidth="1"/>
    <col min="3" max="3" width="10.33203125" customWidth="1"/>
    <col min="4" max="4" width="15.77734375" bestFit="1" customWidth="1"/>
    <col min="5" max="5" width="22.44140625" bestFit="1" customWidth="1"/>
    <col min="6" max="6" width="14.88671875" customWidth="1"/>
    <col min="7" max="7" width="27.33203125" bestFit="1" customWidth="1"/>
    <col min="8" max="8" width="11" bestFit="1" customWidth="1"/>
    <col min="9" max="9" width="15.5546875" bestFit="1" customWidth="1"/>
    <col min="10" max="10" width="20.77734375" bestFit="1" customWidth="1"/>
    <col min="11" max="11" width="17.44140625" bestFit="1" customWidth="1"/>
    <col min="12" max="12" width="12.109375" bestFit="1" customWidth="1"/>
    <col min="13" max="13" width="11" bestFit="1" customWidth="1"/>
    <col min="14" max="14" width="13.33203125" bestFit="1" customWidth="1"/>
    <col min="15" max="15" width="11" bestFit="1" customWidth="1"/>
    <col min="16" max="17" width="13.33203125" bestFit="1" customWidth="1"/>
    <col min="18" max="62" width="11" bestFit="1" customWidth="1"/>
    <col min="63" max="63" width="13.6640625" bestFit="1" customWidth="1"/>
  </cols>
  <sheetData>
    <row r="2" spans="1:2" ht="25.8" x14ac:dyDescent="0.5">
      <c r="A2" s="66" t="s">
        <v>144</v>
      </c>
    </row>
    <row r="9" spans="1:2" x14ac:dyDescent="0.3">
      <c r="A9" s="1" t="s">
        <v>10</v>
      </c>
      <c r="B9" t="s">
        <v>11</v>
      </c>
    </row>
    <row r="35" spans="1:63" x14ac:dyDescent="0.3">
      <c r="A35" s="1" t="s">
        <v>12</v>
      </c>
    </row>
    <row r="36" spans="1:63" x14ac:dyDescent="0.3">
      <c r="C36">
        <v>0</v>
      </c>
      <c r="D36">
        <f>C36+1</f>
        <v>1</v>
      </c>
      <c r="E36">
        <f t="shared" ref="E36:BK36" si="0">D36+1</f>
        <v>2</v>
      </c>
      <c r="F36">
        <f t="shared" si="0"/>
        <v>3</v>
      </c>
      <c r="G36">
        <f t="shared" si="0"/>
        <v>4</v>
      </c>
      <c r="H36">
        <f t="shared" si="0"/>
        <v>5</v>
      </c>
      <c r="I36">
        <f t="shared" si="0"/>
        <v>6</v>
      </c>
      <c r="J36">
        <f t="shared" si="0"/>
        <v>7</v>
      </c>
      <c r="K36">
        <f t="shared" si="0"/>
        <v>8</v>
      </c>
      <c r="L36">
        <f t="shared" si="0"/>
        <v>9</v>
      </c>
      <c r="M36">
        <f t="shared" si="0"/>
        <v>10</v>
      </c>
      <c r="N36">
        <f t="shared" si="0"/>
        <v>11</v>
      </c>
      <c r="O36">
        <f t="shared" si="0"/>
        <v>12</v>
      </c>
      <c r="P36">
        <f t="shared" si="0"/>
        <v>13</v>
      </c>
      <c r="Q36">
        <f t="shared" si="0"/>
        <v>14</v>
      </c>
      <c r="R36">
        <f t="shared" si="0"/>
        <v>15</v>
      </c>
      <c r="S36">
        <f t="shared" si="0"/>
        <v>16</v>
      </c>
      <c r="T36">
        <f t="shared" si="0"/>
        <v>17</v>
      </c>
      <c r="U36">
        <f t="shared" si="0"/>
        <v>18</v>
      </c>
      <c r="V36">
        <f t="shared" si="0"/>
        <v>19</v>
      </c>
      <c r="W36">
        <f t="shared" si="0"/>
        <v>20</v>
      </c>
      <c r="X36">
        <f t="shared" si="0"/>
        <v>21</v>
      </c>
      <c r="Y36">
        <f t="shared" si="0"/>
        <v>22</v>
      </c>
      <c r="Z36">
        <f t="shared" si="0"/>
        <v>23</v>
      </c>
      <c r="AA36">
        <f t="shared" si="0"/>
        <v>24</v>
      </c>
      <c r="AB36">
        <f t="shared" si="0"/>
        <v>25</v>
      </c>
      <c r="AC36">
        <f t="shared" si="0"/>
        <v>26</v>
      </c>
      <c r="AD36">
        <f t="shared" si="0"/>
        <v>27</v>
      </c>
      <c r="AE36">
        <f t="shared" si="0"/>
        <v>28</v>
      </c>
      <c r="AF36">
        <f t="shared" si="0"/>
        <v>29</v>
      </c>
      <c r="AG36">
        <f t="shared" si="0"/>
        <v>30</v>
      </c>
      <c r="AH36">
        <f t="shared" si="0"/>
        <v>31</v>
      </c>
      <c r="AI36">
        <f t="shared" si="0"/>
        <v>32</v>
      </c>
      <c r="AJ36">
        <f t="shared" si="0"/>
        <v>33</v>
      </c>
      <c r="AK36">
        <f t="shared" si="0"/>
        <v>34</v>
      </c>
      <c r="AL36">
        <f t="shared" si="0"/>
        <v>35</v>
      </c>
      <c r="AM36">
        <f t="shared" si="0"/>
        <v>36</v>
      </c>
      <c r="AN36">
        <f>AM36+1</f>
        <v>37</v>
      </c>
      <c r="AO36">
        <f t="shared" si="0"/>
        <v>38</v>
      </c>
      <c r="AP36">
        <f t="shared" si="0"/>
        <v>39</v>
      </c>
      <c r="AQ36">
        <f t="shared" si="0"/>
        <v>40</v>
      </c>
      <c r="AR36">
        <f t="shared" si="0"/>
        <v>41</v>
      </c>
      <c r="AS36">
        <f t="shared" si="0"/>
        <v>42</v>
      </c>
      <c r="AT36">
        <f t="shared" si="0"/>
        <v>43</v>
      </c>
      <c r="AU36">
        <f t="shared" si="0"/>
        <v>44</v>
      </c>
      <c r="AV36">
        <f t="shared" si="0"/>
        <v>45</v>
      </c>
      <c r="AW36">
        <f t="shared" si="0"/>
        <v>46</v>
      </c>
      <c r="AX36">
        <f t="shared" si="0"/>
        <v>47</v>
      </c>
      <c r="AY36">
        <f t="shared" si="0"/>
        <v>48</v>
      </c>
      <c r="AZ36">
        <f t="shared" si="0"/>
        <v>49</v>
      </c>
      <c r="BA36">
        <f t="shared" si="0"/>
        <v>50</v>
      </c>
      <c r="BB36">
        <f t="shared" si="0"/>
        <v>51</v>
      </c>
      <c r="BC36">
        <f t="shared" si="0"/>
        <v>52</v>
      </c>
      <c r="BD36">
        <f>BC36+1</f>
        <v>53</v>
      </c>
      <c r="BE36">
        <f t="shared" si="0"/>
        <v>54</v>
      </c>
      <c r="BF36">
        <f t="shared" si="0"/>
        <v>55</v>
      </c>
      <c r="BG36">
        <f t="shared" si="0"/>
        <v>56</v>
      </c>
      <c r="BH36">
        <f t="shared" si="0"/>
        <v>57</v>
      </c>
      <c r="BI36">
        <f t="shared" si="0"/>
        <v>58</v>
      </c>
      <c r="BJ36">
        <f>BI36+1</f>
        <v>59</v>
      </c>
      <c r="BK36">
        <f t="shared" si="0"/>
        <v>60</v>
      </c>
    </row>
    <row r="37" spans="1:63" x14ac:dyDescent="0.3">
      <c r="C37">
        <f>-99.46</f>
        <v>-99.46</v>
      </c>
      <c r="D37" s="16">
        <f>(0.0445*1000/2)*(1000000000/1000)</f>
        <v>22250000</v>
      </c>
      <c r="E37" s="16">
        <f t="shared" ref="E37:BJ37" si="1">(0.0445*1000/2)*(1000000000/1000)</f>
        <v>22250000</v>
      </c>
      <c r="F37" s="16">
        <f t="shared" si="1"/>
        <v>22250000</v>
      </c>
      <c r="G37" s="16">
        <f t="shared" si="1"/>
        <v>22250000</v>
      </c>
      <c r="H37" s="16">
        <f t="shared" si="1"/>
        <v>22250000</v>
      </c>
      <c r="I37" s="16">
        <f t="shared" si="1"/>
        <v>22250000</v>
      </c>
      <c r="J37" s="16">
        <f t="shared" si="1"/>
        <v>22250000</v>
      </c>
      <c r="K37" s="16">
        <f t="shared" si="1"/>
        <v>22250000</v>
      </c>
      <c r="L37" s="16">
        <f t="shared" si="1"/>
        <v>22250000</v>
      </c>
      <c r="M37" s="16">
        <f t="shared" si="1"/>
        <v>22250000</v>
      </c>
      <c r="N37" s="16">
        <f t="shared" si="1"/>
        <v>22250000</v>
      </c>
      <c r="O37" s="16">
        <f t="shared" si="1"/>
        <v>22250000</v>
      </c>
      <c r="P37" s="16">
        <f t="shared" si="1"/>
        <v>22250000</v>
      </c>
      <c r="Q37" s="16">
        <f t="shared" si="1"/>
        <v>22250000</v>
      </c>
      <c r="R37" s="16">
        <f t="shared" si="1"/>
        <v>22250000</v>
      </c>
      <c r="S37" s="16">
        <f t="shared" si="1"/>
        <v>22250000</v>
      </c>
      <c r="T37" s="16">
        <f t="shared" si="1"/>
        <v>22250000</v>
      </c>
      <c r="U37" s="16">
        <f t="shared" si="1"/>
        <v>22250000</v>
      </c>
      <c r="V37" s="16">
        <f t="shared" si="1"/>
        <v>22250000</v>
      </c>
      <c r="W37" s="16">
        <f t="shared" si="1"/>
        <v>22250000</v>
      </c>
      <c r="X37" s="16">
        <f t="shared" si="1"/>
        <v>22250000</v>
      </c>
      <c r="Y37" s="16">
        <f t="shared" si="1"/>
        <v>22250000</v>
      </c>
      <c r="Z37" s="16">
        <f t="shared" si="1"/>
        <v>22250000</v>
      </c>
      <c r="AA37" s="16">
        <f t="shared" si="1"/>
        <v>22250000</v>
      </c>
      <c r="AB37" s="16">
        <f t="shared" si="1"/>
        <v>22250000</v>
      </c>
      <c r="AC37" s="16">
        <f t="shared" si="1"/>
        <v>22250000</v>
      </c>
      <c r="AD37" s="16">
        <f t="shared" si="1"/>
        <v>22250000</v>
      </c>
      <c r="AE37" s="16">
        <f t="shared" si="1"/>
        <v>22250000</v>
      </c>
      <c r="AF37" s="16">
        <f t="shared" si="1"/>
        <v>22250000</v>
      </c>
      <c r="AG37" s="16">
        <f t="shared" si="1"/>
        <v>22250000</v>
      </c>
      <c r="AH37" s="16">
        <f t="shared" si="1"/>
        <v>22250000</v>
      </c>
      <c r="AI37" s="16">
        <f t="shared" si="1"/>
        <v>22250000</v>
      </c>
      <c r="AJ37" s="16">
        <f t="shared" si="1"/>
        <v>22250000</v>
      </c>
      <c r="AK37" s="16">
        <f t="shared" si="1"/>
        <v>22250000</v>
      </c>
      <c r="AL37" s="16">
        <f t="shared" si="1"/>
        <v>22250000</v>
      </c>
      <c r="AM37" s="16">
        <f t="shared" si="1"/>
        <v>22250000</v>
      </c>
      <c r="AN37" s="16">
        <f t="shared" si="1"/>
        <v>22250000</v>
      </c>
      <c r="AO37" s="16">
        <f t="shared" si="1"/>
        <v>22250000</v>
      </c>
      <c r="AP37" s="16">
        <f t="shared" si="1"/>
        <v>22250000</v>
      </c>
      <c r="AQ37" s="16">
        <f t="shared" si="1"/>
        <v>22250000</v>
      </c>
      <c r="AR37" s="16">
        <f t="shared" si="1"/>
        <v>22250000</v>
      </c>
      <c r="AS37" s="16">
        <f t="shared" si="1"/>
        <v>22250000</v>
      </c>
      <c r="AT37" s="16">
        <f t="shared" si="1"/>
        <v>22250000</v>
      </c>
      <c r="AU37" s="16">
        <f t="shared" si="1"/>
        <v>22250000</v>
      </c>
      <c r="AV37" s="16">
        <f t="shared" si="1"/>
        <v>22250000</v>
      </c>
      <c r="AW37" s="16">
        <f t="shared" si="1"/>
        <v>22250000</v>
      </c>
      <c r="AX37" s="16">
        <f t="shared" si="1"/>
        <v>22250000</v>
      </c>
      <c r="AY37" s="16">
        <f t="shared" si="1"/>
        <v>22250000</v>
      </c>
      <c r="AZ37" s="16">
        <f t="shared" si="1"/>
        <v>22250000</v>
      </c>
      <c r="BA37" s="16">
        <f t="shared" si="1"/>
        <v>22250000</v>
      </c>
      <c r="BB37" s="16">
        <f t="shared" si="1"/>
        <v>22250000</v>
      </c>
      <c r="BC37" s="16">
        <f t="shared" si="1"/>
        <v>22250000</v>
      </c>
      <c r="BD37" s="16">
        <f t="shared" si="1"/>
        <v>22250000</v>
      </c>
      <c r="BE37" s="16">
        <f t="shared" si="1"/>
        <v>22250000</v>
      </c>
      <c r="BF37" s="16">
        <f t="shared" si="1"/>
        <v>22250000</v>
      </c>
      <c r="BG37" s="16">
        <f t="shared" si="1"/>
        <v>22250000</v>
      </c>
      <c r="BH37" s="16">
        <f t="shared" si="1"/>
        <v>22250000</v>
      </c>
      <c r="BI37" s="16">
        <f t="shared" si="1"/>
        <v>22250000</v>
      </c>
      <c r="BJ37" s="16">
        <f t="shared" si="1"/>
        <v>22250000</v>
      </c>
      <c r="BK37" s="16">
        <f>(0.0445*1000/2)*(1000000000/1000)+1000000000</f>
        <v>1022250000</v>
      </c>
    </row>
    <row r="39" spans="1:63" x14ac:dyDescent="0.3">
      <c r="A39" s="1" t="s">
        <v>92</v>
      </c>
      <c r="P39" t="s">
        <v>88</v>
      </c>
      <c r="Q39" s="17">
        <v>45741</v>
      </c>
    </row>
    <row r="40" spans="1:63" x14ac:dyDescent="0.3">
      <c r="D40" s="56" t="s">
        <v>80</v>
      </c>
      <c r="E40" s="56" t="s">
        <v>81</v>
      </c>
      <c r="F40" s="56" t="s">
        <v>6</v>
      </c>
      <c r="G40" s="56" t="s">
        <v>82</v>
      </c>
      <c r="H40" s="56" t="s">
        <v>83</v>
      </c>
      <c r="I40" s="56" t="s">
        <v>84</v>
      </c>
      <c r="J40" s="56" t="s">
        <v>4</v>
      </c>
      <c r="K40" s="56" t="s">
        <v>85</v>
      </c>
      <c r="L40" s="56" t="s">
        <v>86</v>
      </c>
      <c r="M40" s="56" t="s">
        <v>1</v>
      </c>
      <c r="N40" s="56" t="s">
        <v>4</v>
      </c>
      <c r="O40" s="56" t="s">
        <v>87</v>
      </c>
      <c r="P40" s="57" t="s">
        <v>90</v>
      </c>
      <c r="Q40" s="57"/>
      <c r="R40" s="56" t="s">
        <v>89</v>
      </c>
      <c r="S40" s="56" t="s">
        <v>91</v>
      </c>
    </row>
    <row r="41" spans="1:63" x14ac:dyDescent="0.3">
      <c r="C41" s="18" t="s">
        <v>15</v>
      </c>
      <c r="D41" s="19">
        <v>1250</v>
      </c>
      <c r="E41" s="19">
        <v>1250</v>
      </c>
      <c r="F41" s="20">
        <v>5.4999999999999997E-3</v>
      </c>
      <c r="G41" s="18" t="s">
        <v>13</v>
      </c>
      <c r="H41" s="18" t="s">
        <v>18</v>
      </c>
      <c r="I41" s="53" t="s">
        <v>19</v>
      </c>
      <c r="J41" s="55">
        <f t="shared" ref="J41:J87" si="2">DATE(RIGHT(I41, 2) + 2000, LEFT(I41, FIND("/", I41) - 1), 1)</f>
        <v>45870</v>
      </c>
      <c r="K41" s="18" t="s">
        <v>16</v>
      </c>
      <c r="L41" s="18" t="s">
        <v>14</v>
      </c>
      <c r="M41" s="21">
        <v>98.28</v>
      </c>
      <c r="N41">
        <f t="shared" ref="N41:N87" si="3">(J41-$Q$39)/365</f>
        <v>0.35342465753424657</v>
      </c>
      <c r="O41" s="22">
        <v>4.34</v>
      </c>
      <c r="P41" s="54">
        <v>45748</v>
      </c>
      <c r="Q41">
        <f t="shared" ref="Q41:Q49" si="4">(P41-$Q$39)/365</f>
        <v>1.9178082191780823E-2</v>
      </c>
      <c r="R41">
        <v>4.32</v>
      </c>
      <c r="S41" s="14">
        <f t="shared" ref="S41:S49" si="5">O41-R41</f>
        <v>1.9999999999999574E-2</v>
      </c>
    </row>
    <row r="42" spans="1:63" x14ac:dyDescent="0.3">
      <c r="C42" s="18" t="s">
        <v>17</v>
      </c>
      <c r="D42" s="28">
        <v>2000</v>
      </c>
      <c r="E42" s="28">
        <v>2000</v>
      </c>
      <c r="F42" s="24">
        <v>3.2000000000000001E-2</v>
      </c>
      <c r="G42" s="18" t="s">
        <v>13</v>
      </c>
      <c r="H42" s="18" t="s">
        <v>22</v>
      </c>
      <c r="I42" s="18" t="s">
        <v>23</v>
      </c>
      <c r="J42" s="55">
        <f t="shared" si="2"/>
        <v>45778</v>
      </c>
      <c r="K42" s="18" t="s">
        <v>16</v>
      </c>
      <c r="L42" s="18" t="s">
        <v>14</v>
      </c>
      <c r="M42" s="21">
        <v>99.75</v>
      </c>
      <c r="N42">
        <f t="shared" si="3"/>
        <v>0.10136986301369863</v>
      </c>
      <c r="O42" s="22">
        <v>4.4400000000000004</v>
      </c>
      <c r="P42" s="54">
        <v>45901</v>
      </c>
      <c r="Q42">
        <f t="shared" si="4"/>
        <v>0.43835616438356162</v>
      </c>
      <c r="R42">
        <v>4.3099999999999996</v>
      </c>
      <c r="S42" s="14">
        <f t="shared" si="5"/>
        <v>0.13000000000000078</v>
      </c>
    </row>
    <row r="43" spans="1:63" x14ac:dyDescent="0.3">
      <c r="C43" s="25" t="s">
        <v>17</v>
      </c>
      <c r="D43" s="29">
        <v>2250</v>
      </c>
      <c r="E43" s="29">
        <v>2250</v>
      </c>
      <c r="F43" s="30">
        <v>1.125E-2</v>
      </c>
      <c r="G43" s="25" t="s">
        <v>13</v>
      </c>
      <c r="H43" s="25" t="s">
        <v>24</v>
      </c>
      <c r="I43" s="25" t="s">
        <v>23</v>
      </c>
      <c r="J43" s="55">
        <f t="shared" si="2"/>
        <v>45778</v>
      </c>
      <c r="K43" s="25" t="s">
        <v>16</v>
      </c>
      <c r="L43" s="25" t="s">
        <v>14</v>
      </c>
      <c r="M43" s="31">
        <v>99.35</v>
      </c>
      <c r="N43">
        <f t="shared" si="3"/>
        <v>0.10136986301369863</v>
      </c>
      <c r="O43" s="32">
        <v>4.5</v>
      </c>
      <c r="P43" s="54">
        <v>46113</v>
      </c>
      <c r="Q43">
        <f t="shared" si="4"/>
        <v>1.0191780821917809</v>
      </c>
      <c r="R43">
        <v>4.04</v>
      </c>
      <c r="S43" s="14">
        <f t="shared" si="5"/>
        <v>0.45999999999999996</v>
      </c>
    </row>
    <row r="44" spans="1:63" x14ac:dyDescent="0.3">
      <c r="C44" s="25" t="s">
        <v>17</v>
      </c>
      <c r="D44" s="33">
        <v>1000</v>
      </c>
      <c r="E44" s="33">
        <v>1000</v>
      </c>
      <c r="F44" s="30">
        <v>4.4209999999999999E-2</v>
      </c>
      <c r="G44" s="25" t="s">
        <v>13</v>
      </c>
      <c r="H44" s="25" t="s">
        <v>25</v>
      </c>
      <c r="I44" s="25" t="s">
        <v>26</v>
      </c>
      <c r="J44" s="55">
        <f t="shared" si="2"/>
        <v>46143</v>
      </c>
      <c r="K44" s="25" t="s">
        <v>16</v>
      </c>
      <c r="L44" s="25" t="s">
        <v>14</v>
      </c>
      <c r="M44" s="34">
        <v>100</v>
      </c>
      <c r="N44">
        <f t="shared" si="3"/>
        <v>1.1013698630136985</v>
      </c>
      <c r="O44" s="35">
        <v>4.25</v>
      </c>
      <c r="P44" s="54">
        <v>46447</v>
      </c>
      <c r="Q44">
        <f t="shared" si="4"/>
        <v>1.9342465753424658</v>
      </c>
      <c r="R44">
        <v>3.95</v>
      </c>
      <c r="S44" s="14">
        <f t="shared" si="5"/>
        <v>0.29999999999999982</v>
      </c>
    </row>
    <row r="45" spans="1:63" x14ac:dyDescent="0.3">
      <c r="C45" s="25" t="s">
        <v>17</v>
      </c>
      <c r="D45" s="33">
        <v>2000</v>
      </c>
      <c r="E45" s="33">
        <v>2000</v>
      </c>
      <c r="F45" s="36">
        <v>2.0500000000000001E-2</v>
      </c>
      <c r="G45" s="25" t="s">
        <v>13</v>
      </c>
      <c r="H45" s="25" t="s">
        <v>27</v>
      </c>
      <c r="I45" s="25" t="s">
        <v>28</v>
      </c>
      <c r="J45" s="55">
        <f t="shared" si="2"/>
        <v>46266</v>
      </c>
      <c r="K45" s="25" t="s">
        <v>16</v>
      </c>
      <c r="L45" s="25" t="s">
        <v>14</v>
      </c>
      <c r="M45" s="31">
        <v>96.93</v>
      </c>
      <c r="N45">
        <f t="shared" si="3"/>
        <v>1.4383561643835616</v>
      </c>
      <c r="O45" s="35">
        <v>4.1500000000000004</v>
      </c>
      <c r="P45" s="54">
        <v>46813</v>
      </c>
      <c r="Q45">
        <f t="shared" si="4"/>
        <v>2.9369863013698629</v>
      </c>
      <c r="R45">
        <v>3.96</v>
      </c>
      <c r="S45" s="14">
        <f t="shared" si="5"/>
        <v>0.19000000000000039</v>
      </c>
    </row>
    <row r="46" spans="1:63" x14ac:dyDescent="0.3">
      <c r="C46" s="18" t="s">
        <v>17</v>
      </c>
      <c r="D46" s="19">
        <v>2250</v>
      </c>
      <c r="E46" s="19">
        <v>2250</v>
      </c>
      <c r="F46" s="37">
        <v>2.4500000000000001E-2</v>
      </c>
      <c r="G46" s="18" t="s">
        <v>13</v>
      </c>
      <c r="H46" s="18" t="s">
        <v>29</v>
      </c>
      <c r="I46" s="18" t="s">
        <v>30</v>
      </c>
      <c r="J46" s="55">
        <f t="shared" si="2"/>
        <v>46235</v>
      </c>
      <c r="K46" s="18" t="s">
        <v>16</v>
      </c>
      <c r="L46" s="18" t="s">
        <v>14</v>
      </c>
      <c r="M46" s="21">
        <v>97.69</v>
      </c>
      <c r="N46">
        <f t="shared" si="3"/>
        <v>1.3534246575342466</v>
      </c>
      <c r="O46" s="22">
        <v>4.1399999999999997</v>
      </c>
      <c r="P46" s="54">
        <v>47543</v>
      </c>
      <c r="Q46">
        <f t="shared" si="4"/>
        <v>4.9369863013698634</v>
      </c>
      <c r="R46">
        <v>3.96</v>
      </c>
      <c r="S46" s="14">
        <f t="shared" si="5"/>
        <v>0.17999999999999972</v>
      </c>
    </row>
    <row r="47" spans="1:63" x14ac:dyDescent="0.3">
      <c r="C47" s="25" t="s">
        <v>17</v>
      </c>
      <c r="D47" s="26">
        <v>2500</v>
      </c>
      <c r="E47" s="26">
        <v>2500</v>
      </c>
      <c r="F47" s="39">
        <v>7.0000000000000001E-3</v>
      </c>
      <c r="G47" s="25" t="s">
        <v>13</v>
      </c>
      <c r="H47" s="25" t="s">
        <v>31</v>
      </c>
      <c r="I47" s="25" t="s">
        <v>32</v>
      </c>
      <c r="J47" s="55">
        <f t="shared" si="2"/>
        <v>46054</v>
      </c>
      <c r="K47" s="25" t="s">
        <v>16</v>
      </c>
      <c r="L47" s="25" t="s">
        <v>14</v>
      </c>
      <c r="M47" s="31">
        <v>96.77</v>
      </c>
      <c r="N47">
        <f t="shared" si="3"/>
        <v>0.8575342465753425</v>
      </c>
      <c r="O47" s="35">
        <v>4.2699999999999996</v>
      </c>
      <c r="P47" s="54">
        <v>48274</v>
      </c>
      <c r="Q47">
        <f t="shared" si="4"/>
        <v>6.9397260273972599</v>
      </c>
      <c r="R47">
        <v>4.05</v>
      </c>
      <c r="S47" s="14">
        <f t="shared" si="5"/>
        <v>0.21999999999999975</v>
      </c>
    </row>
    <row r="48" spans="1:63" x14ac:dyDescent="0.3">
      <c r="C48" s="18" t="s">
        <v>17</v>
      </c>
      <c r="D48" s="19">
        <v>3250</v>
      </c>
      <c r="E48" s="19">
        <v>3250</v>
      </c>
      <c r="F48" s="37">
        <v>3.2500000000000001E-2</v>
      </c>
      <c r="G48" s="18" t="s">
        <v>13</v>
      </c>
      <c r="H48" s="18" t="s">
        <v>33</v>
      </c>
      <c r="I48" s="18" t="s">
        <v>32</v>
      </c>
      <c r="J48" s="55">
        <f t="shared" si="2"/>
        <v>46054</v>
      </c>
      <c r="K48" s="18" t="s">
        <v>16</v>
      </c>
      <c r="L48" s="18" t="s">
        <v>14</v>
      </c>
      <c r="M48" s="38">
        <v>99.02</v>
      </c>
      <c r="N48">
        <f t="shared" si="3"/>
        <v>0.8575342465753425</v>
      </c>
      <c r="O48" s="22">
        <v>4.29</v>
      </c>
      <c r="P48" s="54">
        <v>49369</v>
      </c>
      <c r="Q48">
        <f t="shared" si="4"/>
        <v>9.9397260273972599</v>
      </c>
      <c r="R48">
        <v>4.18</v>
      </c>
      <c r="S48" s="14">
        <f t="shared" si="5"/>
        <v>0.11000000000000032</v>
      </c>
    </row>
    <row r="49" spans="3:19" x14ac:dyDescent="0.3">
      <c r="C49" s="25" t="s">
        <v>17</v>
      </c>
      <c r="D49" s="33">
        <v>1000</v>
      </c>
      <c r="E49" s="33">
        <v>1000</v>
      </c>
      <c r="F49" s="40">
        <v>0.03</v>
      </c>
      <c r="G49" s="25" t="s">
        <v>13</v>
      </c>
      <c r="H49" s="25" t="s">
        <v>34</v>
      </c>
      <c r="I49" s="25" t="s">
        <v>35</v>
      </c>
      <c r="J49" s="55">
        <f t="shared" si="2"/>
        <v>46539</v>
      </c>
      <c r="K49" s="25" t="s">
        <v>16</v>
      </c>
      <c r="L49" s="25" t="s">
        <v>14</v>
      </c>
      <c r="M49" s="31">
        <v>97.58</v>
      </c>
      <c r="N49">
        <f t="shared" si="3"/>
        <v>2.1863013698630138</v>
      </c>
      <c r="O49" s="35">
        <v>4.1100000000000003</v>
      </c>
      <c r="P49" s="54">
        <v>56674</v>
      </c>
      <c r="Q49">
        <f t="shared" si="4"/>
        <v>29.953424657534246</v>
      </c>
      <c r="R49">
        <v>4.45</v>
      </c>
      <c r="S49" s="14">
        <f t="shared" si="5"/>
        <v>-0.33999999999999986</v>
      </c>
    </row>
    <row r="50" spans="3:19" x14ac:dyDescent="0.3">
      <c r="C50" s="25" t="s">
        <v>17</v>
      </c>
      <c r="D50" s="26">
        <v>1500</v>
      </c>
      <c r="E50" s="26">
        <v>1500</v>
      </c>
      <c r="F50" s="40">
        <v>0.03</v>
      </c>
      <c r="G50" s="25" t="s">
        <v>13</v>
      </c>
      <c r="H50" s="25" t="s">
        <v>21</v>
      </c>
      <c r="I50" s="25" t="s">
        <v>36</v>
      </c>
      <c r="J50" s="55">
        <f t="shared" si="2"/>
        <v>46692</v>
      </c>
      <c r="K50" s="25" t="s">
        <v>16</v>
      </c>
      <c r="L50" s="25" t="s">
        <v>14</v>
      </c>
      <c r="M50" s="31">
        <v>97.31</v>
      </c>
      <c r="N50">
        <f t="shared" si="3"/>
        <v>2.6054794520547944</v>
      </c>
      <c r="O50" s="42">
        <v>4.0599999999999996</v>
      </c>
    </row>
    <row r="51" spans="3:19" x14ac:dyDescent="0.3">
      <c r="C51" s="18" t="s">
        <v>17</v>
      </c>
      <c r="D51" s="28">
        <v>2000</v>
      </c>
      <c r="E51" s="28">
        <v>2000</v>
      </c>
      <c r="F51" s="24">
        <v>3.2000000000000001E-2</v>
      </c>
      <c r="G51" s="18" t="s">
        <v>13</v>
      </c>
      <c r="H51" s="18" t="s">
        <v>37</v>
      </c>
      <c r="I51" s="18" t="s">
        <v>38</v>
      </c>
      <c r="J51" s="55">
        <f t="shared" si="2"/>
        <v>46508</v>
      </c>
      <c r="K51" s="18" t="s">
        <v>16</v>
      </c>
      <c r="L51" s="18" t="s">
        <v>14</v>
      </c>
      <c r="M51" s="21">
        <v>98.14</v>
      </c>
      <c r="N51">
        <f t="shared" si="3"/>
        <v>2.1013698630136988</v>
      </c>
      <c r="O51" s="43">
        <v>4.0999999999999996</v>
      </c>
    </row>
    <row r="52" spans="3:19" x14ac:dyDescent="0.3">
      <c r="C52" s="25" t="s">
        <v>17</v>
      </c>
      <c r="D52" s="33">
        <v>2000</v>
      </c>
      <c r="E52" s="33">
        <v>2000</v>
      </c>
      <c r="F52" s="44">
        <v>2.9000000000000001E-2</v>
      </c>
      <c r="G52" s="25" t="s">
        <v>13</v>
      </c>
      <c r="H52" s="25" t="s">
        <v>39</v>
      </c>
      <c r="I52" s="25" t="s">
        <v>40</v>
      </c>
      <c r="J52" s="55">
        <f t="shared" si="2"/>
        <v>46631</v>
      </c>
      <c r="K52" s="25" t="s">
        <v>16</v>
      </c>
      <c r="L52" s="25" t="s">
        <v>14</v>
      </c>
      <c r="M52" s="45">
        <v>97.04</v>
      </c>
      <c r="N52">
        <f t="shared" si="3"/>
        <v>2.4383561643835616</v>
      </c>
      <c r="O52" s="35">
        <v>4.1399999999999997</v>
      </c>
    </row>
    <row r="53" spans="3:19" x14ac:dyDescent="0.3">
      <c r="C53" s="18" t="s">
        <v>17</v>
      </c>
      <c r="D53" s="19">
        <v>2250</v>
      </c>
      <c r="E53" s="19">
        <v>2250</v>
      </c>
      <c r="F53" s="37">
        <v>3.3500000000000002E-2</v>
      </c>
      <c r="G53" s="18" t="s">
        <v>13</v>
      </c>
      <c r="H53" s="18" t="s">
        <v>41</v>
      </c>
      <c r="I53" s="18" t="s">
        <v>42</v>
      </c>
      <c r="J53" s="55">
        <f t="shared" si="2"/>
        <v>46419</v>
      </c>
      <c r="K53" s="18" t="s">
        <v>16</v>
      </c>
      <c r="L53" s="18" t="s">
        <v>14</v>
      </c>
      <c r="M53" s="21">
        <v>98.65</v>
      </c>
      <c r="N53">
        <f t="shared" si="3"/>
        <v>1.8575342465753424</v>
      </c>
      <c r="O53" s="46">
        <v>4.08</v>
      </c>
    </row>
    <row r="54" spans="3:19" x14ac:dyDescent="0.3">
      <c r="C54" s="25" t="s">
        <v>17</v>
      </c>
      <c r="D54" s="26">
        <v>1500</v>
      </c>
      <c r="E54" s="26">
        <v>1500</v>
      </c>
      <c r="F54" s="40">
        <v>0.04</v>
      </c>
      <c r="G54" s="25" t="s">
        <v>13</v>
      </c>
      <c r="H54" s="25" t="s">
        <v>25</v>
      </c>
      <c r="I54" s="25" t="s">
        <v>43</v>
      </c>
      <c r="J54" s="55">
        <f t="shared" si="2"/>
        <v>46874</v>
      </c>
      <c r="K54" s="25" t="s">
        <v>16</v>
      </c>
      <c r="L54" s="25" t="s">
        <v>14</v>
      </c>
      <c r="M54" s="31">
        <v>99.88</v>
      </c>
      <c r="N54">
        <f t="shared" si="3"/>
        <v>3.1041095890410957</v>
      </c>
      <c r="O54" s="42">
        <v>4.04</v>
      </c>
    </row>
    <row r="55" spans="3:19" x14ac:dyDescent="0.3">
      <c r="C55" s="18" t="s">
        <v>17</v>
      </c>
      <c r="D55" s="23">
        <v>2300</v>
      </c>
      <c r="E55" s="23">
        <v>2300</v>
      </c>
      <c r="F55" s="24">
        <v>1.4E-2</v>
      </c>
      <c r="G55" s="18" t="s">
        <v>13</v>
      </c>
      <c r="H55" s="18" t="s">
        <v>44</v>
      </c>
      <c r="I55" s="18" t="s">
        <v>45</v>
      </c>
      <c r="J55" s="55">
        <f t="shared" si="2"/>
        <v>46966</v>
      </c>
      <c r="K55" s="18" t="s">
        <v>16</v>
      </c>
      <c r="L55" s="18" t="s">
        <v>14</v>
      </c>
      <c r="M55" s="21">
        <v>91.12</v>
      </c>
      <c r="N55">
        <f t="shared" si="3"/>
        <v>3.3561643835616439</v>
      </c>
      <c r="O55" s="22">
        <v>4.21</v>
      </c>
    </row>
    <row r="56" spans="3:19" x14ac:dyDescent="0.3">
      <c r="C56" s="25" t="s">
        <v>17</v>
      </c>
      <c r="D56" s="26">
        <v>2500</v>
      </c>
      <c r="E56" s="26">
        <v>2500</v>
      </c>
      <c r="F56" s="44">
        <v>1.2E-2</v>
      </c>
      <c r="G56" s="25" t="s">
        <v>13</v>
      </c>
      <c r="H56" s="25" t="s">
        <v>31</v>
      </c>
      <c r="I56" s="25" t="s">
        <v>46</v>
      </c>
      <c r="J56" s="55">
        <f t="shared" si="2"/>
        <v>46784</v>
      </c>
      <c r="K56" s="25" t="s">
        <v>16</v>
      </c>
      <c r="L56" s="25" t="s">
        <v>14</v>
      </c>
      <c r="M56" s="31">
        <v>91.97</v>
      </c>
      <c r="N56">
        <f t="shared" si="3"/>
        <v>2.8575342465753426</v>
      </c>
      <c r="O56" s="35">
        <v>4.1399999999999997</v>
      </c>
    </row>
    <row r="57" spans="3:19" x14ac:dyDescent="0.3">
      <c r="C57" s="25" t="s">
        <v>17</v>
      </c>
      <c r="D57" s="33">
        <v>1000</v>
      </c>
      <c r="E57" s="33">
        <v>1000</v>
      </c>
      <c r="F57" s="27">
        <v>3.2500000000000001E-2</v>
      </c>
      <c r="G57" s="25" t="s">
        <v>13</v>
      </c>
      <c r="H57" s="25" t="s">
        <v>47</v>
      </c>
      <c r="I57" s="25" t="s">
        <v>48</v>
      </c>
      <c r="J57" s="55">
        <f t="shared" si="2"/>
        <v>47331</v>
      </c>
      <c r="K57" s="25" t="s">
        <v>16</v>
      </c>
      <c r="L57" s="25" t="s">
        <v>14</v>
      </c>
      <c r="M57" s="31">
        <v>96.14</v>
      </c>
      <c r="N57">
        <f t="shared" si="3"/>
        <v>4.3561643835616435</v>
      </c>
      <c r="O57" s="35">
        <v>4.21</v>
      </c>
    </row>
    <row r="58" spans="3:19" x14ac:dyDescent="0.3">
      <c r="C58" s="25" t="s">
        <v>17</v>
      </c>
      <c r="D58" s="29">
        <v>1750</v>
      </c>
      <c r="E58" s="29">
        <v>1750</v>
      </c>
      <c r="F58" s="44">
        <v>2.1999999999999999E-2</v>
      </c>
      <c r="G58" s="25" t="s">
        <v>13</v>
      </c>
      <c r="H58" s="25" t="s">
        <v>27</v>
      </c>
      <c r="I58" s="25" t="s">
        <v>49</v>
      </c>
      <c r="J58" s="55">
        <f t="shared" si="2"/>
        <v>47362</v>
      </c>
      <c r="K58" s="25" t="s">
        <v>16</v>
      </c>
      <c r="L58" s="25" t="s">
        <v>14</v>
      </c>
      <c r="M58" s="31">
        <v>91.59</v>
      </c>
      <c r="N58">
        <f t="shared" si="3"/>
        <v>4.441095890410959</v>
      </c>
      <c r="O58" s="35">
        <v>4.2699999999999996</v>
      </c>
    </row>
    <row r="59" spans="3:19" x14ac:dyDescent="0.3">
      <c r="C59" s="25" t="s">
        <v>17</v>
      </c>
      <c r="D59" s="48">
        <v>500</v>
      </c>
      <c r="E59" s="48">
        <v>500</v>
      </c>
      <c r="F59" s="27">
        <v>4.1500000000000002E-2</v>
      </c>
      <c r="G59" s="25" t="s">
        <v>13</v>
      </c>
      <c r="H59" s="25" t="s">
        <v>25</v>
      </c>
      <c r="I59" s="25" t="s">
        <v>50</v>
      </c>
      <c r="J59" s="55">
        <f t="shared" si="2"/>
        <v>47604</v>
      </c>
      <c r="K59" s="25" t="s">
        <v>16</v>
      </c>
      <c r="L59" s="25" t="s">
        <v>14</v>
      </c>
      <c r="M59" s="49">
        <v>100.42</v>
      </c>
      <c r="N59">
        <f t="shared" si="3"/>
        <v>5.1041095890410961</v>
      </c>
      <c r="O59" s="42">
        <v>4.05</v>
      </c>
    </row>
    <row r="60" spans="3:19" x14ac:dyDescent="0.3">
      <c r="C60" s="18" t="s">
        <v>15</v>
      </c>
      <c r="D60" s="19">
        <v>1250</v>
      </c>
      <c r="E60" s="19">
        <v>1250</v>
      </c>
      <c r="F60" s="37">
        <v>1.2500000000000001E-2</v>
      </c>
      <c r="G60" s="18" t="s">
        <v>13</v>
      </c>
      <c r="H60" s="18" t="s">
        <v>18</v>
      </c>
      <c r="I60" s="18" t="s">
        <v>51</v>
      </c>
      <c r="J60" s="55">
        <f t="shared" si="2"/>
        <v>47696</v>
      </c>
      <c r="K60" s="18" t="s">
        <v>16</v>
      </c>
      <c r="L60" s="18" t="s">
        <v>14</v>
      </c>
      <c r="M60" s="50">
        <v>85.4</v>
      </c>
      <c r="N60">
        <f t="shared" si="3"/>
        <v>5.3561643835616435</v>
      </c>
      <c r="O60" s="22">
        <v>4.2699999999999996</v>
      </c>
    </row>
    <row r="61" spans="3:19" x14ac:dyDescent="0.3">
      <c r="C61" s="25" t="s">
        <v>17</v>
      </c>
      <c r="D61" s="29">
        <v>1750</v>
      </c>
      <c r="E61" s="29">
        <v>1750</v>
      </c>
      <c r="F61" s="27">
        <v>1.6500000000000001E-2</v>
      </c>
      <c r="G61" s="25" t="s">
        <v>13</v>
      </c>
      <c r="H61" s="25" t="s">
        <v>24</v>
      </c>
      <c r="I61" s="25" t="s">
        <v>50</v>
      </c>
      <c r="J61" s="55">
        <f t="shared" si="2"/>
        <v>47604</v>
      </c>
      <c r="K61" s="25" t="s">
        <v>16</v>
      </c>
      <c r="L61" s="25" t="s">
        <v>14</v>
      </c>
      <c r="M61" s="31">
        <v>87.77</v>
      </c>
      <c r="N61">
        <f t="shared" si="3"/>
        <v>5.1041095890410961</v>
      </c>
      <c r="O61" s="32">
        <v>4.3</v>
      </c>
    </row>
    <row r="62" spans="3:19" x14ac:dyDescent="0.3">
      <c r="C62" s="18" t="s">
        <v>17</v>
      </c>
      <c r="D62" s="28">
        <v>1000</v>
      </c>
      <c r="E62" s="28">
        <v>1000</v>
      </c>
      <c r="F62" s="24">
        <v>1.7000000000000001E-2</v>
      </c>
      <c r="G62" s="18" t="s">
        <v>13</v>
      </c>
      <c r="H62" s="18" t="s">
        <v>44</v>
      </c>
      <c r="I62" s="18" t="s">
        <v>52</v>
      </c>
      <c r="J62" s="55">
        <f t="shared" si="2"/>
        <v>48061</v>
      </c>
      <c r="K62" s="18" t="s">
        <v>16</v>
      </c>
      <c r="L62" s="18" t="s">
        <v>14</v>
      </c>
      <c r="M62" s="21">
        <v>85.45</v>
      </c>
      <c r="N62">
        <f t="shared" si="3"/>
        <v>6.3561643835616435</v>
      </c>
      <c r="O62" s="22">
        <v>4.32</v>
      </c>
    </row>
    <row r="63" spans="3:19" x14ac:dyDescent="0.3">
      <c r="C63" s="18" t="s">
        <v>17</v>
      </c>
      <c r="D63" s="19">
        <v>2750</v>
      </c>
      <c r="E63" s="19">
        <v>2750</v>
      </c>
      <c r="F63" s="37">
        <v>1.6500000000000001E-2</v>
      </c>
      <c r="G63" s="18" t="s">
        <v>13</v>
      </c>
      <c r="H63" s="18" t="s">
        <v>31</v>
      </c>
      <c r="I63" s="18" t="s">
        <v>53</v>
      </c>
      <c r="J63" s="55">
        <f t="shared" si="2"/>
        <v>47880</v>
      </c>
      <c r="K63" s="18" t="s">
        <v>16</v>
      </c>
      <c r="L63" s="18" t="s">
        <v>14</v>
      </c>
      <c r="M63" s="21">
        <v>86.28</v>
      </c>
      <c r="N63">
        <f t="shared" si="3"/>
        <v>5.86027397260274</v>
      </c>
      <c r="O63" s="22">
        <v>4.29</v>
      </c>
    </row>
    <row r="64" spans="3:19" x14ac:dyDescent="0.3">
      <c r="C64" s="25" t="s">
        <v>17</v>
      </c>
      <c r="D64" s="26">
        <v>1500</v>
      </c>
      <c r="E64" s="26">
        <v>1500</v>
      </c>
      <c r="F64" s="27">
        <v>3.3500000000000002E-2</v>
      </c>
      <c r="G64" s="25" t="s">
        <v>13</v>
      </c>
      <c r="H64" s="25" t="s">
        <v>47</v>
      </c>
      <c r="I64" s="25" t="s">
        <v>54</v>
      </c>
      <c r="J64" s="55">
        <f t="shared" si="2"/>
        <v>48427</v>
      </c>
      <c r="K64" s="25" t="s">
        <v>16</v>
      </c>
      <c r="L64" s="25" t="s">
        <v>14</v>
      </c>
      <c r="M64" s="31">
        <v>93.75</v>
      </c>
      <c r="N64">
        <f t="shared" si="3"/>
        <v>7.3589041095890408</v>
      </c>
      <c r="O64" s="35">
        <v>4.34</v>
      </c>
    </row>
    <row r="65" spans="3:15" x14ac:dyDescent="0.3">
      <c r="C65" s="18" t="s">
        <v>17</v>
      </c>
      <c r="D65" s="28">
        <v>1000</v>
      </c>
      <c r="E65" s="28">
        <v>1000</v>
      </c>
      <c r="F65" s="24">
        <v>4.2999999999999997E-2</v>
      </c>
      <c r="G65" s="18" t="s">
        <v>13</v>
      </c>
      <c r="H65" s="18" t="s">
        <v>25</v>
      </c>
      <c r="I65" s="18" t="s">
        <v>55</v>
      </c>
      <c r="J65" s="55">
        <f t="shared" si="2"/>
        <v>48700</v>
      </c>
      <c r="K65" s="18" t="s">
        <v>16</v>
      </c>
      <c r="L65" s="18" t="s">
        <v>14</v>
      </c>
      <c r="M65" s="21">
        <v>99.92</v>
      </c>
      <c r="N65">
        <f t="shared" si="3"/>
        <v>8.1068493150684926</v>
      </c>
      <c r="O65" s="22">
        <v>4.3099999999999996</v>
      </c>
    </row>
    <row r="66" spans="3:15" x14ac:dyDescent="0.3">
      <c r="C66" s="25" t="s">
        <v>17</v>
      </c>
      <c r="D66" s="29">
        <v>1250</v>
      </c>
      <c r="E66" s="29">
        <v>1250</v>
      </c>
      <c r="F66" s="44">
        <v>4.4999999999999998E-2</v>
      </c>
      <c r="G66" s="25" t="s">
        <v>13</v>
      </c>
      <c r="H66" s="25" t="s">
        <v>33</v>
      </c>
      <c r="I66" s="25" t="s">
        <v>56</v>
      </c>
      <c r="J66" s="55">
        <f t="shared" si="2"/>
        <v>49706</v>
      </c>
      <c r="K66" s="25" t="s">
        <v>16</v>
      </c>
      <c r="L66" s="25" t="s">
        <v>14</v>
      </c>
      <c r="M66" s="49">
        <v>100.12</v>
      </c>
      <c r="N66">
        <f t="shared" si="3"/>
        <v>10.863013698630137</v>
      </c>
      <c r="O66" s="35">
        <v>4.4800000000000004</v>
      </c>
    </row>
    <row r="67" spans="3:15" x14ac:dyDescent="0.3">
      <c r="C67" s="18" t="s">
        <v>17</v>
      </c>
      <c r="D67" s="23">
        <v>1500</v>
      </c>
      <c r="E67" s="23">
        <v>1500</v>
      </c>
      <c r="F67" s="52">
        <v>2.375E-2</v>
      </c>
      <c r="G67" s="18" t="s">
        <v>13</v>
      </c>
      <c r="H67" s="18" t="s">
        <v>31</v>
      </c>
      <c r="I67" s="18" t="s">
        <v>57</v>
      </c>
      <c r="J67" s="55">
        <f t="shared" si="2"/>
        <v>51533</v>
      </c>
      <c r="K67" s="18" t="s">
        <v>16</v>
      </c>
      <c r="L67" s="18" t="s">
        <v>14</v>
      </c>
      <c r="M67" s="21">
        <v>71.27</v>
      </c>
      <c r="N67">
        <f t="shared" si="3"/>
        <v>15.868493150684932</v>
      </c>
      <c r="O67" s="46">
        <v>5.0199999999999996</v>
      </c>
    </row>
    <row r="68" spans="3:15" x14ac:dyDescent="0.3">
      <c r="C68" s="18" t="s">
        <v>17</v>
      </c>
      <c r="D68" s="28">
        <v>3000</v>
      </c>
      <c r="E68" s="28">
        <v>3000</v>
      </c>
      <c r="F68" s="37">
        <v>3.85E-2</v>
      </c>
      <c r="G68" s="18" t="s">
        <v>13</v>
      </c>
      <c r="H68" s="18" t="s">
        <v>58</v>
      </c>
      <c r="I68" s="18" t="s">
        <v>59</v>
      </c>
      <c r="J68" s="55">
        <f t="shared" si="2"/>
        <v>52352</v>
      </c>
      <c r="K68" s="18" t="s">
        <v>16</v>
      </c>
      <c r="L68" s="18" t="s">
        <v>14</v>
      </c>
      <c r="M68" s="21">
        <v>85.47</v>
      </c>
      <c r="N68">
        <f t="shared" si="3"/>
        <v>18.112328767123287</v>
      </c>
      <c r="O68" s="46">
        <v>5.08</v>
      </c>
    </row>
    <row r="69" spans="3:15" x14ac:dyDescent="0.3">
      <c r="C69" s="25" t="s">
        <v>17</v>
      </c>
      <c r="D69" s="33">
        <v>1000</v>
      </c>
      <c r="E69" s="33">
        <v>1000</v>
      </c>
      <c r="F69" s="27">
        <v>4.4499999999999998E-2</v>
      </c>
      <c r="G69" s="25" t="s">
        <v>13</v>
      </c>
      <c r="H69" s="25" t="s">
        <v>60</v>
      </c>
      <c r="I69" s="25" t="s">
        <v>61</v>
      </c>
      <c r="J69" s="55">
        <f t="shared" si="2"/>
        <v>52718</v>
      </c>
      <c r="K69" s="25" t="s">
        <v>16</v>
      </c>
      <c r="L69" s="25" t="s">
        <v>14</v>
      </c>
      <c r="M69" s="31">
        <v>93.74</v>
      </c>
      <c r="N69">
        <f t="shared" si="3"/>
        <v>19.115068493150684</v>
      </c>
      <c r="O69" s="35">
        <v>4.96</v>
      </c>
    </row>
    <row r="70" spans="3:15" x14ac:dyDescent="0.3">
      <c r="C70" s="18" t="s">
        <v>17</v>
      </c>
      <c r="D70" s="28">
        <v>2000</v>
      </c>
      <c r="E70" s="28">
        <v>2000</v>
      </c>
      <c r="F70" s="37">
        <v>3.4500000000000003E-2</v>
      </c>
      <c r="G70" s="18" t="s">
        <v>13</v>
      </c>
      <c r="H70" s="18" t="s">
        <v>20</v>
      </c>
      <c r="I70" s="18" t="s">
        <v>62</v>
      </c>
      <c r="J70" s="55">
        <f t="shared" si="2"/>
        <v>52994</v>
      </c>
      <c r="K70" s="18" t="s">
        <v>16</v>
      </c>
      <c r="L70" s="18" t="s">
        <v>14</v>
      </c>
      <c r="M70" s="21">
        <v>79.239999999999995</v>
      </c>
      <c r="N70">
        <f t="shared" si="3"/>
        <v>19.87123287671233</v>
      </c>
      <c r="O70" s="22">
        <v>5.12</v>
      </c>
    </row>
    <row r="71" spans="3:15" x14ac:dyDescent="0.3">
      <c r="C71" s="25" t="s">
        <v>17</v>
      </c>
      <c r="D71" s="33">
        <v>2000</v>
      </c>
      <c r="E71" s="33">
        <v>2000</v>
      </c>
      <c r="F71" s="30">
        <v>4.3749999999999997E-2</v>
      </c>
      <c r="G71" s="25" t="s">
        <v>13</v>
      </c>
      <c r="H71" s="25" t="s">
        <v>22</v>
      </c>
      <c r="I71" s="25" t="s">
        <v>63</v>
      </c>
      <c r="J71" s="55">
        <f t="shared" si="2"/>
        <v>53083</v>
      </c>
      <c r="K71" s="25" t="s">
        <v>16</v>
      </c>
      <c r="L71" s="25" t="s">
        <v>14</v>
      </c>
      <c r="M71" s="41">
        <v>90.91</v>
      </c>
      <c r="N71">
        <f t="shared" si="3"/>
        <v>20.115068493150684</v>
      </c>
      <c r="O71" s="32">
        <v>5.0999999999999996</v>
      </c>
    </row>
    <row r="72" spans="3:15" x14ac:dyDescent="0.3">
      <c r="C72" s="18" t="s">
        <v>17</v>
      </c>
      <c r="D72" s="28">
        <v>2000</v>
      </c>
      <c r="E72" s="28">
        <v>2000</v>
      </c>
      <c r="F72" s="37">
        <v>3.85E-2</v>
      </c>
      <c r="G72" s="18" t="s">
        <v>13</v>
      </c>
      <c r="H72" s="18" t="s">
        <v>29</v>
      </c>
      <c r="I72" s="18" t="s">
        <v>64</v>
      </c>
      <c r="J72" s="55">
        <f t="shared" si="2"/>
        <v>53540</v>
      </c>
      <c r="K72" s="18" t="s">
        <v>16</v>
      </c>
      <c r="L72" s="18" t="s">
        <v>14</v>
      </c>
      <c r="M72" s="21">
        <v>83.22</v>
      </c>
      <c r="N72">
        <f t="shared" si="3"/>
        <v>21.367123287671234</v>
      </c>
      <c r="O72" s="22">
        <v>5.15</v>
      </c>
    </row>
    <row r="73" spans="3:15" x14ac:dyDescent="0.3">
      <c r="C73" s="25" t="s">
        <v>17</v>
      </c>
      <c r="D73" s="33">
        <v>4000</v>
      </c>
      <c r="E73" s="33">
        <v>4000</v>
      </c>
      <c r="F73" s="27">
        <v>4.65E-2</v>
      </c>
      <c r="G73" s="25" t="s">
        <v>13</v>
      </c>
      <c r="H73" s="25" t="s">
        <v>33</v>
      </c>
      <c r="I73" s="25" t="s">
        <v>65</v>
      </c>
      <c r="J73" s="55">
        <f t="shared" si="2"/>
        <v>53359</v>
      </c>
      <c r="K73" s="25" t="s">
        <v>16</v>
      </c>
      <c r="L73" s="25" t="s">
        <v>14</v>
      </c>
      <c r="M73" s="31">
        <v>94.25</v>
      </c>
      <c r="N73">
        <f t="shared" si="3"/>
        <v>20.87123287671233</v>
      </c>
      <c r="O73" s="32">
        <v>5.0999999999999996</v>
      </c>
    </row>
    <row r="74" spans="3:15" x14ac:dyDescent="0.3">
      <c r="C74" s="18" t="s">
        <v>17</v>
      </c>
      <c r="D74" s="28">
        <v>1000</v>
      </c>
      <c r="E74" s="28">
        <v>1000</v>
      </c>
      <c r="F74" s="37">
        <v>4.2500000000000003E-2</v>
      </c>
      <c r="G74" s="18" t="s">
        <v>13</v>
      </c>
      <c r="H74" s="18" t="s">
        <v>41</v>
      </c>
      <c r="I74" s="18" t="s">
        <v>66</v>
      </c>
      <c r="J74" s="55">
        <f t="shared" si="2"/>
        <v>53724</v>
      </c>
      <c r="K74" s="18" t="s">
        <v>16</v>
      </c>
      <c r="L74" s="18" t="s">
        <v>14</v>
      </c>
      <c r="M74" s="21">
        <v>88.64</v>
      </c>
      <c r="N74">
        <f t="shared" si="3"/>
        <v>21.87123287671233</v>
      </c>
      <c r="O74" s="22">
        <v>5.12</v>
      </c>
    </row>
    <row r="75" spans="3:15" x14ac:dyDescent="0.3">
      <c r="C75" s="25" t="s">
        <v>17</v>
      </c>
      <c r="D75" s="33">
        <v>1000</v>
      </c>
      <c r="E75" s="33">
        <v>1000</v>
      </c>
      <c r="F75" s="27">
        <v>3.7499999999999999E-2</v>
      </c>
      <c r="G75" s="25" t="s">
        <v>13</v>
      </c>
      <c r="H75" s="25" t="s">
        <v>39</v>
      </c>
      <c r="I75" s="25" t="s">
        <v>67</v>
      </c>
      <c r="J75" s="55">
        <f t="shared" si="2"/>
        <v>53936</v>
      </c>
      <c r="K75" s="25" t="s">
        <v>16</v>
      </c>
      <c r="L75" s="25" t="s">
        <v>14</v>
      </c>
      <c r="M75" s="31">
        <v>81.28</v>
      </c>
      <c r="N75">
        <f t="shared" si="3"/>
        <v>22.452054794520549</v>
      </c>
      <c r="O75" s="35">
        <v>5.17</v>
      </c>
    </row>
    <row r="76" spans="3:15" x14ac:dyDescent="0.3">
      <c r="C76" s="18" t="s">
        <v>17</v>
      </c>
      <c r="D76" s="19">
        <v>1250</v>
      </c>
      <c r="E76" s="19">
        <v>1250</v>
      </c>
      <c r="F76" s="37">
        <v>3.7499999999999999E-2</v>
      </c>
      <c r="G76" s="18" t="s">
        <v>13</v>
      </c>
      <c r="H76" s="18" t="s">
        <v>21</v>
      </c>
      <c r="I76" s="18" t="s">
        <v>68</v>
      </c>
      <c r="J76" s="55">
        <f t="shared" si="2"/>
        <v>53997</v>
      </c>
      <c r="K76" s="18" t="s">
        <v>16</v>
      </c>
      <c r="L76" s="18" t="s">
        <v>14</v>
      </c>
      <c r="M76" s="21">
        <v>81.27</v>
      </c>
      <c r="N76">
        <f t="shared" si="3"/>
        <v>22.61917808219178</v>
      </c>
      <c r="O76" s="22">
        <v>5.16</v>
      </c>
    </row>
    <row r="77" spans="3:15" x14ac:dyDescent="0.3">
      <c r="C77" s="25" t="s">
        <v>17</v>
      </c>
      <c r="D77" s="26">
        <v>1500</v>
      </c>
      <c r="E77" s="26">
        <v>1500</v>
      </c>
      <c r="F77" s="27">
        <v>2.9499999999999998E-2</v>
      </c>
      <c r="G77" s="25" t="s">
        <v>13</v>
      </c>
      <c r="H77" s="25" t="s">
        <v>27</v>
      </c>
      <c r="I77" s="25" t="s">
        <v>69</v>
      </c>
      <c r="J77" s="55">
        <f t="shared" si="2"/>
        <v>54667</v>
      </c>
      <c r="K77" s="25" t="s">
        <v>16</v>
      </c>
      <c r="L77" s="25" t="s">
        <v>14</v>
      </c>
      <c r="M77" s="45">
        <v>69.069999999999993</v>
      </c>
      <c r="N77">
        <f t="shared" si="3"/>
        <v>24.454794520547946</v>
      </c>
      <c r="O77" s="35">
        <v>5.19</v>
      </c>
    </row>
    <row r="78" spans="3:15" x14ac:dyDescent="0.3">
      <c r="C78" s="18" t="s">
        <v>15</v>
      </c>
      <c r="D78" s="19">
        <v>1250</v>
      </c>
      <c r="E78" s="19">
        <v>1250</v>
      </c>
      <c r="F78" s="24">
        <v>2.4E-2</v>
      </c>
      <c r="G78" s="18" t="s">
        <v>13</v>
      </c>
      <c r="H78" s="18" t="s">
        <v>18</v>
      </c>
      <c r="I78" s="18" t="s">
        <v>70</v>
      </c>
      <c r="J78" s="55">
        <f t="shared" si="2"/>
        <v>55001</v>
      </c>
      <c r="K78" s="18" t="s">
        <v>16</v>
      </c>
      <c r="L78" s="18" t="s">
        <v>14</v>
      </c>
      <c r="M78" s="50">
        <v>61.2</v>
      </c>
      <c r="N78">
        <f t="shared" si="3"/>
        <v>25.36986301369863</v>
      </c>
      <c r="O78" s="22">
        <v>5.15</v>
      </c>
    </row>
    <row r="79" spans="3:15" x14ac:dyDescent="0.3">
      <c r="C79" s="25" t="s">
        <v>17</v>
      </c>
      <c r="D79" s="26">
        <v>2500</v>
      </c>
      <c r="E79" s="26">
        <v>2500</v>
      </c>
      <c r="F79" s="27">
        <v>2.6499999999999999E-2</v>
      </c>
      <c r="G79" s="25" t="s">
        <v>13</v>
      </c>
      <c r="H79" s="25" t="s">
        <v>24</v>
      </c>
      <c r="I79" s="25" t="s">
        <v>71</v>
      </c>
      <c r="J79" s="55">
        <f t="shared" si="2"/>
        <v>54909</v>
      </c>
      <c r="K79" s="25" t="s">
        <v>16</v>
      </c>
      <c r="L79" s="25" t="s">
        <v>14</v>
      </c>
      <c r="M79" s="31">
        <v>64.489999999999995</v>
      </c>
      <c r="N79">
        <f t="shared" si="3"/>
        <v>25.117808219178084</v>
      </c>
      <c r="O79" s="35">
        <v>5.19</v>
      </c>
    </row>
    <row r="80" spans="3:15" x14ac:dyDescent="0.3">
      <c r="C80" s="18" t="s">
        <v>17</v>
      </c>
      <c r="D80" s="23">
        <v>1800</v>
      </c>
      <c r="E80" s="23">
        <v>1800</v>
      </c>
      <c r="F80" s="24">
        <v>2.7E-2</v>
      </c>
      <c r="G80" s="18" t="s">
        <v>13</v>
      </c>
      <c r="H80" s="18" t="s">
        <v>44</v>
      </c>
      <c r="I80" s="18" t="s">
        <v>72</v>
      </c>
      <c r="J80" s="55">
        <f t="shared" si="2"/>
        <v>55366</v>
      </c>
      <c r="K80" s="18" t="s">
        <v>16</v>
      </c>
      <c r="L80" s="18" t="s">
        <v>14</v>
      </c>
      <c r="M80" s="21">
        <v>64.39</v>
      </c>
      <c r="N80">
        <f t="shared" si="3"/>
        <v>26.36986301369863</v>
      </c>
      <c r="O80" s="22">
        <v>5.19</v>
      </c>
    </row>
    <row r="81" spans="3:15" x14ac:dyDescent="0.3">
      <c r="C81" s="25" t="s">
        <v>17</v>
      </c>
      <c r="D81" s="33">
        <v>3000</v>
      </c>
      <c r="E81" s="33">
        <v>3000</v>
      </c>
      <c r="F81" s="27">
        <v>2.6499999999999999E-2</v>
      </c>
      <c r="G81" s="25" t="s">
        <v>13</v>
      </c>
      <c r="H81" s="25" t="s">
        <v>31</v>
      </c>
      <c r="I81" s="25" t="s">
        <v>73</v>
      </c>
      <c r="J81" s="55">
        <f t="shared" si="2"/>
        <v>55185</v>
      </c>
      <c r="K81" s="25" t="s">
        <v>16</v>
      </c>
      <c r="L81" s="25" t="s">
        <v>14</v>
      </c>
      <c r="M81" s="47">
        <v>63.9</v>
      </c>
      <c r="N81">
        <f t="shared" si="3"/>
        <v>25.873972602739727</v>
      </c>
      <c r="O81" s="32">
        <v>5.2</v>
      </c>
    </row>
    <row r="82" spans="3:15" x14ac:dyDescent="0.3">
      <c r="C82" s="18" t="s">
        <v>17</v>
      </c>
      <c r="D82" s="19">
        <v>1750</v>
      </c>
      <c r="E82" s="19">
        <v>1750</v>
      </c>
      <c r="F82" s="37">
        <v>3.95E-2</v>
      </c>
      <c r="G82" s="18" t="s">
        <v>13</v>
      </c>
      <c r="H82" s="18" t="s">
        <v>47</v>
      </c>
      <c r="I82" s="18" t="s">
        <v>74</v>
      </c>
      <c r="J82" s="55">
        <f t="shared" si="2"/>
        <v>55732</v>
      </c>
      <c r="K82" s="18" t="s">
        <v>16</v>
      </c>
      <c r="L82" s="18" t="s">
        <v>14</v>
      </c>
      <c r="M82" s="50">
        <v>82.3</v>
      </c>
      <c r="N82">
        <f t="shared" si="3"/>
        <v>27.372602739726027</v>
      </c>
      <c r="O82" s="22">
        <v>5.16</v>
      </c>
    </row>
    <row r="83" spans="3:15" x14ac:dyDescent="0.3">
      <c r="C83" s="25" t="s">
        <v>17</v>
      </c>
      <c r="D83" s="29">
        <v>1250</v>
      </c>
      <c r="E83" s="29">
        <v>1250</v>
      </c>
      <c r="F83" s="27">
        <v>4.8500000000000001E-2</v>
      </c>
      <c r="G83" s="25" t="s">
        <v>13</v>
      </c>
      <c r="H83" s="25" t="s">
        <v>25</v>
      </c>
      <c r="I83" s="25" t="s">
        <v>75</v>
      </c>
      <c r="J83" s="55">
        <f t="shared" si="2"/>
        <v>56005</v>
      </c>
      <c r="K83" s="25" t="s">
        <v>16</v>
      </c>
      <c r="L83" s="25" t="s">
        <v>14</v>
      </c>
      <c r="M83" s="31">
        <v>97.98</v>
      </c>
      <c r="N83">
        <f t="shared" si="3"/>
        <v>28.12054794520548</v>
      </c>
      <c r="O83" s="35">
        <v>4.9800000000000004</v>
      </c>
    </row>
    <row r="84" spans="3:15" x14ac:dyDescent="0.3">
      <c r="C84" s="18" t="s">
        <v>15</v>
      </c>
      <c r="D84" s="19">
        <v>1750</v>
      </c>
      <c r="E84" s="19">
        <v>1750</v>
      </c>
      <c r="F84" s="37">
        <v>2.5499999999999998E-2</v>
      </c>
      <c r="G84" s="18" t="s">
        <v>13</v>
      </c>
      <c r="H84" s="18" t="s">
        <v>18</v>
      </c>
      <c r="I84" s="18" t="s">
        <v>76</v>
      </c>
      <c r="J84" s="55">
        <f t="shared" si="2"/>
        <v>58654</v>
      </c>
      <c r="K84" s="18" t="s">
        <v>16</v>
      </c>
      <c r="L84" s="18" t="s">
        <v>14</v>
      </c>
      <c r="M84" s="51">
        <v>60.35</v>
      </c>
      <c r="N84">
        <f t="shared" si="3"/>
        <v>35.37808219178082</v>
      </c>
      <c r="O84" s="22">
        <v>4.93</v>
      </c>
    </row>
    <row r="85" spans="3:15" x14ac:dyDescent="0.3">
      <c r="C85" s="25" t="s">
        <v>17</v>
      </c>
      <c r="D85" s="26">
        <v>1400</v>
      </c>
      <c r="E85" s="26">
        <v>1400</v>
      </c>
      <c r="F85" s="27">
        <v>2.8500000000000001E-2</v>
      </c>
      <c r="G85" s="25" t="s">
        <v>13</v>
      </c>
      <c r="H85" s="25" t="s">
        <v>44</v>
      </c>
      <c r="I85" s="25" t="s">
        <v>77</v>
      </c>
      <c r="J85" s="55">
        <f t="shared" si="2"/>
        <v>59019</v>
      </c>
      <c r="K85" s="25" t="s">
        <v>16</v>
      </c>
      <c r="L85" s="25" t="s">
        <v>14</v>
      </c>
      <c r="M85" s="31">
        <v>62.32</v>
      </c>
      <c r="N85">
        <f t="shared" si="3"/>
        <v>36.37808219178082</v>
      </c>
      <c r="O85" s="35">
        <v>5.15</v>
      </c>
    </row>
    <row r="86" spans="3:15" x14ac:dyDescent="0.3">
      <c r="C86" s="18" t="s">
        <v>17</v>
      </c>
      <c r="D86" s="19">
        <v>1750</v>
      </c>
      <c r="E86" s="19">
        <v>1750</v>
      </c>
      <c r="F86" s="24">
        <v>2.8000000000000001E-2</v>
      </c>
      <c r="G86" s="18" t="s">
        <v>13</v>
      </c>
      <c r="H86" s="18" t="s">
        <v>31</v>
      </c>
      <c r="I86" s="18" t="s">
        <v>78</v>
      </c>
      <c r="J86" s="55">
        <f t="shared" si="2"/>
        <v>58838</v>
      </c>
      <c r="K86" s="18" t="s">
        <v>16</v>
      </c>
      <c r="L86" s="18" t="s">
        <v>14</v>
      </c>
      <c r="M86" s="21">
        <v>61.44</v>
      </c>
      <c r="N86">
        <f t="shared" si="3"/>
        <v>35.88219178082192</v>
      </c>
      <c r="O86" s="22">
        <v>5.17</v>
      </c>
    </row>
    <row r="87" spans="3:15" x14ac:dyDescent="0.3">
      <c r="C87" s="25" t="s">
        <v>17</v>
      </c>
      <c r="D87" s="29">
        <v>1250</v>
      </c>
      <c r="E87" s="29">
        <v>1250</v>
      </c>
      <c r="F87" s="44">
        <v>4.1000000000000002E-2</v>
      </c>
      <c r="G87" s="25" t="s">
        <v>13</v>
      </c>
      <c r="H87" s="25" t="s">
        <v>47</v>
      </c>
      <c r="I87" s="25" t="s">
        <v>79</v>
      </c>
      <c r="J87" s="55">
        <f t="shared" si="2"/>
        <v>59384</v>
      </c>
      <c r="K87" s="25" t="s">
        <v>16</v>
      </c>
      <c r="L87" s="25" t="s">
        <v>14</v>
      </c>
      <c r="M87" s="31">
        <v>82.22</v>
      </c>
      <c r="N87">
        <f t="shared" si="3"/>
        <v>37.37808219178082</v>
      </c>
      <c r="O87" s="35">
        <v>5.18</v>
      </c>
    </row>
    <row r="105" spans="1:63" x14ac:dyDescent="0.3">
      <c r="A105" s="1" t="s">
        <v>93</v>
      </c>
    </row>
    <row r="106" spans="1:63" x14ac:dyDescent="0.3">
      <c r="B106" t="s">
        <v>158</v>
      </c>
    </row>
    <row r="108" spans="1:63" x14ac:dyDescent="0.3">
      <c r="A108" s="1" t="s">
        <v>94</v>
      </c>
    </row>
    <row r="109" spans="1:63" x14ac:dyDescent="0.3">
      <c r="A109"/>
      <c r="D109" s="16">
        <v>22250000</v>
      </c>
      <c r="E109" s="16">
        <v>0</v>
      </c>
      <c r="F109" s="16"/>
      <c r="G109" s="16">
        <f>C37</f>
        <v>-99.46</v>
      </c>
      <c r="H109" s="16"/>
      <c r="I109" s="59"/>
      <c r="J109" s="1">
        <f>RATE(60,0.045*100/2,C37,100)*2</f>
        <v>4.5331064958511046E-2</v>
      </c>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row>
    <row r="110" spans="1:63" x14ac:dyDescent="0.3">
      <c r="A110"/>
      <c r="B110">
        <v>0.8575342465753425</v>
      </c>
      <c r="C110">
        <v>4.29</v>
      </c>
      <c r="D110">
        <f t="shared" ref="D110:D148" si="6">C110/100</f>
        <v>4.2900000000000001E-2</v>
      </c>
      <c r="E110" s="16"/>
      <c r="F110" s="15"/>
      <c r="G110" s="58"/>
      <c r="H110" s="16"/>
      <c r="I110" s="60" t="s">
        <v>96</v>
      </c>
      <c r="J110" s="1">
        <f>PV(J109/2,60,0.045*100/2,100)</f>
        <v>-99.459999999998814</v>
      </c>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row>
    <row r="111" spans="1:63" x14ac:dyDescent="0.3">
      <c r="A111"/>
      <c r="B111">
        <v>1.1013698630136985</v>
      </c>
      <c r="C111">
        <v>4.25</v>
      </c>
      <c r="D111" s="69">
        <f>J109</f>
        <v>4.5331064958511046E-2</v>
      </c>
      <c r="E111" s="16"/>
      <c r="F111" s="15"/>
      <c r="G111" s="58"/>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row>
    <row r="112" spans="1:63" x14ac:dyDescent="0.3">
      <c r="A112"/>
      <c r="B112">
        <v>1.3534246575342466</v>
      </c>
      <c r="C112">
        <v>4.1399999999999997</v>
      </c>
      <c r="D112">
        <f t="shared" si="6"/>
        <v>4.1399999999999999E-2</v>
      </c>
      <c r="E112" s="16"/>
      <c r="F112" s="15"/>
      <c r="G112" s="58"/>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row>
    <row r="113" spans="1:63" x14ac:dyDescent="0.3">
      <c r="A113"/>
      <c r="B113">
        <v>1.4383561643835616</v>
      </c>
      <c r="C113">
        <v>4.1500000000000004</v>
      </c>
      <c r="D113">
        <f t="shared" si="6"/>
        <v>4.1500000000000002E-2</v>
      </c>
      <c r="E113" s="16">
        <v>1</v>
      </c>
      <c r="F113" s="15">
        <f>D111</f>
        <v>4.5331064958511046E-2</v>
      </c>
      <c r="G113" s="58">
        <f t="shared" ref="G113:G150" si="7">(0.045*100/2)/(1+F113/2)^E113</f>
        <v>2.200132818151511</v>
      </c>
      <c r="H113" s="16"/>
      <c r="I113" s="60" t="s">
        <v>95</v>
      </c>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row>
    <row r="114" spans="1:63" x14ac:dyDescent="0.3">
      <c r="A114"/>
      <c r="B114">
        <v>1.8575342465753424</v>
      </c>
      <c r="C114">
        <v>4.08</v>
      </c>
      <c r="D114">
        <f t="shared" si="6"/>
        <v>4.0800000000000003E-2</v>
      </c>
      <c r="E114" s="16">
        <f t="shared" ref="E114:E151" si="8">1+E113</f>
        <v>2</v>
      </c>
      <c r="F114" s="15">
        <f>D115</f>
        <v>4.0999999999999995E-2</v>
      </c>
      <c r="G114" s="58">
        <f t="shared" si="7"/>
        <v>2.16051109050357</v>
      </c>
      <c r="H114" s="16"/>
      <c r="I114">
        <f>SUM(G110:G152)</f>
        <v>92.474670186078356</v>
      </c>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row>
    <row r="115" spans="1:63" x14ac:dyDescent="0.3">
      <c r="A115"/>
      <c r="B115">
        <v>2.1013698630136988</v>
      </c>
      <c r="C115">
        <v>4.0999999999999996</v>
      </c>
      <c r="D115">
        <f t="shared" si="6"/>
        <v>4.0999999999999995E-2</v>
      </c>
      <c r="E115" s="16">
        <f t="shared" si="8"/>
        <v>3</v>
      </c>
      <c r="F115" s="15">
        <f>D120</f>
        <v>4.0399999999999998E-2</v>
      </c>
      <c r="G115" s="58">
        <f t="shared" si="7"/>
        <v>2.118978550340564</v>
      </c>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row>
    <row r="116" spans="1:63" x14ac:dyDescent="0.3">
      <c r="A116"/>
      <c r="B116">
        <v>2.1863013698630138</v>
      </c>
      <c r="C116">
        <v>4.1100000000000003</v>
      </c>
      <c r="D116">
        <f t="shared" si="6"/>
        <v>4.1100000000000005E-2</v>
      </c>
      <c r="E116" s="16">
        <f t="shared" si="8"/>
        <v>4</v>
      </c>
      <c r="F116" s="15">
        <f>D123</f>
        <v>4.2699999999999995E-2</v>
      </c>
      <c r="G116" s="58">
        <f t="shared" si="7"/>
        <v>2.0676838954337864</v>
      </c>
      <c r="H116" s="16"/>
      <c r="I116" s="16" t="s">
        <v>97</v>
      </c>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row>
    <row r="117" spans="1:63" x14ac:dyDescent="0.3">
      <c r="A117"/>
      <c r="B117">
        <v>2.4383561643835616</v>
      </c>
      <c r="C117">
        <v>4.1399999999999997</v>
      </c>
      <c r="D117">
        <f t="shared" si="6"/>
        <v>4.1399999999999999E-2</v>
      </c>
      <c r="E117" s="16">
        <f t="shared" si="8"/>
        <v>5</v>
      </c>
      <c r="F117" s="15">
        <f t="shared" ref="F117:F118" si="9">D124</f>
        <v>4.0500000000000001E-2</v>
      </c>
      <c r="G117" s="58">
        <f t="shared" si="7"/>
        <v>2.0353987378931091</v>
      </c>
      <c r="H117" s="16"/>
      <c r="I117" s="16" t="s">
        <v>98</v>
      </c>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row>
    <row r="118" spans="1:63" x14ac:dyDescent="0.3">
      <c r="A118"/>
      <c r="B118">
        <v>2.6054794520547944</v>
      </c>
      <c r="C118">
        <v>4.0599999999999996</v>
      </c>
      <c r="D118">
        <f t="shared" si="6"/>
        <v>4.0599999999999997E-2</v>
      </c>
      <c r="E118" s="16">
        <f t="shared" si="8"/>
        <v>6</v>
      </c>
      <c r="F118" s="15">
        <f t="shared" si="9"/>
        <v>4.2999999999999997E-2</v>
      </c>
      <c r="G118" s="58">
        <f t="shared" si="7"/>
        <v>1.9803971483408356</v>
      </c>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row>
    <row r="119" spans="1:63" x14ac:dyDescent="0.3">
      <c r="A119"/>
      <c r="B119">
        <v>2.8575342465753426</v>
      </c>
      <c r="C119">
        <v>4.1399999999999997</v>
      </c>
      <c r="D119">
        <f t="shared" si="6"/>
        <v>4.1399999999999999E-2</v>
      </c>
      <c r="E119" s="16">
        <f t="shared" si="8"/>
        <v>7</v>
      </c>
      <c r="F119" s="15">
        <f>D129</f>
        <v>4.3400000000000001E-2</v>
      </c>
      <c r="G119" s="58">
        <f t="shared" si="7"/>
        <v>1.9360597866461091</v>
      </c>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row>
    <row r="120" spans="1:63" x14ac:dyDescent="0.3">
      <c r="A120"/>
      <c r="B120">
        <v>3.1041095890410957</v>
      </c>
      <c r="C120">
        <v>4.04</v>
      </c>
      <c r="D120">
        <f t="shared" si="6"/>
        <v>4.0399999999999998E-2</v>
      </c>
      <c r="E120" s="16">
        <f t="shared" si="8"/>
        <v>8</v>
      </c>
      <c r="F120" s="15">
        <f>D130</f>
        <v>4.3099999999999999E-2</v>
      </c>
      <c r="G120" s="58">
        <f t="shared" si="7"/>
        <v>1.8971666998136469</v>
      </c>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row>
    <row r="121" spans="1:63" x14ac:dyDescent="0.3">
      <c r="A121"/>
      <c r="B121">
        <v>3.3561643835616439</v>
      </c>
      <c r="C121">
        <v>4.21</v>
      </c>
      <c r="D121">
        <f t="shared" si="6"/>
        <v>4.2099999999999999E-2</v>
      </c>
      <c r="E121" s="16">
        <f t="shared" si="8"/>
        <v>9</v>
      </c>
      <c r="F121" s="15">
        <f>D130</f>
        <v>4.3099999999999999E-2</v>
      </c>
      <c r="G121" s="58">
        <f t="shared" si="7"/>
        <v>1.8571452203158407</v>
      </c>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row>
    <row r="122" spans="1:63" x14ac:dyDescent="0.3">
      <c r="A122"/>
      <c r="B122">
        <v>4.3561643835616435</v>
      </c>
      <c r="C122">
        <v>4.21</v>
      </c>
      <c r="D122">
        <f t="shared" si="6"/>
        <v>4.2099999999999999E-2</v>
      </c>
      <c r="E122" s="16">
        <f t="shared" si="8"/>
        <v>10</v>
      </c>
      <c r="F122" s="15">
        <f>D131</f>
        <v>4.4800000000000006E-2</v>
      </c>
      <c r="G122" s="58">
        <f t="shared" si="7"/>
        <v>1.8029102589610431</v>
      </c>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row>
    <row r="123" spans="1:63" x14ac:dyDescent="0.3">
      <c r="A123"/>
      <c r="B123">
        <v>4.441095890410959</v>
      </c>
      <c r="C123">
        <v>4.2699999999999996</v>
      </c>
      <c r="D123">
        <f t="shared" si="6"/>
        <v>4.2699999999999995E-2</v>
      </c>
      <c r="E123" s="16">
        <f t="shared" si="8"/>
        <v>11</v>
      </c>
      <c r="F123" s="15">
        <f t="shared" ref="F123:F126" si="10">D132</f>
        <v>5.0199999999999995E-2</v>
      </c>
      <c r="G123" s="58">
        <f t="shared" si="7"/>
        <v>1.7129865358642464</v>
      </c>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row>
    <row r="124" spans="1:63" x14ac:dyDescent="0.3">
      <c r="A124"/>
      <c r="B124">
        <v>5.1041095890410961</v>
      </c>
      <c r="C124">
        <v>4.05</v>
      </c>
      <c r="D124">
        <f t="shared" si="6"/>
        <v>4.0500000000000001E-2</v>
      </c>
      <c r="E124" s="16">
        <f t="shared" si="8"/>
        <v>12</v>
      </c>
      <c r="F124" s="15">
        <f t="shared" si="10"/>
        <v>5.0799999999999998E-2</v>
      </c>
      <c r="G124" s="58">
        <f t="shared" si="7"/>
        <v>1.6651860381359906</v>
      </c>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row>
    <row r="125" spans="1:63" x14ac:dyDescent="0.3">
      <c r="A125"/>
      <c r="B125">
        <v>5.1041095890410961</v>
      </c>
      <c r="C125">
        <v>4.3</v>
      </c>
      <c r="D125">
        <f t="shared" si="6"/>
        <v>4.2999999999999997E-2</v>
      </c>
      <c r="E125" s="16">
        <f t="shared" si="8"/>
        <v>13</v>
      </c>
      <c r="F125" s="15">
        <f t="shared" si="10"/>
        <v>4.9599999999999998E-2</v>
      </c>
      <c r="G125" s="58">
        <f t="shared" si="7"/>
        <v>1.6363417097508122</v>
      </c>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row>
    <row r="126" spans="1:63" x14ac:dyDescent="0.3">
      <c r="A126"/>
      <c r="B126">
        <v>5.3561643835616435</v>
      </c>
      <c r="C126">
        <v>4.2699999999999996</v>
      </c>
      <c r="D126">
        <f t="shared" si="6"/>
        <v>4.2699999999999995E-2</v>
      </c>
      <c r="E126" s="16">
        <f t="shared" si="8"/>
        <v>14</v>
      </c>
      <c r="F126" s="15">
        <f t="shared" si="10"/>
        <v>5.1200000000000002E-2</v>
      </c>
      <c r="G126" s="58">
        <f t="shared" si="7"/>
        <v>1.5793935048180767</v>
      </c>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row>
    <row r="127" spans="1:63" x14ac:dyDescent="0.3">
      <c r="A127"/>
      <c r="B127">
        <v>5.86027397260274</v>
      </c>
      <c r="C127">
        <v>4.29</v>
      </c>
      <c r="D127">
        <f t="shared" si="6"/>
        <v>4.2900000000000001E-2</v>
      </c>
      <c r="E127" s="16">
        <f t="shared" si="8"/>
        <v>15</v>
      </c>
      <c r="F127" s="15">
        <f>D132</f>
        <v>5.0199999999999995E-2</v>
      </c>
      <c r="G127" s="58">
        <f t="shared" si="7"/>
        <v>1.5512757921832518</v>
      </c>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row>
    <row r="128" spans="1:63" x14ac:dyDescent="0.3">
      <c r="A128"/>
      <c r="B128">
        <v>6.3561643835616435</v>
      </c>
      <c r="C128">
        <v>4.32</v>
      </c>
      <c r="D128">
        <f t="shared" si="6"/>
        <v>4.3200000000000002E-2</v>
      </c>
      <c r="E128" s="16">
        <f t="shared" si="8"/>
        <v>16</v>
      </c>
      <c r="F128" s="15">
        <f>D133</f>
        <v>5.0799999999999998E-2</v>
      </c>
      <c r="G128" s="58">
        <f t="shared" si="7"/>
        <v>1.5062238096733334</v>
      </c>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row>
    <row r="129" spans="1:63" x14ac:dyDescent="0.3">
      <c r="A129"/>
      <c r="B129">
        <v>7.3589041095890408</v>
      </c>
      <c r="C129">
        <v>4.34</v>
      </c>
      <c r="D129">
        <f t="shared" si="6"/>
        <v>4.3400000000000001E-2</v>
      </c>
      <c r="E129" s="16">
        <f t="shared" si="8"/>
        <v>17</v>
      </c>
      <c r="F129" s="15">
        <f>D134</f>
        <v>4.9599999999999998E-2</v>
      </c>
      <c r="G129" s="58">
        <f t="shared" si="7"/>
        <v>1.48360242179567</v>
      </c>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row>
    <row r="130" spans="1:63" x14ac:dyDescent="0.3">
      <c r="A130"/>
      <c r="B130">
        <v>8.1068493150684926</v>
      </c>
      <c r="C130">
        <v>4.3099999999999996</v>
      </c>
      <c r="D130">
        <f t="shared" si="6"/>
        <v>4.3099999999999999E-2</v>
      </c>
      <c r="E130" s="16">
        <f t="shared" si="8"/>
        <v>18</v>
      </c>
      <c r="F130" s="15">
        <f>D133</f>
        <v>5.0799999999999998E-2</v>
      </c>
      <c r="G130" s="58">
        <f t="shared" si="7"/>
        <v>1.4325272177517401</v>
      </c>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row>
    <row r="131" spans="1:63" x14ac:dyDescent="0.3">
      <c r="A131"/>
      <c r="B131">
        <v>10.863013698630137</v>
      </c>
      <c r="C131">
        <v>4.4800000000000004</v>
      </c>
      <c r="D131">
        <f t="shared" si="6"/>
        <v>4.4800000000000006E-2</v>
      </c>
      <c r="E131" s="16">
        <f t="shared" si="8"/>
        <v>19</v>
      </c>
      <c r="F131" s="15">
        <f>D134</f>
        <v>4.9599999999999998E-2</v>
      </c>
      <c r="G131" s="58">
        <f t="shared" si="7"/>
        <v>1.4126653735559438</v>
      </c>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row>
    <row r="132" spans="1:63" x14ac:dyDescent="0.3">
      <c r="A132"/>
      <c r="B132">
        <v>15.868493150684932</v>
      </c>
      <c r="C132">
        <v>5.0199999999999996</v>
      </c>
      <c r="D132">
        <f t="shared" si="6"/>
        <v>5.0199999999999995E-2</v>
      </c>
      <c r="E132" s="16">
        <f t="shared" si="8"/>
        <v>20</v>
      </c>
      <c r="F132" s="15">
        <f>D137</f>
        <v>5.0999999999999997E-2</v>
      </c>
      <c r="G132" s="58">
        <f t="shared" si="7"/>
        <v>1.3597817998788893</v>
      </c>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row>
    <row r="133" spans="1:63" x14ac:dyDescent="0.3">
      <c r="A133"/>
      <c r="B133">
        <v>18.112328767123287</v>
      </c>
      <c r="C133">
        <v>5.08</v>
      </c>
      <c r="D133">
        <f t="shared" si="6"/>
        <v>5.0799999999999998E-2</v>
      </c>
      <c r="E133" s="16">
        <f t="shared" si="8"/>
        <v>21</v>
      </c>
      <c r="F133" s="15">
        <f>D139</f>
        <v>5.1200000000000002E-2</v>
      </c>
      <c r="G133" s="58">
        <f t="shared" si="7"/>
        <v>1.323257190018464</v>
      </c>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row>
    <row r="134" spans="1:63" x14ac:dyDescent="0.3">
      <c r="A134"/>
      <c r="B134">
        <v>19.115068493150684</v>
      </c>
      <c r="C134">
        <v>4.96</v>
      </c>
      <c r="D134">
        <f t="shared" si="6"/>
        <v>4.9599999999999998E-2</v>
      </c>
      <c r="E134" s="16">
        <f t="shared" si="8"/>
        <v>22</v>
      </c>
      <c r="F134" s="15">
        <f>D140</f>
        <v>5.1699999999999996E-2</v>
      </c>
      <c r="G134" s="58">
        <f t="shared" si="7"/>
        <v>1.2833276065006756</v>
      </c>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row>
    <row r="135" spans="1:63" x14ac:dyDescent="0.3">
      <c r="A135"/>
      <c r="B135">
        <v>19.87123287671233</v>
      </c>
      <c r="C135">
        <v>5.12</v>
      </c>
      <c r="D135">
        <f t="shared" si="6"/>
        <v>5.1200000000000002E-2</v>
      </c>
      <c r="E135" s="16">
        <f t="shared" si="8"/>
        <v>23</v>
      </c>
      <c r="F135" s="15">
        <f>D141</f>
        <v>5.16E-2</v>
      </c>
      <c r="G135" s="58">
        <f t="shared" si="7"/>
        <v>1.2523927340552823</v>
      </c>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row>
    <row r="136" spans="1:63" x14ac:dyDescent="0.3">
      <c r="A136"/>
      <c r="B136">
        <v>20.115068493150684</v>
      </c>
      <c r="C136">
        <v>5.0999999999999996</v>
      </c>
      <c r="D136">
        <f t="shared" si="6"/>
        <v>5.0999999999999997E-2</v>
      </c>
      <c r="E136" s="16">
        <f t="shared" si="8"/>
        <v>24</v>
      </c>
      <c r="F136" s="15">
        <f>D142</f>
        <v>5.1900000000000002E-2</v>
      </c>
      <c r="G136" s="58">
        <f t="shared" si="7"/>
        <v>1.2166168262892685</v>
      </c>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row>
    <row r="137" spans="1:63" x14ac:dyDescent="0.3">
      <c r="A137"/>
      <c r="B137">
        <v>20.87123287671233</v>
      </c>
      <c r="C137">
        <v>5.0999999999999996</v>
      </c>
      <c r="D137">
        <f t="shared" si="6"/>
        <v>5.0999999999999997E-2</v>
      </c>
      <c r="E137" s="16">
        <f t="shared" si="8"/>
        <v>25</v>
      </c>
      <c r="F137" s="15">
        <f>D143</f>
        <v>5.1900000000000002E-2</v>
      </c>
      <c r="G137" s="58">
        <f t="shared" si="7"/>
        <v>1.1858441700758013</v>
      </c>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row>
    <row r="138" spans="1:63" x14ac:dyDescent="0.3">
      <c r="A138"/>
      <c r="B138">
        <v>21.367123287671234</v>
      </c>
      <c r="C138">
        <v>5.15</v>
      </c>
      <c r="D138">
        <f t="shared" si="6"/>
        <v>5.1500000000000004E-2</v>
      </c>
      <c r="E138" s="16">
        <f t="shared" si="8"/>
        <v>26</v>
      </c>
      <c r="F138" s="15">
        <f>D146</f>
        <v>5.1900000000000002E-2</v>
      </c>
      <c r="G138" s="58">
        <f t="shared" si="7"/>
        <v>1.1558498660517584</v>
      </c>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row>
    <row r="139" spans="1:63" x14ac:dyDescent="0.3">
      <c r="A139"/>
      <c r="B139">
        <v>21.87123287671233</v>
      </c>
      <c r="C139">
        <v>5.12</v>
      </c>
      <c r="D139">
        <f t="shared" si="6"/>
        <v>5.1200000000000002E-2</v>
      </c>
      <c r="E139" s="16">
        <f t="shared" si="8"/>
        <v>27</v>
      </c>
      <c r="F139" s="15">
        <f>D132</f>
        <v>5.0199999999999995E-2</v>
      </c>
      <c r="G139" s="58">
        <f t="shared" si="7"/>
        <v>1.1521107080814026</v>
      </c>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row>
    <row r="140" spans="1:63" x14ac:dyDescent="0.3">
      <c r="A140"/>
      <c r="B140">
        <v>22.452054794520549</v>
      </c>
      <c r="C140">
        <v>5.17</v>
      </c>
      <c r="D140">
        <f t="shared" si="6"/>
        <v>5.1699999999999996E-2</v>
      </c>
      <c r="E140" s="16">
        <f t="shared" si="8"/>
        <v>28</v>
      </c>
      <c r="F140" s="15">
        <f>D147</f>
        <v>5.16E-2</v>
      </c>
      <c r="G140" s="58">
        <f t="shared" si="7"/>
        <v>1.1026230465633449</v>
      </c>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row>
    <row r="141" spans="1:63" x14ac:dyDescent="0.3">
      <c r="A141"/>
      <c r="B141">
        <v>22.61917808219178</v>
      </c>
      <c r="C141">
        <v>5.16</v>
      </c>
      <c r="D141">
        <f t="shared" si="6"/>
        <v>5.16E-2</v>
      </c>
      <c r="E141" s="16">
        <f t="shared" si="8"/>
        <v>29</v>
      </c>
      <c r="F141" s="15">
        <f>D148</f>
        <v>4.9800000000000004E-2</v>
      </c>
      <c r="G141" s="58">
        <f t="shared" si="7"/>
        <v>1.1026031206235767</v>
      </c>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row>
    <row r="142" spans="1:63" x14ac:dyDescent="0.3">
      <c r="A142"/>
      <c r="B142">
        <v>24.454794520547946</v>
      </c>
      <c r="C142">
        <v>5.19</v>
      </c>
      <c r="D142">
        <f t="shared" si="6"/>
        <v>5.1900000000000002E-2</v>
      </c>
      <c r="E142" s="16">
        <f t="shared" si="8"/>
        <v>30</v>
      </c>
      <c r="F142" s="15">
        <f>D149</f>
        <v>4.9299999999999997E-2</v>
      </c>
      <c r="G142" s="58">
        <f t="shared" si="7"/>
        <v>1.0837177493682162</v>
      </c>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row>
    <row r="143" spans="1:63" x14ac:dyDescent="0.3">
      <c r="A143"/>
      <c r="B143">
        <v>25.117808219178084</v>
      </c>
      <c r="C143">
        <v>5.19</v>
      </c>
      <c r="D143">
        <f t="shared" si="6"/>
        <v>5.1900000000000002E-2</v>
      </c>
      <c r="E143" s="16">
        <f t="shared" si="8"/>
        <v>31</v>
      </c>
      <c r="F143" s="15">
        <f>D145</f>
        <v>5.2000000000000005E-2</v>
      </c>
      <c r="G143" s="58">
        <f t="shared" si="7"/>
        <v>1.0153466355111798</v>
      </c>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row>
    <row r="144" spans="1:63" x14ac:dyDescent="0.3">
      <c r="A144"/>
      <c r="B144">
        <v>25.36986301369863</v>
      </c>
      <c r="C144">
        <v>5.15</v>
      </c>
      <c r="D144">
        <f t="shared" si="6"/>
        <v>5.1500000000000004E-2</v>
      </c>
      <c r="E144" s="16">
        <f t="shared" si="8"/>
        <v>32</v>
      </c>
      <c r="F144" s="15">
        <f>D135</f>
        <v>5.1200000000000002E-2</v>
      </c>
      <c r="G144" s="58">
        <f t="shared" si="7"/>
        <v>1.0020424693243697</v>
      </c>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row>
    <row r="145" spans="1:63" x14ac:dyDescent="0.3">
      <c r="A145"/>
      <c r="B145">
        <v>25.873972602739727</v>
      </c>
      <c r="C145">
        <v>5.2</v>
      </c>
      <c r="D145">
        <f t="shared" si="6"/>
        <v>5.2000000000000005E-2</v>
      </c>
      <c r="E145" s="16">
        <f t="shared" si="8"/>
        <v>33</v>
      </c>
      <c r="F145" s="15">
        <f>D136</f>
        <v>5.0999999999999997E-2</v>
      </c>
      <c r="G145" s="58">
        <f t="shared" si="7"/>
        <v>0.98017942701685512</v>
      </c>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row>
    <row r="146" spans="1:63" x14ac:dyDescent="0.3">
      <c r="A146"/>
      <c r="B146">
        <v>26.36986301369863</v>
      </c>
      <c r="C146">
        <v>5.19</v>
      </c>
      <c r="D146">
        <f t="shared" si="6"/>
        <v>5.1900000000000002E-2</v>
      </c>
      <c r="E146" s="16">
        <f t="shared" si="8"/>
        <v>34</v>
      </c>
      <c r="F146" s="15">
        <f>D137</f>
        <v>5.0999999999999997E-2</v>
      </c>
      <c r="G146" s="58">
        <f t="shared" si="7"/>
        <v>0.95580636471658231</v>
      </c>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row>
    <row r="147" spans="1:63" x14ac:dyDescent="0.3">
      <c r="A147"/>
      <c r="B147">
        <v>27.372602739726027</v>
      </c>
      <c r="C147">
        <v>5.16</v>
      </c>
      <c r="D147">
        <f t="shared" si="6"/>
        <v>5.16E-2</v>
      </c>
      <c r="E147" s="16">
        <f t="shared" si="8"/>
        <v>35</v>
      </c>
      <c r="F147" s="15">
        <f>D150</f>
        <v>5.1699999999999996E-2</v>
      </c>
      <c r="G147" s="58">
        <f t="shared" si="7"/>
        <v>0.92097389544505304</v>
      </c>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row>
    <row r="148" spans="1:63" x14ac:dyDescent="0.3">
      <c r="A148"/>
      <c r="B148">
        <v>28.12054794520548</v>
      </c>
      <c r="C148">
        <v>4.9800000000000004</v>
      </c>
      <c r="D148">
        <f t="shared" si="6"/>
        <v>4.9800000000000004E-2</v>
      </c>
      <c r="E148" s="16">
        <f t="shared" si="8"/>
        <v>36</v>
      </c>
      <c r="F148" s="15">
        <f t="shared" ref="F148:F149" si="11">D151</f>
        <v>5.1500000000000004E-2</v>
      </c>
      <c r="G148" s="58">
        <f t="shared" si="7"/>
        <v>0.90092283566781117</v>
      </c>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row>
    <row r="149" spans="1:63" x14ac:dyDescent="0.3">
      <c r="A149"/>
      <c r="B149">
        <v>35.37808219178082</v>
      </c>
      <c r="C149">
        <v>4.93</v>
      </c>
      <c r="D149">
        <f t="shared" ref="D149:D152" si="12">C149/100</f>
        <v>4.9299999999999997E-2</v>
      </c>
      <c r="E149" s="16">
        <f t="shared" si="8"/>
        <v>37</v>
      </c>
      <c r="F149" s="15">
        <f t="shared" si="11"/>
        <v>5.1799999999999999E-2</v>
      </c>
      <c r="G149" s="58">
        <f t="shared" si="7"/>
        <v>0.87356739268590178</v>
      </c>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row>
    <row r="150" spans="1:63" x14ac:dyDescent="0.3">
      <c r="A150"/>
      <c r="B150">
        <v>35.88219178082192</v>
      </c>
      <c r="C150">
        <v>5.17</v>
      </c>
      <c r="D150">
        <f t="shared" si="12"/>
        <v>5.1699999999999996E-2</v>
      </c>
      <c r="E150" s="16">
        <f t="shared" si="8"/>
        <v>38</v>
      </c>
      <c r="F150" s="15">
        <f>F149</f>
        <v>5.1799999999999999E-2</v>
      </c>
      <c r="G150" s="58">
        <f t="shared" si="7"/>
        <v>0.85151320078555581</v>
      </c>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row>
    <row r="151" spans="1:63" x14ac:dyDescent="0.3">
      <c r="A151"/>
      <c r="B151">
        <v>36.37808219178082</v>
      </c>
      <c r="C151">
        <v>5.15</v>
      </c>
      <c r="D151">
        <f t="shared" si="12"/>
        <v>5.1500000000000004E-2</v>
      </c>
      <c r="E151" s="16">
        <f t="shared" si="8"/>
        <v>39</v>
      </c>
      <c r="F151" s="15">
        <f>F149</f>
        <v>5.1799999999999999E-2</v>
      </c>
      <c r="G151" s="58">
        <f>((100)+(0.045*100/2))/(1+F151/2)^39</f>
        <v>37.719606537489291</v>
      </c>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row>
    <row r="152" spans="1:63" x14ac:dyDescent="0.3">
      <c r="A152"/>
      <c r="B152">
        <v>37.37808219178082</v>
      </c>
      <c r="C152">
        <v>5.18</v>
      </c>
      <c r="D152">
        <f t="shared" si="12"/>
        <v>5.1799999999999999E-2</v>
      </c>
      <c r="E152" s="16"/>
      <c r="F152" s="15"/>
      <c r="G152" s="58"/>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row>
    <row r="153" spans="1:63" x14ac:dyDescent="0.3">
      <c r="A153"/>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row>
    <row r="154" spans="1:63" ht="10.8" customHeight="1" x14ac:dyDescent="0.3">
      <c r="A154"/>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row>
    <row r="155" spans="1:63" hidden="1" x14ac:dyDescent="0.3">
      <c r="A155"/>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row>
    <row r="156" spans="1:63" x14ac:dyDescent="0.3">
      <c r="A15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row>
    <row r="157" spans="1:63" x14ac:dyDescent="0.3">
      <c r="A157"/>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row>
    <row r="158" spans="1:63" x14ac:dyDescent="0.3">
      <c r="A158"/>
      <c r="B158" s="22"/>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row>
    <row r="159" spans="1:63" x14ac:dyDescent="0.3">
      <c r="A159"/>
      <c r="B159" s="22"/>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row>
    <row r="160" spans="1:63" x14ac:dyDescent="0.3">
      <c r="A160"/>
      <c r="B160" s="22"/>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row>
    <row r="161" spans="1:63" x14ac:dyDescent="0.3">
      <c r="A161"/>
      <c r="B161" s="22"/>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row>
    <row r="162" spans="1:63" x14ac:dyDescent="0.3">
      <c r="A162"/>
      <c r="B162" s="22"/>
    </row>
    <row r="163" spans="1:63" ht="8.4" customHeight="1" x14ac:dyDescent="0.3">
      <c r="A163"/>
      <c r="B163" s="22"/>
      <c r="F163" s="3"/>
    </row>
    <row r="164" spans="1:63" x14ac:dyDescent="0.3">
      <c r="A164"/>
      <c r="B164" s="22"/>
    </row>
    <row r="165" spans="1:63" x14ac:dyDescent="0.3">
      <c r="A165"/>
      <c r="B165" s="22" t="s">
        <v>3</v>
      </c>
      <c r="C165" s="68">
        <f>J109</f>
        <v>4.5331064958511046E-2</v>
      </c>
      <c r="D165" s="54"/>
    </row>
    <row r="166" spans="1:63" x14ac:dyDescent="0.3">
      <c r="A166"/>
      <c r="B166" s="22">
        <f>0.045*1000/2</f>
        <v>22.5</v>
      </c>
      <c r="D166" s="54"/>
    </row>
    <row r="167" spans="1:63" x14ac:dyDescent="0.3">
      <c r="A167"/>
      <c r="B167" s="22"/>
    </row>
    <row r="168" spans="1:63" x14ac:dyDescent="0.3">
      <c r="A168" s="1" t="s">
        <v>160</v>
      </c>
      <c r="B168" s="32"/>
      <c r="D168" s="15"/>
      <c r="E168" s="15"/>
    </row>
    <row r="169" spans="1:63" x14ac:dyDescent="0.3">
      <c r="A169"/>
      <c r="B169" s="35"/>
      <c r="D169" s="15"/>
      <c r="E169" s="15"/>
    </row>
    <row r="170" spans="1:63" x14ac:dyDescent="0.3">
      <c r="A170" s="1" t="s">
        <v>159</v>
      </c>
      <c r="B170" s="35"/>
      <c r="D170" s="15"/>
      <c r="E170" s="15"/>
    </row>
    <row r="171" spans="1:63" x14ac:dyDescent="0.3">
      <c r="A171"/>
      <c r="B171" s="22"/>
      <c r="D171" s="15"/>
      <c r="E171" s="15"/>
    </row>
    <row r="172" spans="1:63" x14ac:dyDescent="0.3">
      <c r="B172" s="35"/>
      <c r="D172" s="15"/>
      <c r="E172" s="15"/>
    </row>
    <row r="173" spans="1:63" x14ac:dyDescent="0.3">
      <c r="A173" s="1" t="s">
        <v>161</v>
      </c>
      <c r="B173" s="22"/>
      <c r="D173" s="15"/>
      <c r="E173" s="15"/>
    </row>
    <row r="174" spans="1:63" x14ac:dyDescent="0.3">
      <c r="B174" s="35"/>
      <c r="C174" s="1" t="s">
        <v>162</v>
      </c>
      <c r="D174" s="15"/>
      <c r="E174" s="15"/>
    </row>
    <row r="175" spans="1:63" x14ac:dyDescent="0.3">
      <c r="A175"/>
      <c r="B175" s="42"/>
      <c r="C175" s="1" t="s">
        <v>163</v>
      </c>
      <c r="D175" s="15"/>
      <c r="E175" s="15"/>
    </row>
    <row r="176" spans="1:63" x14ac:dyDescent="0.3">
      <c r="A176"/>
      <c r="B176" s="43"/>
      <c r="D176" s="15"/>
      <c r="E176" s="15"/>
    </row>
    <row r="177" spans="1:10" ht="47.4" x14ac:dyDescent="0.9">
      <c r="A177" s="87" t="s">
        <v>164</v>
      </c>
      <c r="B177" s="35"/>
      <c r="D177" s="15"/>
      <c r="E177" s="15"/>
    </row>
    <row r="178" spans="1:10" x14ac:dyDescent="0.3">
      <c r="A178"/>
      <c r="B178" s="46"/>
      <c r="D178" s="15"/>
      <c r="E178" s="15"/>
    </row>
    <row r="179" spans="1:10" x14ac:dyDescent="0.3">
      <c r="A179"/>
      <c r="B179" s="88">
        <v>1</v>
      </c>
      <c r="C179" s="1" t="s">
        <v>165</v>
      </c>
      <c r="D179" s="15"/>
      <c r="E179" s="15"/>
    </row>
    <row r="180" spans="1:10" x14ac:dyDescent="0.3">
      <c r="A180"/>
      <c r="B180" s="22">
        <v>2</v>
      </c>
      <c r="C180" s="1" t="s">
        <v>166</v>
      </c>
      <c r="D180" s="15"/>
      <c r="E180" s="15"/>
    </row>
    <row r="181" spans="1:10" x14ac:dyDescent="0.3">
      <c r="A181"/>
      <c r="B181" s="35">
        <v>3</v>
      </c>
      <c r="C181" s="1" t="s">
        <v>167</v>
      </c>
      <c r="D181" s="15"/>
      <c r="E181" s="15"/>
    </row>
    <row r="182" spans="1:10" x14ac:dyDescent="0.3">
      <c r="A182"/>
      <c r="B182" s="35">
        <v>4</v>
      </c>
      <c r="C182" s="1" t="s">
        <v>168</v>
      </c>
      <c r="D182" s="15"/>
      <c r="E182" s="15"/>
    </row>
    <row r="183" spans="1:10" x14ac:dyDescent="0.3">
      <c r="A183"/>
      <c r="B183" s="35"/>
      <c r="D183" s="15"/>
      <c r="E183" s="15"/>
    </row>
    <row r="184" spans="1:10" x14ac:dyDescent="0.3">
      <c r="A184"/>
      <c r="B184" s="42"/>
      <c r="D184" s="15"/>
      <c r="E184" s="15"/>
    </row>
    <row r="185" spans="1:10" x14ac:dyDescent="0.3">
      <c r="F185" s="1"/>
      <c r="J185" s="1"/>
    </row>
    <row r="187" spans="1:10" ht="47.4" x14ac:dyDescent="0.9">
      <c r="A187" s="87" t="s">
        <v>101</v>
      </c>
    </row>
    <row r="189" spans="1:10" x14ac:dyDescent="0.3">
      <c r="A189" s="1" t="s">
        <v>102</v>
      </c>
    </row>
    <row r="191" spans="1:10" x14ac:dyDescent="0.3">
      <c r="B191" t="s">
        <v>103</v>
      </c>
      <c r="C191" t="s">
        <v>104</v>
      </c>
      <c r="D191" t="s">
        <v>105</v>
      </c>
      <c r="E191" t="s">
        <v>106</v>
      </c>
      <c r="F191" s="1" t="s">
        <v>107</v>
      </c>
      <c r="G191" s="1" t="s">
        <v>108</v>
      </c>
    </row>
    <row r="192" spans="1:10" x14ac:dyDescent="0.3">
      <c r="B192" s="54">
        <v>44929</v>
      </c>
      <c r="C192">
        <v>4.72</v>
      </c>
      <c r="D192">
        <v>7.5</v>
      </c>
      <c r="E192">
        <v>19.649999999999999</v>
      </c>
      <c r="F192">
        <f t="shared" ref="F192:F203" si="13">C192-D192</f>
        <v>-2.7800000000000002</v>
      </c>
      <c r="G192">
        <f t="shared" ref="G192:G203" si="14">D192-E192</f>
        <v>-12.149999999999999</v>
      </c>
    </row>
    <row r="193" spans="1:21" x14ac:dyDescent="0.3">
      <c r="B193" s="54">
        <v>44960</v>
      </c>
      <c r="C193">
        <v>4.79</v>
      </c>
      <c r="D193">
        <v>7.75</v>
      </c>
      <c r="E193">
        <v>20.09</v>
      </c>
      <c r="F193">
        <f t="shared" si="13"/>
        <v>-2.96</v>
      </c>
      <c r="G193">
        <f t="shared" si="14"/>
        <v>-12.34</v>
      </c>
    </row>
    <row r="194" spans="1:21" x14ac:dyDescent="0.3">
      <c r="B194" s="54">
        <v>44988</v>
      </c>
      <c r="C194">
        <v>5.03</v>
      </c>
      <c r="D194">
        <v>8</v>
      </c>
      <c r="E194">
        <v>20.54</v>
      </c>
      <c r="F194">
        <f t="shared" si="13"/>
        <v>-2.9699999999999998</v>
      </c>
      <c r="G194">
        <f t="shared" si="14"/>
        <v>-12.54</v>
      </c>
    </row>
    <row r="195" spans="1:21" x14ac:dyDescent="0.3">
      <c r="B195" s="54">
        <v>45019</v>
      </c>
      <c r="C195">
        <v>4.5999999999999996</v>
      </c>
      <c r="D195">
        <v>8</v>
      </c>
      <c r="E195">
        <v>20.76</v>
      </c>
      <c r="F195">
        <f t="shared" si="13"/>
        <v>-3.4000000000000004</v>
      </c>
      <c r="G195">
        <f t="shared" si="14"/>
        <v>-12.760000000000002</v>
      </c>
    </row>
    <row r="196" spans="1:21" x14ac:dyDescent="0.3">
      <c r="B196" s="54">
        <v>45049</v>
      </c>
      <c r="C196">
        <v>4.7</v>
      </c>
      <c r="D196">
        <v>8.25</v>
      </c>
      <c r="E196">
        <v>20.84</v>
      </c>
      <c r="F196">
        <f t="shared" si="13"/>
        <v>-3.55</v>
      </c>
      <c r="G196">
        <f t="shared" si="14"/>
        <v>-12.59</v>
      </c>
    </row>
    <row r="197" spans="1:21" x14ac:dyDescent="0.3">
      <c r="B197" s="54">
        <v>45080</v>
      </c>
      <c r="C197">
        <v>5.2</v>
      </c>
      <c r="D197">
        <v>8.25</v>
      </c>
      <c r="E197">
        <v>21.09</v>
      </c>
      <c r="F197">
        <f t="shared" si="13"/>
        <v>-3.05</v>
      </c>
      <c r="G197">
        <f t="shared" si="14"/>
        <v>-12.84</v>
      </c>
    </row>
    <row r="198" spans="1:21" x14ac:dyDescent="0.3">
      <c r="B198" s="54">
        <v>45110</v>
      </c>
      <c r="C198">
        <v>5.43</v>
      </c>
      <c r="D198">
        <v>8.5</v>
      </c>
      <c r="E198">
        <v>21.14</v>
      </c>
      <c r="F198">
        <f t="shared" si="13"/>
        <v>-3.0700000000000003</v>
      </c>
      <c r="G198">
        <f t="shared" si="14"/>
        <v>-12.64</v>
      </c>
    </row>
    <row r="199" spans="1:21" x14ac:dyDescent="0.3">
      <c r="B199" s="54">
        <v>45141</v>
      </c>
      <c r="C199">
        <v>5.37</v>
      </c>
      <c r="D199">
        <v>8.5</v>
      </c>
      <c r="E199">
        <v>21.19</v>
      </c>
      <c r="F199">
        <f t="shared" si="13"/>
        <v>-3.13</v>
      </c>
      <c r="G199">
        <f t="shared" si="14"/>
        <v>-12.690000000000001</v>
      </c>
    </row>
    <row r="200" spans="1:21" x14ac:dyDescent="0.3">
      <c r="B200" s="54">
        <v>45172</v>
      </c>
      <c r="C200">
        <v>5.4</v>
      </c>
      <c r="D200">
        <v>8.5</v>
      </c>
      <c r="E200">
        <v>21.4</v>
      </c>
      <c r="F200">
        <f t="shared" si="13"/>
        <v>-3.0999999999999996</v>
      </c>
      <c r="G200">
        <f t="shared" si="14"/>
        <v>-12.899999999999999</v>
      </c>
    </row>
    <row r="201" spans="1:21" x14ac:dyDescent="0.3">
      <c r="B201" s="54">
        <v>45202</v>
      </c>
      <c r="C201">
        <v>5.49</v>
      </c>
      <c r="D201">
        <v>8.5</v>
      </c>
      <c r="E201">
        <v>21.43</v>
      </c>
      <c r="F201">
        <f t="shared" si="13"/>
        <v>-3.01</v>
      </c>
      <c r="G201">
        <f t="shared" si="14"/>
        <v>-12.93</v>
      </c>
    </row>
    <row r="202" spans="1:21" x14ac:dyDescent="0.3">
      <c r="B202" s="54">
        <v>45233</v>
      </c>
      <c r="C202">
        <v>5.29</v>
      </c>
      <c r="D202">
        <v>8.5</v>
      </c>
      <c r="E202">
        <v>21.47</v>
      </c>
      <c r="F202">
        <f t="shared" si="13"/>
        <v>-3.21</v>
      </c>
      <c r="G202">
        <f t="shared" si="14"/>
        <v>-12.969999999999999</v>
      </c>
    </row>
    <row r="203" spans="1:21" x14ac:dyDescent="0.3">
      <c r="B203" s="54">
        <v>45263</v>
      </c>
      <c r="C203">
        <v>5.09</v>
      </c>
      <c r="D203">
        <v>8.5</v>
      </c>
      <c r="E203">
        <v>21.51</v>
      </c>
      <c r="F203">
        <f t="shared" si="13"/>
        <v>-3.41</v>
      </c>
      <c r="G203">
        <f t="shared" si="14"/>
        <v>-13.010000000000002</v>
      </c>
    </row>
    <row r="204" spans="1:21" x14ac:dyDescent="0.3">
      <c r="B204" s="54"/>
      <c r="F204">
        <f>AVERAGE(F192:F203)*-1</f>
        <v>3.1366666666666667</v>
      </c>
      <c r="G204">
        <f>AVERAGE(G192:G203)*-1</f>
        <v>12.696666666666667</v>
      </c>
    </row>
    <row r="205" spans="1:21" x14ac:dyDescent="0.3">
      <c r="A205" s="1" t="s">
        <v>109</v>
      </c>
    </row>
    <row r="207" spans="1:21" x14ac:dyDescent="0.3">
      <c r="A207" t="s">
        <v>0</v>
      </c>
      <c r="B207">
        <v>0.5</v>
      </c>
      <c r="C207">
        <v>1</v>
      </c>
      <c r="D207">
        <v>1.5</v>
      </c>
      <c r="E207">
        <v>2</v>
      </c>
      <c r="F207">
        <v>2.5</v>
      </c>
      <c r="G207">
        <v>3</v>
      </c>
      <c r="H207">
        <v>3.5</v>
      </c>
      <c r="I207">
        <v>4</v>
      </c>
      <c r="J207">
        <v>4.5</v>
      </c>
      <c r="K207">
        <v>5</v>
      </c>
      <c r="L207">
        <v>5.5</v>
      </c>
      <c r="M207">
        <v>6</v>
      </c>
      <c r="N207">
        <v>6.5</v>
      </c>
      <c r="O207">
        <v>7</v>
      </c>
      <c r="P207">
        <v>7.5</v>
      </c>
      <c r="Q207">
        <v>8</v>
      </c>
      <c r="R207">
        <v>8.5</v>
      </c>
      <c r="S207">
        <v>9</v>
      </c>
      <c r="T207">
        <v>9.5</v>
      </c>
      <c r="U207">
        <v>10</v>
      </c>
    </row>
    <row r="208" spans="1:21" x14ac:dyDescent="0.3">
      <c r="B208">
        <v>1</v>
      </c>
      <c r="C208">
        <v>2</v>
      </c>
      <c r="D208">
        <v>3</v>
      </c>
      <c r="E208">
        <v>4</v>
      </c>
      <c r="F208">
        <v>5</v>
      </c>
      <c r="G208">
        <v>6</v>
      </c>
      <c r="H208">
        <v>7</v>
      </c>
      <c r="I208">
        <v>8</v>
      </c>
      <c r="J208">
        <v>9</v>
      </c>
      <c r="K208">
        <v>10</v>
      </c>
      <c r="L208">
        <v>11</v>
      </c>
      <c r="M208">
        <v>12</v>
      </c>
      <c r="N208">
        <v>13</v>
      </c>
      <c r="O208">
        <v>14</v>
      </c>
      <c r="P208">
        <v>15</v>
      </c>
      <c r="Q208">
        <v>16</v>
      </c>
      <c r="R208">
        <v>17</v>
      </c>
      <c r="S208">
        <v>18</v>
      </c>
      <c r="T208">
        <v>19</v>
      </c>
      <c r="U208">
        <v>20</v>
      </c>
    </row>
    <row r="209" spans="1:21" x14ac:dyDescent="0.3">
      <c r="B209">
        <v>4.3</v>
      </c>
      <c r="C209">
        <v>4.18</v>
      </c>
      <c r="D209" s="2">
        <v>4.2390750000000006</v>
      </c>
      <c r="E209">
        <v>4.2</v>
      </c>
      <c r="F209" s="2">
        <v>4.2402250000000006</v>
      </c>
      <c r="G209">
        <v>4.3099999999999996</v>
      </c>
      <c r="H209" s="2">
        <v>4.2703750000000005</v>
      </c>
      <c r="I209" s="2">
        <v>4.2937000000000003</v>
      </c>
      <c r="J209" s="2">
        <v>4.3211250000000003</v>
      </c>
      <c r="K209">
        <v>4.33</v>
      </c>
      <c r="L209" s="2">
        <v>4.3840750000000002</v>
      </c>
      <c r="M209" s="2">
        <v>4.4175000000000004</v>
      </c>
      <c r="N209" s="2">
        <v>4.450825</v>
      </c>
      <c r="O209">
        <v>4.47</v>
      </c>
      <c r="P209" s="2">
        <v>4.5129750000000008</v>
      </c>
      <c r="Q209" s="2">
        <v>4.5397000000000007</v>
      </c>
      <c r="R209" s="2">
        <v>4.562125</v>
      </c>
      <c r="S209" s="2">
        <v>4.5792000000000002</v>
      </c>
      <c r="T209" s="2">
        <v>4.5898750000000001</v>
      </c>
      <c r="U209">
        <v>4.5599999999999996</v>
      </c>
    </row>
    <row r="211" spans="1:21" x14ac:dyDescent="0.3">
      <c r="B211" s="1" t="s">
        <v>110</v>
      </c>
      <c r="C211" s="1"/>
      <c r="D211" s="1"/>
      <c r="E211" s="61">
        <f>((1+0.042)^2)/(1+0.0418)^1-1</f>
        <v>4.2200038395085571E-2</v>
      </c>
    </row>
    <row r="212" spans="1:21" x14ac:dyDescent="0.3">
      <c r="B212" s="1" t="s">
        <v>111</v>
      </c>
      <c r="C212" s="1"/>
      <c r="D212" s="1"/>
      <c r="E212" s="61">
        <f>(1+0.0431)^3/(1+0.042)^2-1</f>
        <v>4.5303484911085379E-2</v>
      </c>
    </row>
    <row r="213" spans="1:21" x14ac:dyDescent="0.3">
      <c r="B213" s="1" t="s">
        <v>112</v>
      </c>
      <c r="C213" s="1"/>
      <c r="D213" s="1"/>
      <c r="E213" s="62">
        <f>E211+$F$204%+$G$204%</f>
        <v>0.2005333717284189</v>
      </c>
    </row>
    <row r="214" spans="1:21" x14ac:dyDescent="0.3">
      <c r="B214" s="1" t="s">
        <v>113</v>
      </c>
      <c r="C214" s="1"/>
      <c r="D214" s="1"/>
      <c r="E214" s="62">
        <f>E212+$F$204%+$G$204%</f>
        <v>0.2036368182444187</v>
      </c>
    </row>
    <row r="215" spans="1:21" x14ac:dyDescent="0.3">
      <c r="B215" s="1"/>
      <c r="C215" s="1"/>
      <c r="D215" s="1"/>
      <c r="E215" s="1"/>
    </row>
    <row r="216" spans="1:21" x14ac:dyDescent="0.3">
      <c r="A216" s="1" t="s">
        <v>143</v>
      </c>
    </row>
    <row r="217" spans="1:21" x14ac:dyDescent="0.3">
      <c r="C217" t="s">
        <v>114</v>
      </c>
      <c r="E217" t="s">
        <v>124</v>
      </c>
    </row>
    <row r="218" spans="1:21" x14ac:dyDescent="0.3">
      <c r="C218" s="63"/>
    </row>
    <row r="219" spans="1:21" x14ac:dyDescent="0.3">
      <c r="C219" t="s">
        <v>115</v>
      </c>
      <c r="E219" t="s">
        <v>123</v>
      </c>
    </row>
    <row r="220" spans="1:21" x14ac:dyDescent="0.3">
      <c r="C220" t="s">
        <v>116</v>
      </c>
      <c r="E220" t="s">
        <v>125</v>
      </c>
    </row>
    <row r="221" spans="1:21" x14ac:dyDescent="0.3">
      <c r="C221" t="s">
        <v>117</v>
      </c>
      <c r="E221" t="s">
        <v>126</v>
      </c>
    </row>
    <row r="222" spans="1:21" x14ac:dyDescent="0.3">
      <c r="C222" t="s">
        <v>118</v>
      </c>
      <c r="E222" t="s">
        <v>127</v>
      </c>
    </row>
    <row r="223" spans="1:21" x14ac:dyDescent="0.3">
      <c r="C223" t="s">
        <v>119</v>
      </c>
      <c r="E223" t="s">
        <v>128</v>
      </c>
    </row>
    <row r="224" spans="1:21" x14ac:dyDescent="0.3">
      <c r="C224" t="s">
        <v>120</v>
      </c>
      <c r="E224" t="s">
        <v>129</v>
      </c>
    </row>
    <row r="225" spans="2:14" x14ac:dyDescent="0.3">
      <c r="C225" s="3">
        <v>25</v>
      </c>
      <c r="E225" s="3">
        <v>81</v>
      </c>
    </row>
    <row r="226" spans="2:14" x14ac:dyDescent="0.3">
      <c r="C226" t="s">
        <v>121</v>
      </c>
      <c r="E226" t="s">
        <v>130</v>
      </c>
    </row>
    <row r="227" spans="2:14" x14ac:dyDescent="0.3">
      <c r="C227" t="s">
        <v>122</v>
      </c>
      <c r="E227" t="s">
        <v>122</v>
      </c>
      <c r="K227" s="1" t="s">
        <v>134</v>
      </c>
    </row>
    <row r="228" spans="2:14" x14ac:dyDescent="0.3">
      <c r="C228" s="64"/>
    </row>
    <row r="229" spans="2:14" x14ac:dyDescent="0.3">
      <c r="B229" s="1" t="s">
        <v>136</v>
      </c>
      <c r="C229" s="65" t="s">
        <v>7</v>
      </c>
      <c r="D229" t="s">
        <v>131</v>
      </c>
      <c r="E229" t="s">
        <v>132</v>
      </c>
      <c r="F229" t="s">
        <v>133</v>
      </c>
      <c r="G229" t="s">
        <v>141</v>
      </c>
      <c r="I229" s="65" t="s">
        <v>7</v>
      </c>
      <c r="J229" t="s">
        <v>131</v>
      </c>
      <c r="K229" t="s">
        <v>132</v>
      </c>
      <c r="L229" t="s">
        <v>135</v>
      </c>
      <c r="M229" t="s">
        <v>133</v>
      </c>
      <c r="N229" t="s">
        <v>142</v>
      </c>
    </row>
    <row r="230" spans="2:14" x14ac:dyDescent="0.3">
      <c r="C230" s="65">
        <v>1</v>
      </c>
      <c r="D230">
        <f>1900</f>
        <v>1900</v>
      </c>
      <c r="E230">
        <f t="shared" ref="E230:E265" si="15">D230/12*0.2124</f>
        <v>33.630000000000003</v>
      </c>
      <c r="F230" s="3">
        <f>PMT(0.2124/12,36,-1900,0)</f>
        <v>71.816969134545602</v>
      </c>
      <c r="G230">
        <f t="shared" ref="G230:G265" si="16">D230-E230-F230</f>
        <v>1794.5530308654543</v>
      </c>
      <c r="I230" s="65">
        <v>1</v>
      </c>
      <c r="J230">
        <f>1900</f>
        <v>1900</v>
      </c>
      <c r="K230">
        <f t="shared" ref="K230:K265" si="17">J230/12*0.2124</f>
        <v>33.630000000000003</v>
      </c>
      <c r="L230">
        <v>30</v>
      </c>
      <c r="M230" s="3">
        <f>PMT(0.2124/12,36,-1900,0)</f>
        <v>71.816969134545602</v>
      </c>
      <c r="N230">
        <f t="shared" ref="N230:N265" si="18">J230-K230-M230-L230</f>
        <v>1764.5530308654543</v>
      </c>
    </row>
    <row r="231" spans="2:14" x14ac:dyDescent="0.3">
      <c r="C231" s="65">
        <f>1+C230</f>
        <v>2</v>
      </c>
      <c r="D231">
        <f>G230</f>
        <v>1794.5530308654543</v>
      </c>
      <c r="E231">
        <f t="shared" si="15"/>
        <v>31.763588646318542</v>
      </c>
      <c r="F231" s="3">
        <f t="shared" ref="F231:F265" si="19">PMT(0.2124/12,36,-1900,0)</f>
        <v>71.816969134545602</v>
      </c>
      <c r="G231">
        <f t="shared" si="16"/>
        <v>1690.9724730845901</v>
      </c>
      <c r="I231" s="65">
        <f>1+I230</f>
        <v>2</v>
      </c>
      <c r="J231">
        <f>N230</f>
        <v>1764.5530308654543</v>
      </c>
      <c r="K231">
        <f t="shared" si="17"/>
        <v>31.232588646318543</v>
      </c>
      <c r="L231">
        <v>30</v>
      </c>
      <c r="M231" s="3">
        <f t="shared" ref="M231:M265" si="20">PMT(0.2124/12,36,-1900,0)</f>
        <v>71.816969134545602</v>
      </c>
      <c r="N231">
        <f t="shared" si="18"/>
        <v>1631.50347308459</v>
      </c>
    </row>
    <row r="232" spans="2:14" x14ac:dyDescent="0.3">
      <c r="C232" s="65">
        <f t="shared" ref="C232:C264" si="21">1+C231</f>
        <v>3</v>
      </c>
      <c r="D232">
        <f>G231</f>
        <v>1690.9724730845901</v>
      </c>
      <c r="E232">
        <f t="shared" si="15"/>
        <v>29.930212773597244</v>
      </c>
      <c r="F232" s="3">
        <f t="shared" si="19"/>
        <v>71.816969134545602</v>
      </c>
      <c r="G232">
        <f t="shared" si="16"/>
        <v>1589.2252911764472</v>
      </c>
      <c r="I232" s="65">
        <f t="shared" ref="I232:I252" si="22">1+I231</f>
        <v>3</v>
      </c>
      <c r="J232">
        <f>N231</f>
        <v>1631.50347308459</v>
      </c>
      <c r="K232">
        <f t="shared" si="17"/>
        <v>28.877611473597245</v>
      </c>
      <c r="L232">
        <v>30</v>
      </c>
      <c r="M232" s="3">
        <f t="shared" si="20"/>
        <v>71.816969134545602</v>
      </c>
      <c r="N232">
        <f t="shared" si="18"/>
        <v>1500.8088924764472</v>
      </c>
    </row>
    <row r="233" spans="2:14" x14ac:dyDescent="0.3">
      <c r="C233" s="65">
        <f t="shared" si="21"/>
        <v>4</v>
      </c>
      <c r="D233">
        <f>G232</f>
        <v>1589.2252911764472</v>
      </c>
      <c r="E233">
        <f t="shared" si="15"/>
        <v>28.129287653823116</v>
      </c>
      <c r="F233" s="3">
        <f t="shared" si="19"/>
        <v>71.816969134545602</v>
      </c>
      <c r="G233">
        <f t="shared" si="16"/>
        <v>1489.2790343880783</v>
      </c>
      <c r="I233" s="65">
        <f t="shared" si="22"/>
        <v>4</v>
      </c>
      <c r="J233">
        <f>N232</f>
        <v>1500.8088924764472</v>
      </c>
      <c r="K233">
        <f t="shared" si="17"/>
        <v>26.564317396833118</v>
      </c>
      <c r="L233">
        <v>30</v>
      </c>
      <c r="M233" s="3">
        <f t="shared" si="20"/>
        <v>71.816969134545602</v>
      </c>
      <c r="N233">
        <f t="shared" si="18"/>
        <v>1372.4276059450685</v>
      </c>
    </row>
    <row r="234" spans="2:14" x14ac:dyDescent="0.3">
      <c r="C234" s="65">
        <f t="shared" si="21"/>
        <v>5</v>
      </c>
      <c r="D234">
        <f t="shared" ref="D234:D265" si="23">G233</f>
        <v>1489.2790343880783</v>
      </c>
      <c r="E234">
        <f t="shared" si="15"/>
        <v>26.360238908668986</v>
      </c>
      <c r="F234" s="3">
        <f t="shared" si="19"/>
        <v>71.816969134545602</v>
      </c>
      <c r="G234">
        <f t="shared" si="16"/>
        <v>1391.1018263448636</v>
      </c>
      <c r="I234" s="65">
        <f t="shared" si="22"/>
        <v>5</v>
      </c>
      <c r="J234">
        <f t="shared" ref="J234:J258" si="24">N233</f>
        <v>1372.4276059450685</v>
      </c>
      <c r="K234">
        <f t="shared" si="17"/>
        <v>24.291968625227714</v>
      </c>
      <c r="L234">
        <v>30</v>
      </c>
      <c r="M234" s="3">
        <f t="shared" si="20"/>
        <v>71.816969134545602</v>
      </c>
      <c r="N234">
        <f t="shared" si="18"/>
        <v>1246.3186681852951</v>
      </c>
    </row>
    <row r="235" spans="2:14" x14ac:dyDescent="0.3">
      <c r="C235" s="65">
        <f t="shared" si="21"/>
        <v>6</v>
      </c>
      <c r="D235">
        <f t="shared" si="23"/>
        <v>1391.1018263448636</v>
      </c>
      <c r="E235">
        <f t="shared" si="15"/>
        <v>24.622502326304087</v>
      </c>
      <c r="F235" s="3">
        <f t="shared" si="19"/>
        <v>71.816969134545602</v>
      </c>
      <c r="G235">
        <f t="shared" si="16"/>
        <v>1294.6623548840139</v>
      </c>
      <c r="I235" s="65">
        <f t="shared" si="22"/>
        <v>6</v>
      </c>
      <c r="J235">
        <f t="shared" si="24"/>
        <v>1246.3186681852951</v>
      </c>
      <c r="K235">
        <f t="shared" si="17"/>
        <v>22.059840426879724</v>
      </c>
      <c r="L235">
        <v>30</v>
      </c>
      <c r="M235" s="3">
        <f t="shared" si="20"/>
        <v>71.816969134545602</v>
      </c>
      <c r="N235">
        <f t="shared" si="18"/>
        <v>1122.4418586238698</v>
      </c>
    </row>
    <row r="236" spans="2:14" x14ac:dyDescent="0.3">
      <c r="C236" s="65">
        <f t="shared" si="21"/>
        <v>7</v>
      </c>
      <c r="D236">
        <f t="shared" si="23"/>
        <v>1294.6623548840139</v>
      </c>
      <c r="E236">
        <f t="shared" si="15"/>
        <v>22.915523681447045</v>
      </c>
      <c r="F236" s="3">
        <f t="shared" si="19"/>
        <v>71.816969134545602</v>
      </c>
      <c r="G236">
        <f t="shared" si="16"/>
        <v>1199.9298620680213</v>
      </c>
      <c r="I236" s="65">
        <f t="shared" si="22"/>
        <v>7</v>
      </c>
      <c r="J236">
        <f t="shared" si="24"/>
        <v>1122.4418586238698</v>
      </c>
      <c r="K236">
        <f t="shared" si="17"/>
        <v>19.867220897642497</v>
      </c>
      <c r="L236">
        <v>30</v>
      </c>
      <c r="M236" s="3">
        <f t="shared" si="20"/>
        <v>71.816969134545602</v>
      </c>
      <c r="N236">
        <f t="shared" si="18"/>
        <v>1000.7576685916817</v>
      </c>
    </row>
    <row r="237" spans="2:14" x14ac:dyDescent="0.3">
      <c r="C237" s="65">
        <f t="shared" si="21"/>
        <v>8</v>
      </c>
      <c r="D237">
        <f t="shared" si="23"/>
        <v>1199.9298620680213</v>
      </c>
      <c r="E237">
        <f t="shared" si="15"/>
        <v>21.23875855860398</v>
      </c>
      <c r="F237" s="3">
        <f t="shared" si="19"/>
        <v>71.816969134545602</v>
      </c>
      <c r="G237">
        <f t="shared" si="16"/>
        <v>1106.8741343748718</v>
      </c>
      <c r="I237" s="65">
        <f t="shared" si="22"/>
        <v>8</v>
      </c>
      <c r="J237">
        <f t="shared" si="24"/>
        <v>1000.7576685916817</v>
      </c>
      <c r="K237">
        <f t="shared" si="17"/>
        <v>17.713410734072767</v>
      </c>
      <c r="L237">
        <v>30</v>
      </c>
      <c r="M237" s="3">
        <f t="shared" si="20"/>
        <v>71.816969134545602</v>
      </c>
      <c r="N237">
        <f t="shared" si="18"/>
        <v>881.22728872306334</v>
      </c>
    </row>
    <row r="238" spans="2:14" x14ac:dyDescent="0.3">
      <c r="C238" s="65">
        <f t="shared" si="21"/>
        <v>9</v>
      </c>
      <c r="D238">
        <f t="shared" si="23"/>
        <v>1106.8741343748718</v>
      </c>
      <c r="E238">
        <f t="shared" si="15"/>
        <v>19.591672178435232</v>
      </c>
      <c r="F238" s="3">
        <f t="shared" si="19"/>
        <v>71.816969134545602</v>
      </c>
      <c r="G238">
        <f t="shared" si="16"/>
        <v>1015.465493061891</v>
      </c>
      <c r="I238" s="65">
        <f t="shared" si="22"/>
        <v>9</v>
      </c>
      <c r="J238">
        <f t="shared" si="24"/>
        <v>881.22728872306334</v>
      </c>
      <c r="K238">
        <f t="shared" si="17"/>
        <v>15.597723010398221</v>
      </c>
      <c r="L238">
        <v>30</v>
      </c>
      <c r="M238" s="3">
        <f t="shared" si="20"/>
        <v>71.816969134545602</v>
      </c>
      <c r="N238">
        <f t="shared" si="18"/>
        <v>763.8125965781195</v>
      </c>
    </row>
    <row r="239" spans="2:14" x14ac:dyDescent="0.3">
      <c r="C239" s="65">
        <f t="shared" si="21"/>
        <v>10</v>
      </c>
      <c r="D239">
        <f t="shared" si="23"/>
        <v>1015.465493061891</v>
      </c>
      <c r="E239">
        <f t="shared" si="15"/>
        <v>17.973739227195473</v>
      </c>
      <c r="F239" s="3">
        <f t="shared" si="19"/>
        <v>71.816969134545602</v>
      </c>
      <c r="G239">
        <f t="shared" si="16"/>
        <v>925.67478470014998</v>
      </c>
      <c r="I239" s="65">
        <f t="shared" si="22"/>
        <v>10</v>
      </c>
      <c r="J239">
        <f t="shared" si="24"/>
        <v>763.8125965781195</v>
      </c>
      <c r="K239">
        <f t="shared" si="17"/>
        <v>13.519482959432715</v>
      </c>
      <c r="L239">
        <v>30</v>
      </c>
      <c r="M239" s="3">
        <f t="shared" si="20"/>
        <v>71.816969134545602</v>
      </c>
      <c r="N239">
        <f t="shared" si="18"/>
        <v>648.47614448414117</v>
      </c>
    </row>
    <row r="240" spans="2:14" x14ac:dyDescent="0.3">
      <c r="C240" s="65">
        <f t="shared" si="21"/>
        <v>11</v>
      </c>
      <c r="D240">
        <f t="shared" si="23"/>
        <v>925.67478470014998</v>
      </c>
      <c r="E240">
        <f t="shared" si="15"/>
        <v>16.384443689192658</v>
      </c>
      <c r="F240" s="3">
        <f t="shared" si="19"/>
        <v>71.816969134545602</v>
      </c>
      <c r="G240">
        <f t="shared" si="16"/>
        <v>837.47337187641176</v>
      </c>
      <c r="I240" s="65">
        <f t="shared" si="22"/>
        <v>11</v>
      </c>
      <c r="J240">
        <f t="shared" si="24"/>
        <v>648.47614448414117</v>
      </c>
      <c r="K240">
        <f t="shared" si="17"/>
        <v>11.478027757369299</v>
      </c>
      <c r="L240">
        <v>30</v>
      </c>
      <c r="M240" s="3">
        <f t="shared" si="20"/>
        <v>71.816969134545602</v>
      </c>
      <c r="N240">
        <f t="shared" si="18"/>
        <v>535.18114759222624</v>
      </c>
    </row>
    <row r="241" spans="3:14" x14ac:dyDescent="0.3">
      <c r="C241" s="65">
        <f t="shared" si="21"/>
        <v>12</v>
      </c>
      <c r="D241">
        <f t="shared" si="23"/>
        <v>837.47337187641176</v>
      </c>
      <c r="E241">
        <f t="shared" si="15"/>
        <v>14.823278682212488</v>
      </c>
      <c r="F241" s="3">
        <f t="shared" si="19"/>
        <v>71.816969134545602</v>
      </c>
      <c r="G241">
        <f t="shared" si="16"/>
        <v>750.83312405965364</v>
      </c>
      <c r="I241" s="65">
        <f t="shared" si="22"/>
        <v>12</v>
      </c>
      <c r="J241">
        <f t="shared" si="24"/>
        <v>535.18114759222624</v>
      </c>
      <c r="K241">
        <f t="shared" si="17"/>
        <v>9.4727063123824049</v>
      </c>
      <c r="L241">
        <v>30</v>
      </c>
      <c r="M241" s="3">
        <f t="shared" si="20"/>
        <v>71.816969134545602</v>
      </c>
      <c r="N241">
        <f t="shared" si="18"/>
        <v>423.89147214529817</v>
      </c>
    </row>
    <row r="242" spans="3:14" x14ac:dyDescent="0.3">
      <c r="C242" s="65">
        <f t="shared" si="21"/>
        <v>13</v>
      </c>
      <c r="D242">
        <f t="shared" si="23"/>
        <v>750.83312405965364</v>
      </c>
      <c r="E242">
        <f t="shared" si="15"/>
        <v>13.289746295855871</v>
      </c>
      <c r="F242" s="3">
        <f t="shared" si="19"/>
        <v>71.816969134545602</v>
      </c>
      <c r="G242">
        <f t="shared" si="16"/>
        <v>665.72640862925221</v>
      </c>
      <c r="I242" s="65">
        <f t="shared" si="22"/>
        <v>13</v>
      </c>
      <c r="J242">
        <f t="shared" si="24"/>
        <v>423.89147214529817</v>
      </c>
      <c r="K242">
        <f t="shared" si="17"/>
        <v>7.5028790569717776</v>
      </c>
      <c r="L242">
        <v>30</v>
      </c>
      <c r="M242" s="3">
        <f t="shared" si="20"/>
        <v>71.816969134545602</v>
      </c>
      <c r="N242">
        <f t="shared" si="18"/>
        <v>314.57162395378077</v>
      </c>
    </row>
    <row r="243" spans="3:14" x14ac:dyDescent="0.3">
      <c r="C243" s="65">
        <f t="shared" si="21"/>
        <v>14</v>
      </c>
      <c r="D243">
        <f t="shared" si="23"/>
        <v>665.72640862925221</v>
      </c>
      <c r="E243">
        <f t="shared" si="15"/>
        <v>11.783357432737764</v>
      </c>
      <c r="F243" s="3">
        <f t="shared" si="19"/>
        <v>71.816969134545602</v>
      </c>
      <c r="G243">
        <f t="shared" si="16"/>
        <v>582.12608206196887</v>
      </c>
      <c r="I243" s="65">
        <f t="shared" si="22"/>
        <v>14</v>
      </c>
      <c r="J243">
        <f t="shared" si="24"/>
        <v>314.57162395378077</v>
      </c>
      <c r="K243">
        <f t="shared" si="17"/>
        <v>5.5679177439819192</v>
      </c>
      <c r="L243">
        <v>30</v>
      </c>
      <c r="M243" s="3">
        <f t="shared" si="20"/>
        <v>71.816969134545602</v>
      </c>
      <c r="N243">
        <f t="shared" si="18"/>
        <v>207.18673707525323</v>
      </c>
    </row>
    <row r="244" spans="3:14" x14ac:dyDescent="0.3">
      <c r="C244" s="65">
        <f t="shared" si="21"/>
        <v>15</v>
      </c>
      <c r="D244">
        <f t="shared" si="23"/>
        <v>582.12608206196887</v>
      </c>
      <c r="E244">
        <f t="shared" si="15"/>
        <v>10.303631652496849</v>
      </c>
      <c r="F244" s="3">
        <f t="shared" si="19"/>
        <v>71.816969134545602</v>
      </c>
      <c r="G244">
        <f t="shared" si="16"/>
        <v>500.00548127492641</v>
      </c>
      <c r="I244" s="65">
        <f t="shared" si="22"/>
        <v>15</v>
      </c>
      <c r="J244">
        <f t="shared" si="24"/>
        <v>207.18673707525323</v>
      </c>
      <c r="K244">
        <f t="shared" si="17"/>
        <v>3.667205246231982</v>
      </c>
      <c r="L244">
        <v>30</v>
      </c>
      <c r="M244" s="3">
        <f t="shared" si="20"/>
        <v>71.816969134545602</v>
      </c>
      <c r="N244">
        <f t="shared" si="18"/>
        <v>101.70256269447566</v>
      </c>
    </row>
    <row r="245" spans="3:14" x14ac:dyDescent="0.3">
      <c r="C245" s="65">
        <f t="shared" si="21"/>
        <v>16</v>
      </c>
      <c r="D245">
        <f t="shared" si="23"/>
        <v>500.00548127492641</v>
      </c>
      <c r="E245">
        <f t="shared" si="15"/>
        <v>8.8500970185661973</v>
      </c>
      <c r="F245" s="3">
        <f t="shared" si="19"/>
        <v>71.816969134545602</v>
      </c>
      <c r="G245">
        <f t="shared" si="16"/>
        <v>419.33841512181459</v>
      </c>
      <c r="I245" s="65">
        <f t="shared" si="22"/>
        <v>16</v>
      </c>
      <c r="J245">
        <f t="shared" si="24"/>
        <v>101.70256269447566</v>
      </c>
      <c r="K245">
        <f t="shared" si="17"/>
        <v>1.8001353596922192</v>
      </c>
      <c r="L245">
        <v>30</v>
      </c>
      <c r="M245" s="3">
        <f t="shared" si="20"/>
        <v>71.816969134545602</v>
      </c>
      <c r="N245">
        <f t="shared" si="18"/>
        <v>-1.9145417997621621</v>
      </c>
    </row>
    <row r="246" spans="3:14" x14ac:dyDescent="0.3">
      <c r="C246" s="65">
        <f t="shared" si="21"/>
        <v>17</v>
      </c>
      <c r="D246">
        <f t="shared" si="23"/>
        <v>419.33841512181459</v>
      </c>
      <c r="E246">
        <f t="shared" si="15"/>
        <v>7.422289947656119</v>
      </c>
      <c r="F246" s="3">
        <f t="shared" si="19"/>
        <v>71.816969134545602</v>
      </c>
      <c r="G246">
        <f t="shared" si="16"/>
        <v>340.09915603961286</v>
      </c>
      <c r="I246" s="65">
        <f t="shared" si="22"/>
        <v>17</v>
      </c>
      <c r="J246">
        <f t="shared" si="24"/>
        <v>-1.9145417997621621</v>
      </c>
      <c r="K246">
        <f t="shared" si="17"/>
        <v>-3.3887389855790269E-2</v>
      </c>
      <c r="L246">
        <v>30</v>
      </c>
      <c r="M246" s="3">
        <f t="shared" si="20"/>
        <v>71.816969134545602</v>
      </c>
      <c r="N246">
        <f t="shared" si="18"/>
        <v>-103.69762354445197</v>
      </c>
    </row>
    <row r="247" spans="3:14" x14ac:dyDescent="0.3">
      <c r="C247" s="65">
        <f t="shared" si="21"/>
        <v>18</v>
      </c>
      <c r="D247">
        <f t="shared" si="23"/>
        <v>340.09915603961286</v>
      </c>
      <c r="E247">
        <f t="shared" si="15"/>
        <v>6.0197550619011482</v>
      </c>
      <c r="F247" s="3">
        <f t="shared" si="19"/>
        <v>71.816969134545602</v>
      </c>
      <c r="G247">
        <f t="shared" si="16"/>
        <v>262.2624318431661</v>
      </c>
      <c r="I247" s="65">
        <f t="shared" si="22"/>
        <v>18</v>
      </c>
      <c r="J247">
        <f t="shared" si="24"/>
        <v>-103.69762354445197</v>
      </c>
      <c r="K247">
        <f t="shared" si="17"/>
        <v>-1.8354479367368</v>
      </c>
      <c r="L247">
        <v>30</v>
      </c>
      <c r="M247" s="3">
        <f t="shared" si="20"/>
        <v>71.816969134545602</v>
      </c>
      <c r="N247">
        <f t="shared" si="18"/>
        <v>-203.67914474226077</v>
      </c>
    </row>
    <row r="248" spans="3:14" x14ac:dyDescent="0.3">
      <c r="C248" s="65">
        <f t="shared" si="21"/>
        <v>19</v>
      </c>
      <c r="D248">
        <f t="shared" si="23"/>
        <v>262.2624318431661</v>
      </c>
      <c r="E248">
        <f t="shared" si="15"/>
        <v>4.6420450436240399</v>
      </c>
      <c r="F248" s="3">
        <f t="shared" si="19"/>
        <v>71.816969134545602</v>
      </c>
      <c r="G248">
        <f t="shared" si="16"/>
        <v>185.80341766499646</v>
      </c>
      <c r="I248" s="65">
        <f t="shared" si="22"/>
        <v>19</v>
      </c>
      <c r="J248">
        <f t="shared" si="24"/>
        <v>-203.67914474226077</v>
      </c>
      <c r="K248">
        <f t="shared" si="17"/>
        <v>-3.6051208619380155</v>
      </c>
      <c r="L248">
        <v>30</v>
      </c>
      <c r="M248" s="3">
        <f t="shared" si="20"/>
        <v>71.816969134545602</v>
      </c>
      <c r="N248">
        <f t="shared" si="18"/>
        <v>-301.89099301486834</v>
      </c>
    </row>
    <row r="249" spans="3:14" x14ac:dyDescent="0.3">
      <c r="C249" s="65">
        <f t="shared" si="21"/>
        <v>20</v>
      </c>
      <c r="D249">
        <f t="shared" si="23"/>
        <v>185.80341766499646</v>
      </c>
      <c r="E249">
        <f t="shared" si="15"/>
        <v>3.2887204926704374</v>
      </c>
      <c r="F249" s="3">
        <f t="shared" si="19"/>
        <v>71.816969134545602</v>
      </c>
      <c r="G249">
        <f t="shared" si="16"/>
        <v>110.69772803778041</v>
      </c>
      <c r="I249" s="65">
        <f t="shared" si="22"/>
        <v>20</v>
      </c>
      <c r="J249">
        <f t="shared" si="24"/>
        <v>-301.89099301486834</v>
      </c>
      <c r="K249">
        <f t="shared" si="17"/>
        <v>-5.3434705763631705</v>
      </c>
      <c r="L249">
        <v>30</v>
      </c>
      <c r="M249" s="3">
        <f t="shared" si="20"/>
        <v>71.816969134545602</v>
      </c>
      <c r="N249">
        <f t="shared" si="18"/>
        <v>-398.36449157305077</v>
      </c>
    </row>
    <row r="250" spans="3:14" x14ac:dyDescent="0.3">
      <c r="C250" s="65">
        <f t="shared" si="21"/>
        <v>21</v>
      </c>
      <c r="D250">
        <f t="shared" si="23"/>
        <v>110.69772803778041</v>
      </c>
      <c r="E250">
        <f t="shared" si="15"/>
        <v>1.959349786268713</v>
      </c>
      <c r="F250" s="3">
        <f t="shared" si="19"/>
        <v>71.816969134545602</v>
      </c>
      <c r="G250">
        <f t="shared" si="16"/>
        <v>36.921409116966089</v>
      </c>
      <c r="I250" s="65">
        <f t="shared" si="22"/>
        <v>21</v>
      </c>
      <c r="J250">
        <f t="shared" si="24"/>
        <v>-398.36449157305077</v>
      </c>
      <c r="K250">
        <f t="shared" si="17"/>
        <v>-7.0510515008429993</v>
      </c>
      <c r="L250">
        <v>30</v>
      </c>
      <c r="M250" s="3">
        <f t="shared" si="20"/>
        <v>71.816969134545602</v>
      </c>
      <c r="N250">
        <f t="shared" si="18"/>
        <v>-493.13040920675337</v>
      </c>
    </row>
    <row r="251" spans="3:14" x14ac:dyDescent="0.3">
      <c r="C251" s="65">
        <f t="shared" si="21"/>
        <v>22</v>
      </c>
      <c r="D251">
        <f t="shared" si="23"/>
        <v>36.921409116966089</v>
      </c>
      <c r="E251">
        <f t="shared" si="15"/>
        <v>0.6535089413702998</v>
      </c>
      <c r="F251" s="3">
        <f t="shared" si="19"/>
        <v>71.816969134545602</v>
      </c>
      <c r="G251">
        <f t="shared" si="16"/>
        <v>-35.54906895894981</v>
      </c>
      <c r="I251" s="65">
        <f t="shared" si="22"/>
        <v>22</v>
      </c>
      <c r="J251">
        <f t="shared" si="24"/>
        <v>-493.13040920675337</v>
      </c>
      <c r="K251">
        <f t="shared" si="17"/>
        <v>-8.7284082429595351</v>
      </c>
      <c r="L251">
        <v>30</v>
      </c>
      <c r="M251" s="3">
        <f t="shared" si="20"/>
        <v>71.816969134545602</v>
      </c>
      <c r="N251">
        <f t="shared" si="18"/>
        <v>-586.21897009833947</v>
      </c>
    </row>
    <row r="252" spans="3:14" x14ac:dyDescent="0.3">
      <c r="C252" s="65">
        <f t="shared" si="21"/>
        <v>23</v>
      </c>
      <c r="D252">
        <f t="shared" si="23"/>
        <v>-35.54906895894981</v>
      </c>
      <c r="E252">
        <f t="shared" si="15"/>
        <v>-0.62921852057341165</v>
      </c>
      <c r="F252" s="3">
        <f t="shared" si="19"/>
        <v>71.816969134545602</v>
      </c>
      <c r="G252">
        <f t="shared" si="16"/>
        <v>-106.736819572922</v>
      </c>
      <c r="I252" s="65">
        <f t="shared" si="22"/>
        <v>23</v>
      </c>
      <c r="J252">
        <f t="shared" si="24"/>
        <v>-586.21897009833947</v>
      </c>
      <c r="K252">
        <f t="shared" si="17"/>
        <v>-10.376075770740609</v>
      </c>
      <c r="L252">
        <v>30</v>
      </c>
      <c r="M252" s="3">
        <f t="shared" si="20"/>
        <v>71.816969134545602</v>
      </c>
      <c r="N252">
        <f t="shared" si="18"/>
        <v>-677.65986346214447</v>
      </c>
    </row>
    <row r="253" spans="3:14" x14ac:dyDescent="0.3">
      <c r="C253" s="65">
        <f>1+C252</f>
        <v>24</v>
      </c>
      <c r="D253">
        <f t="shared" si="23"/>
        <v>-106.736819572922</v>
      </c>
      <c r="E253">
        <f t="shared" si="15"/>
        <v>-1.8892417064407196</v>
      </c>
      <c r="F253" s="3">
        <f t="shared" si="19"/>
        <v>71.816969134545602</v>
      </c>
      <c r="G253">
        <f t="shared" si="16"/>
        <v>-176.6645470010269</v>
      </c>
      <c r="I253" s="65">
        <f>1+I252</f>
        <v>24</v>
      </c>
      <c r="J253">
        <f t="shared" si="24"/>
        <v>-677.65986346214447</v>
      </c>
      <c r="K253">
        <f t="shared" si="17"/>
        <v>-11.994579583279958</v>
      </c>
      <c r="L253">
        <v>30</v>
      </c>
      <c r="M253" s="3">
        <f t="shared" si="20"/>
        <v>71.816969134545602</v>
      </c>
      <c r="N253">
        <f t="shared" si="18"/>
        <v>-767.48225301341017</v>
      </c>
    </row>
    <row r="254" spans="3:14" x14ac:dyDescent="0.3">
      <c r="C254" s="65">
        <f t="shared" si="21"/>
        <v>25</v>
      </c>
      <c r="D254">
        <f t="shared" si="23"/>
        <v>-176.6645470010269</v>
      </c>
      <c r="E254">
        <f t="shared" si="15"/>
        <v>-3.1269624819181763</v>
      </c>
      <c r="F254" s="3">
        <f t="shared" si="19"/>
        <v>71.816969134545602</v>
      </c>
      <c r="G254">
        <f t="shared" si="16"/>
        <v>-245.35455365365431</v>
      </c>
      <c r="I254" s="65">
        <f t="shared" ref="I254:I264" si="25">1+I253</f>
        <v>25</v>
      </c>
      <c r="J254">
        <f t="shared" si="24"/>
        <v>-767.48225301341017</v>
      </c>
      <c r="K254">
        <f t="shared" si="17"/>
        <v>-13.584435878337359</v>
      </c>
      <c r="L254">
        <v>30</v>
      </c>
      <c r="M254" s="3">
        <f t="shared" si="20"/>
        <v>71.816969134545602</v>
      </c>
      <c r="N254">
        <f t="shared" si="18"/>
        <v>-855.71478626961846</v>
      </c>
    </row>
    <row r="255" spans="3:14" x14ac:dyDescent="0.3">
      <c r="C255" s="65">
        <f t="shared" si="21"/>
        <v>26</v>
      </c>
      <c r="D255">
        <f t="shared" si="23"/>
        <v>-245.35455365365431</v>
      </c>
      <c r="E255">
        <f t="shared" si="15"/>
        <v>-4.3427755996696815</v>
      </c>
      <c r="F255" s="3">
        <f t="shared" si="19"/>
        <v>71.816969134545602</v>
      </c>
      <c r="G255">
        <f t="shared" si="16"/>
        <v>-312.8287471885302</v>
      </c>
      <c r="I255" s="65">
        <f t="shared" si="25"/>
        <v>26</v>
      </c>
      <c r="J255">
        <f t="shared" si="24"/>
        <v>-855.71478626961846</v>
      </c>
      <c r="K255">
        <f t="shared" si="17"/>
        <v>-15.146151716972247</v>
      </c>
      <c r="L255">
        <v>30</v>
      </c>
      <c r="M255" s="3">
        <f t="shared" si="20"/>
        <v>71.816969134545602</v>
      </c>
      <c r="N255">
        <f t="shared" si="18"/>
        <v>-942.38560368719186</v>
      </c>
    </row>
    <row r="256" spans="3:14" x14ac:dyDescent="0.3">
      <c r="C256" s="65">
        <f t="shared" si="21"/>
        <v>27</v>
      </c>
      <c r="D256">
        <f t="shared" si="23"/>
        <v>-312.8287471885302</v>
      </c>
      <c r="E256">
        <f t="shared" si="15"/>
        <v>-5.5370688252369851</v>
      </c>
      <c r="F256" s="3">
        <f t="shared" si="19"/>
        <v>71.816969134545602</v>
      </c>
      <c r="G256">
        <f t="shared" si="16"/>
        <v>-379.10864749783883</v>
      </c>
      <c r="I256" s="65">
        <f t="shared" si="25"/>
        <v>27</v>
      </c>
      <c r="J256">
        <f t="shared" si="24"/>
        <v>-942.38560368719186</v>
      </c>
      <c r="K256">
        <f t="shared" si="17"/>
        <v>-16.680225185263296</v>
      </c>
      <c r="L256">
        <v>30</v>
      </c>
      <c r="M256" s="3">
        <f t="shared" si="20"/>
        <v>71.816969134545602</v>
      </c>
      <c r="N256">
        <f t="shared" si="18"/>
        <v>-1027.522347636474</v>
      </c>
    </row>
    <row r="257" spans="2:14" x14ac:dyDescent="0.3">
      <c r="C257" s="65">
        <f t="shared" si="21"/>
        <v>28</v>
      </c>
      <c r="D257">
        <f t="shared" si="23"/>
        <v>-379.10864749783883</v>
      </c>
      <c r="E257">
        <f t="shared" si="15"/>
        <v>-6.7102230607117477</v>
      </c>
      <c r="F257" s="3">
        <f t="shared" si="19"/>
        <v>71.816969134545602</v>
      </c>
      <c r="G257">
        <f t="shared" si="16"/>
        <v>-444.21539357167268</v>
      </c>
      <c r="I257" s="65">
        <f t="shared" si="25"/>
        <v>28</v>
      </c>
      <c r="J257">
        <f t="shared" si="24"/>
        <v>-1027.522347636474</v>
      </c>
      <c r="K257">
        <f t="shared" si="17"/>
        <v>-18.187145553165589</v>
      </c>
      <c r="L257">
        <v>30</v>
      </c>
      <c r="M257" s="3">
        <f t="shared" si="20"/>
        <v>71.816969134545602</v>
      </c>
      <c r="N257">
        <f t="shared" si="18"/>
        <v>-1111.1521712178539</v>
      </c>
    </row>
    <row r="258" spans="2:14" x14ac:dyDescent="0.3">
      <c r="C258" s="65">
        <f t="shared" si="21"/>
        <v>29</v>
      </c>
      <c r="D258">
        <f t="shared" si="23"/>
        <v>-444.21539357167268</v>
      </c>
      <c r="E258">
        <f t="shared" si="15"/>
        <v>-7.8626124662186063</v>
      </c>
      <c r="F258" s="3">
        <f t="shared" si="19"/>
        <v>71.816969134545602</v>
      </c>
      <c r="G258">
        <f t="shared" si="16"/>
        <v>-508.1697502399997</v>
      </c>
      <c r="I258" s="65">
        <f t="shared" si="25"/>
        <v>29</v>
      </c>
      <c r="J258">
        <f t="shared" si="24"/>
        <v>-1111.1521712178539</v>
      </c>
      <c r="K258">
        <f t="shared" si="17"/>
        <v>-19.667393430556015</v>
      </c>
      <c r="L258">
        <v>30</v>
      </c>
      <c r="M258" s="3">
        <f t="shared" si="20"/>
        <v>71.816969134545602</v>
      </c>
      <c r="N258">
        <f t="shared" si="18"/>
        <v>-1193.3017469218435</v>
      </c>
    </row>
    <row r="259" spans="2:14" x14ac:dyDescent="0.3">
      <c r="C259" s="65">
        <f t="shared" si="21"/>
        <v>30</v>
      </c>
      <c r="D259">
        <f>G258</f>
        <v>-508.1697502399997</v>
      </c>
      <c r="E259">
        <f t="shared" si="15"/>
        <v>-8.9946045792479943</v>
      </c>
      <c r="F259" s="3">
        <f t="shared" si="19"/>
        <v>71.816969134545602</v>
      </c>
      <c r="G259">
        <f t="shared" si="16"/>
        <v>-570.99211479529731</v>
      </c>
      <c r="I259" s="65">
        <f t="shared" si="25"/>
        <v>30</v>
      </c>
      <c r="J259">
        <f>N258</f>
        <v>-1193.3017469218435</v>
      </c>
      <c r="K259">
        <f t="shared" si="17"/>
        <v>-21.12144092051663</v>
      </c>
      <c r="L259">
        <v>30</v>
      </c>
      <c r="M259" s="3">
        <f t="shared" si="20"/>
        <v>71.816969134545602</v>
      </c>
      <c r="N259">
        <f t="shared" si="18"/>
        <v>-1273.9972751358725</v>
      </c>
    </row>
    <row r="260" spans="2:14" x14ac:dyDescent="0.3">
      <c r="C260" s="65">
        <f t="shared" si="21"/>
        <v>31</v>
      </c>
      <c r="D260">
        <f t="shared" si="23"/>
        <v>-570.99211479529731</v>
      </c>
      <c r="E260">
        <f t="shared" si="15"/>
        <v>-10.106560431876764</v>
      </c>
      <c r="F260" s="3">
        <f t="shared" si="19"/>
        <v>71.816969134545602</v>
      </c>
      <c r="G260">
        <f t="shared" si="16"/>
        <v>-632.70252349796613</v>
      </c>
      <c r="I260" s="65">
        <f t="shared" si="25"/>
        <v>31</v>
      </c>
      <c r="J260">
        <f t="shared" ref="J260:J265" si="26">N259</f>
        <v>-1273.9972751358725</v>
      </c>
      <c r="K260">
        <f t="shared" si="17"/>
        <v>-22.549751769904944</v>
      </c>
      <c r="L260">
        <v>30</v>
      </c>
      <c r="M260" s="3">
        <f t="shared" si="20"/>
        <v>71.816969134545602</v>
      </c>
      <c r="N260">
        <f t="shared" si="18"/>
        <v>-1353.2644925005131</v>
      </c>
    </row>
    <row r="261" spans="2:14" x14ac:dyDescent="0.3">
      <c r="C261" s="65">
        <f t="shared" si="21"/>
        <v>32</v>
      </c>
      <c r="D261">
        <f t="shared" si="23"/>
        <v>-632.70252349796613</v>
      </c>
      <c r="E261">
        <f t="shared" si="15"/>
        <v>-11.198834665914001</v>
      </c>
      <c r="F261" s="3">
        <f t="shared" si="19"/>
        <v>71.816969134545602</v>
      </c>
      <c r="G261">
        <f t="shared" si="16"/>
        <v>-693.32065796659776</v>
      </c>
      <c r="I261" s="65">
        <f t="shared" si="25"/>
        <v>32</v>
      </c>
      <c r="J261">
        <f t="shared" si="26"/>
        <v>-1353.2644925005131</v>
      </c>
      <c r="K261">
        <f t="shared" si="17"/>
        <v>-23.952781517259083</v>
      </c>
      <c r="L261">
        <v>30</v>
      </c>
      <c r="M261" s="3">
        <f t="shared" si="20"/>
        <v>71.816969134545602</v>
      </c>
      <c r="N261">
        <f t="shared" si="18"/>
        <v>-1431.1286801177996</v>
      </c>
    </row>
    <row r="262" spans="2:14" x14ac:dyDescent="0.3">
      <c r="C262" s="65">
        <f t="shared" si="21"/>
        <v>33</v>
      </c>
      <c r="D262">
        <f t="shared" si="23"/>
        <v>-693.32065796659776</v>
      </c>
      <c r="E262">
        <f t="shared" si="15"/>
        <v>-12.271775646008781</v>
      </c>
      <c r="F262" s="3">
        <f t="shared" si="19"/>
        <v>71.816969134545602</v>
      </c>
      <c r="G262">
        <f t="shared" si="16"/>
        <v>-752.86585145513459</v>
      </c>
      <c r="I262" s="65">
        <f t="shared" si="25"/>
        <v>33</v>
      </c>
      <c r="J262">
        <f t="shared" si="26"/>
        <v>-1431.1286801177996</v>
      </c>
      <c r="K262">
        <f t="shared" si="17"/>
        <v>-25.330977638085052</v>
      </c>
      <c r="L262">
        <v>30</v>
      </c>
      <c r="M262" s="3">
        <f t="shared" si="20"/>
        <v>71.816969134545602</v>
      </c>
      <c r="N262">
        <f t="shared" si="18"/>
        <v>-1507.6146716142603</v>
      </c>
    </row>
    <row r="263" spans="2:14" x14ac:dyDescent="0.3">
      <c r="C263" s="65">
        <f t="shared" si="21"/>
        <v>34</v>
      </c>
      <c r="D263">
        <f t="shared" si="23"/>
        <v>-752.86585145513459</v>
      </c>
      <c r="E263">
        <f t="shared" si="15"/>
        <v>-13.325725570755884</v>
      </c>
      <c r="F263" s="3">
        <f t="shared" si="19"/>
        <v>71.816969134545602</v>
      </c>
      <c r="G263">
        <f t="shared" si="16"/>
        <v>-811.35709501892427</v>
      </c>
      <c r="I263" s="65">
        <f t="shared" si="25"/>
        <v>34</v>
      </c>
      <c r="J263">
        <f t="shared" si="26"/>
        <v>-1507.6146716142603</v>
      </c>
      <c r="K263">
        <f t="shared" si="17"/>
        <v>-26.684779687572409</v>
      </c>
      <c r="L263">
        <v>30</v>
      </c>
      <c r="M263" s="3">
        <f t="shared" si="20"/>
        <v>71.816969134545602</v>
      </c>
      <c r="N263">
        <f t="shared" si="18"/>
        <v>-1582.7468610612334</v>
      </c>
    </row>
    <row r="264" spans="2:14" x14ac:dyDescent="0.3">
      <c r="C264" s="65">
        <f t="shared" si="21"/>
        <v>35</v>
      </c>
      <c r="D264">
        <f t="shared" si="23"/>
        <v>-811.35709501892427</v>
      </c>
      <c r="E264">
        <f t="shared" si="15"/>
        <v>-14.361020581834959</v>
      </c>
      <c r="F264" s="3">
        <f t="shared" si="19"/>
        <v>71.816969134545602</v>
      </c>
      <c r="G264">
        <f t="shared" si="16"/>
        <v>-868.81304357163492</v>
      </c>
      <c r="I264" s="65">
        <f t="shared" si="25"/>
        <v>35</v>
      </c>
      <c r="J264">
        <f t="shared" si="26"/>
        <v>-1582.7468610612334</v>
      </c>
      <c r="K264">
        <f t="shared" si="17"/>
        <v>-28.014619440783832</v>
      </c>
      <c r="L264">
        <v>30</v>
      </c>
      <c r="M264" s="3">
        <f t="shared" si="20"/>
        <v>71.816969134545602</v>
      </c>
      <c r="N264">
        <f t="shared" si="18"/>
        <v>-1656.5492107549951</v>
      </c>
    </row>
    <row r="265" spans="2:14" x14ac:dyDescent="0.3">
      <c r="C265" s="65">
        <f>1+C264</f>
        <v>36</v>
      </c>
      <c r="D265">
        <f t="shared" si="23"/>
        <v>-868.81304357163492</v>
      </c>
      <c r="E265">
        <f t="shared" si="15"/>
        <v>-15.377990871217937</v>
      </c>
      <c r="F265" s="3">
        <f t="shared" si="19"/>
        <v>71.816969134545602</v>
      </c>
      <c r="G265">
        <f t="shared" si="16"/>
        <v>-925.25202183496265</v>
      </c>
      <c r="I265" s="65">
        <f>1+I264</f>
        <v>36</v>
      </c>
      <c r="J265">
        <f t="shared" si="26"/>
        <v>-1656.5492107549951</v>
      </c>
      <c r="K265">
        <f t="shared" si="17"/>
        <v>-29.320921030363415</v>
      </c>
      <c r="L265">
        <v>30</v>
      </c>
      <c r="M265" s="3">
        <f t="shared" si="20"/>
        <v>71.816969134545602</v>
      </c>
      <c r="N265">
        <f t="shared" si="18"/>
        <v>-1729.0452588591772</v>
      </c>
    </row>
    <row r="267" spans="2:14" x14ac:dyDescent="0.3">
      <c r="J267" s="1" t="s">
        <v>138</v>
      </c>
    </row>
    <row r="268" spans="2:14" x14ac:dyDescent="0.3">
      <c r="B268" s="1" t="s">
        <v>137</v>
      </c>
      <c r="C268" s="65" t="s">
        <v>7</v>
      </c>
      <c r="D268" t="s">
        <v>131</v>
      </c>
      <c r="E268" t="s">
        <v>132</v>
      </c>
      <c r="F268" t="s">
        <v>133</v>
      </c>
      <c r="G268" t="s">
        <v>141</v>
      </c>
      <c r="I268" s="65" t="s">
        <v>7</v>
      </c>
      <c r="J268" t="s">
        <v>131</v>
      </c>
      <c r="K268" t="s">
        <v>139</v>
      </c>
      <c r="L268" t="s">
        <v>132</v>
      </c>
      <c r="M268" t="s">
        <v>133</v>
      </c>
      <c r="N268" t="s">
        <v>140</v>
      </c>
    </row>
    <row r="269" spans="2:14" x14ac:dyDescent="0.3">
      <c r="C269" s="65">
        <v>1</v>
      </c>
      <c r="D269">
        <f>4400</f>
        <v>4400</v>
      </c>
      <c r="E269">
        <f t="shared" ref="E269:E304" si="27">D269/12*0.2124</f>
        <v>77.88000000000001</v>
      </c>
      <c r="F269" s="3">
        <f>PMT(0.2624/12,36,-4400,0)</f>
        <v>177.84174103082771</v>
      </c>
      <c r="G269">
        <f t="shared" ref="G269:G304" si="28">D269-E269-F269</f>
        <v>4144.2782589691724</v>
      </c>
      <c r="I269" s="65">
        <v>1</v>
      </c>
      <c r="J269">
        <f>4400</f>
        <v>4400</v>
      </c>
      <c r="K269">
        <v>30</v>
      </c>
      <c r="L269">
        <f t="shared" ref="L269:L304" si="29">J269/12*0.2124</f>
        <v>77.88000000000001</v>
      </c>
      <c r="M269" s="3">
        <f>PMT(0.2624/12,36,-4400,0)</f>
        <v>177.84174103082771</v>
      </c>
      <c r="N269">
        <f t="shared" ref="N269:N304" si="30">J269-L269-M269-K269</f>
        <v>4114.2782589691724</v>
      </c>
    </row>
    <row r="270" spans="2:14" x14ac:dyDescent="0.3">
      <c r="C270" s="65">
        <f>1+C269</f>
        <v>2</v>
      </c>
      <c r="D270">
        <f>G269</f>
        <v>4144.2782589691724</v>
      </c>
      <c r="E270">
        <f t="shared" si="27"/>
        <v>73.353725183754349</v>
      </c>
      <c r="F270" s="3">
        <f t="shared" ref="F270:F304" si="31">PMT(0.2624/12,36,-4400,0)</f>
        <v>177.84174103082771</v>
      </c>
      <c r="G270">
        <f t="shared" si="28"/>
        <v>3893.0827927545906</v>
      </c>
      <c r="I270" s="65">
        <f>1+I269</f>
        <v>2</v>
      </c>
      <c r="J270">
        <f>N269</f>
        <v>4114.2782589691724</v>
      </c>
      <c r="K270">
        <v>30</v>
      </c>
      <c r="L270">
        <f t="shared" si="29"/>
        <v>72.822725183754358</v>
      </c>
      <c r="M270" s="3">
        <f t="shared" ref="M270:M304" si="32">PMT(0.2624/12,36,-4400,0)</f>
        <v>177.84174103082771</v>
      </c>
      <c r="N270">
        <f t="shared" si="30"/>
        <v>3833.6137927545906</v>
      </c>
    </row>
    <row r="271" spans="2:14" x14ac:dyDescent="0.3">
      <c r="C271" s="65">
        <f t="shared" ref="C271:C291" si="33">1+C270</f>
        <v>3</v>
      </c>
      <c r="D271">
        <f>G270</f>
        <v>3893.0827927545906</v>
      </c>
      <c r="E271">
        <f t="shared" si="27"/>
        <v>68.907565431756254</v>
      </c>
      <c r="F271" s="3">
        <f t="shared" si="31"/>
        <v>177.84174103082771</v>
      </c>
      <c r="G271">
        <f t="shared" si="28"/>
        <v>3646.3334862920069</v>
      </c>
      <c r="I271" s="65">
        <f t="shared" ref="I271:I291" si="34">1+I270</f>
        <v>3</v>
      </c>
      <c r="J271">
        <f>N270</f>
        <v>3833.6137927545906</v>
      </c>
      <c r="K271">
        <v>30</v>
      </c>
      <c r="L271">
        <f t="shared" si="29"/>
        <v>67.854964131756262</v>
      </c>
      <c r="M271" s="3">
        <f t="shared" si="32"/>
        <v>177.84174103082771</v>
      </c>
      <c r="N271">
        <f t="shared" si="30"/>
        <v>3557.9170875920067</v>
      </c>
    </row>
    <row r="272" spans="2:14" x14ac:dyDescent="0.3">
      <c r="C272" s="65">
        <f t="shared" si="33"/>
        <v>4</v>
      </c>
      <c r="D272">
        <f>G271</f>
        <v>3646.3334862920069</v>
      </c>
      <c r="E272">
        <f t="shared" si="27"/>
        <v>64.540102707368519</v>
      </c>
      <c r="F272" s="3">
        <f t="shared" si="31"/>
        <v>177.84174103082771</v>
      </c>
      <c r="G272">
        <f t="shared" si="28"/>
        <v>3403.9516425538109</v>
      </c>
      <c r="I272" s="65">
        <f t="shared" si="34"/>
        <v>4</v>
      </c>
      <c r="J272">
        <f>N271</f>
        <v>3557.9170875920067</v>
      </c>
      <c r="K272">
        <v>30</v>
      </c>
      <c r="L272">
        <f t="shared" si="29"/>
        <v>62.975132450378524</v>
      </c>
      <c r="M272" s="3">
        <f t="shared" si="32"/>
        <v>177.84174103082771</v>
      </c>
      <c r="N272">
        <f t="shared" si="30"/>
        <v>3287.1002141108006</v>
      </c>
    </row>
    <row r="273" spans="3:14" x14ac:dyDescent="0.3">
      <c r="C273" s="65">
        <f t="shared" si="33"/>
        <v>5</v>
      </c>
      <c r="D273">
        <f t="shared" ref="D273:D297" si="35">G272</f>
        <v>3403.9516425538109</v>
      </c>
      <c r="E273">
        <f t="shared" si="27"/>
        <v>60.249944073202457</v>
      </c>
      <c r="F273" s="3">
        <f t="shared" si="31"/>
        <v>177.84174103082771</v>
      </c>
      <c r="G273">
        <f t="shared" si="28"/>
        <v>3165.8599574497807</v>
      </c>
      <c r="I273" s="65">
        <f t="shared" si="34"/>
        <v>5</v>
      </c>
      <c r="J273">
        <f t="shared" ref="J273:J297" si="36">N272</f>
        <v>3287.1002141108006</v>
      </c>
      <c r="K273">
        <v>30</v>
      </c>
      <c r="L273">
        <f t="shared" si="29"/>
        <v>58.18167378976117</v>
      </c>
      <c r="M273" s="3">
        <f t="shared" si="32"/>
        <v>177.84174103082771</v>
      </c>
      <c r="N273">
        <f t="shared" si="30"/>
        <v>3021.076799290212</v>
      </c>
    </row>
    <row r="274" spans="3:14" x14ac:dyDescent="0.3">
      <c r="C274" s="65">
        <f t="shared" si="33"/>
        <v>6</v>
      </c>
      <c r="D274">
        <f t="shared" si="35"/>
        <v>3165.8599574497807</v>
      </c>
      <c r="E274">
        <f t="shared" si="27"/>
        <v>56.035721246861122</v>
      </c>
      <c r="F274" s="3">
        <f t="shared" si="31"/>
        <v>177.84174103082771</v>
      </c>
      <c r="G274">
        <f t="shared" si="28"/>
        <v>2931.9824951720921</v>
      </c>
      <c r="I274" s="65">
        <f t="shared" si="34"/>
        <v>6</v>
      </c>
      <c r="J274">
        <f t="shared" si="36"/>
        <v>3021.076799290212</v>
      </c>
      <c r="K274">
        <v>30</v>
      </c>
      <c r="L274">
        <f t="shared" si="29"/>
        <v>53.473059347436752</v>
      </c>
      <c r="M274" s="3">
        <f t="shared" si="32"/>
        <v>177.84174103082771</v>
      </c>
      <c r="N274">
        <f t="shared" si="30"/>
        <v>2759.7619989119476</v>
      </c>
    </row>
    <row r="275" spans="3:14" x14ac:dyDescent="0.3">
      <c r="C275" s="65">
        <f t="shared" si="33"/>
        <v>7</v>
      </c>
      <c r="D275">
        <f t="shared" si="35"/>
        <v>2931.9824951720921</v>
      </c>
      <c r="E275">
        <f t="shared" si="27"/>
        <v>51.896090164546031</v>
      </c>
      <c r="F275" s="3">
        <f t="shared" si="31"/>
        <v>177.84174103082771</v>
      </c>
      <c r="G275">
        <f t="shared" si="28"/>
        <v>2702.2446639767186</v>
      </c>
      <c r="I275" s="65">
        <f t="shared" si="34"/>
        <v>7</v>
      </c>
      <c r="J275">
        <f t="shared" si="36"/>
        <v>2759.7619989119476</v>
      </c>
      <c r="K275">
        <v>30</v>
      </c>
      <c r="L275">
        <f t="shared" si="29"/>
        <v>48.847787380741472</v>
      </c>
      <c r="M275" s="3">
        <f t="shared" si="32"/>
        <v>177.84174103082771</v>
      </c>
      <c r="N275">
        <f t="shared" si="30"/>
        <v>2503.0724705003786</v>
      </c>
    </row>
    <row r="276" spans="3:14" x14ac:dyDescent="0.3">
      <c r="C276" s="65">
        <f t="shared" si="33"/>
        <v>8</v>
      </c>
      <c r="D276">
        <f t="shared" si="35"/>
        <v>2702.2446639767186</v>
      </c>
      <c r="E276">
        <f t="shared" si="27"/>
        <v>47.829730552387922</v>
      </c>
      <c r="F276" s="3">
        <f t="shared" si="31"/>
        <v>177.84174103082771</v>
      </c>
      <c r="G276">
        <f t="shared" si="28"/>
        <v>2476.5731923935032</v>
      </c>
      <c r="I276" s="65">
        <f t="shared" si="34"/>
        <v>8</v>
      </c>
      <c r="J276">
        <f t="shared" si="36"/>
        <v>2503.0724705003786</v>
      </c>
      <c r="K276">
        <v>30</v>
      </c>
      <c r="L276">
        <f t="shared" si="29"/>
        <v>44.304382727856705</v>
      </c>
      <c r="M276" s="3">
        <f t="shared" si="32"/>
        <v>177.84174103082771</v>
      </c>
      <c r="N276">
        <f t="shared" si="30"/>
        <v>2250.9263467416945</v>
      </c>
    </row>
    <row r="277" spans="3:14" x14ac:dyDescent="0.3">
      <c r="C277" s="65">
        <f t="shared" si="33"/>
        <v>9</v>
      </c>
      <c r="D277">
        <f t="shared" si="35"/>
        <v>2476.5731923935032</v>
      </c>
      <c r="E277">
        <f t="shared" si="27"/>
        <v>43.835345505365005</v>
      </c>
      <c r="F277" s="3">
        <f t="shared" si="31"/>
        <v>177.84174103082771</v>
      </c>
      <c r="G277">
        <f t="shared" si="28"/>
        <v>2254.8961058573109</v>
      </c>
      <c r="I277" s="65">
        <f t="shared" si="34"/>
        <v>9</v>
      </c>
      <c r="J277">
        <f t="shared" si="36"/>
        <v>2250.9263467416945</v>
      </c>
      <c r="K277">
        <v>30</v>
      </c>
      <c r="L277">
        <f t="shared" si="29"/>
        <v>39.841396337327993</v>
      </c>
      <c r="M277" s="3">
        <f t="shared" si="32"/>
        <v>177.84174103082771</v>
      </c>
      <c r="N277">
        <f t="shared" si="30"/>
        <v>2003.2432093735385</v>
      </c>
    </row>
    <row r="278" spans="3:14" x14ac:dyDescent="0.3">
      <c r="C278" s="65">
        <f t="shared" si="33"/>
        <v>10</v>
      </c>
      <c r="D278">
        <f t="shared" si="35"/>
        <v>2254.8961058573109</v>
      </c>
      <c r="E278">
        <f t="shared" si="27"/>
        <v>39.911661073674402</v>
      </c>
      <c r="F278" s="3">
        <f t="shared" si="31"/>
        <v>177.84174103082771</v>
      </c>
      <c r="G278">
        <f t="shared" si="28"/>
        <v>2037.1427037528085</v>
      </c>
      <c r="I278" s="65">
        <f t="shared" si="34"/>
        <v>10</v>
      </c>
      <c r="J278">
        <f t="shared" si="36"/>
        <v>2003.2432093735385</v>
      </c>
      <c r="K278">
        <v>30</v>
      </c>
      <c r="L278">
        <f t="shared" si="29"/>
        <v>35.457404805911629</v>
      </c>
      <c r="M278" s="3">
        <f t="shared" si="32"/>
        <v>177.84174103082771</v>
      </c>
      <c r="N278">
        <f t="shared" si="30"/>
        <v>1759.9440635367991</v>
      </c>
    </row>
    <row r="279" spans="3:14" x14ac:dyDescent="0.3">
      <c r="C279" s="65">
        <f t="shared" si="33"/>
        <v>11</v>
      </c>
      <c r="D279">
        <f t="shared" si="35"/>
        <v>2037.1427037528085</v>
      </c>
      <c r="E279">
        <f t="shared" si="27"/>
        <v>36.057425856424707</v>
      </c>
      <c r="F279" s="3">
        <f t="shared" si="31"/>
        <v>177.84174103082771</v>
      </c>
      <c r="G279">
        <f t="shared" si="28"/>
        <v>1823.2435368655561</v>
      </c>
      <c r="I279" s="65">
        <f t="shared" si="34"/>
        <v>11</v>
      </c>
      <c r="J279">
        <f t="shared" si="36"/>
        <v>1759.9440635367991</v>
      </c>
      <c r="K279">
        <v>30</v>
      </c>
      <c r="L279">
        <f t="shared" si="29"/>
        <v>31.151009924601347</v>
      </c>
      <c r="M279" s="3">
        <f t="shared" si="32"/>
        <v>177.84174103082771</v>
      </c>
      <c r="N279">
        <f t="shared" si="30"/>
        <v>1520.9513125813701</v>
      </c>
    </row>
    <row r="280" spans="3:14" x14ac:dyDescent="0.3">
      <c r="C280" s="65">
        <f t="shared" si="33"/>
        <v>12</v>
      </c>
      <c r="D280">
        <f t="shared" si="35"/>
        <v>1823.2435368655561</v>
      </c>
      <c r="E280">
        <f t="shared" si="27"/>
        <v>32.271410602520341</v>
      </c>
      <c r="F280" s="3">
        <f t="shared" si="31"/>
        <v>177.84174103082771</v>
      </c>
      <c r="G280">
        <f t="shared" si="28"/>
        <v>1613.130385232208</v>
      </c>
      <c r="I280" s="65">
        <f t="shared" si="34"/>
        <v>12</v>
      </c>
      <c r="J280">
        <f t="shared" si="36"/>
        <v>1520.9513125813701</v>
      </c>
      <c r="K280">
        <v>30</v>
      </c>
      <c r="L280">
        <f t="shared" si="29"/>
        <v>26.920838232690251</v>
      </c>
      <c r="M280" s="3">
        <f t="shared" si="32"/>
        <v>177.84174103082771</v>
      </c>
      <c r="N280">
        <f t="shared" si="30"/>
        <v>1286.188733317852</v>
      </c>
    </row>
    <row r="281" spans="3:14" x14ac:dyDescent="0.3">
      <c r="C281" s="65">
        <f t="shared" si="33"/>
        <v>13</v>
      </c>
      <c r="D281">
        <f t="shared" si="35"/>
        <v>1613.130385232208</v>
      </c>
      <c r="E281">
        <f t="shared" si="27"/>
        <v>28.552407818610085</v>
      </c>
      <c r="F281" s="3">
        <f t="shared" si="31"/>
        <v>177.84174103082771</v>
      </c>
      <c r="G281">
        <f t="shared" si="28"/>
        <v>1406.7362363827701</v>
      </c>
      <c r="I281" s="65">
        <f t="shared" si="34"/>
        <v>13</v>
      </c>
      <c r="J281">
        <f t="shared" si="36"/>
        <v>1286.188733317852</v>
      </c>
      <c r="K281">
        <v>30</v>
      </c>
      <c r="L281">
        <f t="shared" si="29"/>
        <v>22.765540579725982</v>
      </c>
      <c r="M281" s="3">
        <f t="shared" si="32"/>
        <v>177.84174103082771</v>
      </c>
      <c r="N281">
        <f t="shared" si="30"/>
        <v>1055.5814517072984</v>
      </c>
    </row>
    <row r="282" spans="3:14" x14ac:dyDescent="0.3">
      <c r="C282" s="65">
        <f t="shared" si="33"/>
        <v>14</v>
      </c>
      <c r="D282">
        <f t="shared" si="35"/>
        <v>1406.7362363827701</v>
      </c>
      <c r="E282">
        <f t="shared" si="27"/>
        <v>24.899231383975032</v>
      </c>
      <c r="F282" s="3">
        <f t="shared" si="31"/>
        <v>177.84174103082771</v>
      </c>
      <c r="G282">
        <f t="shared" si="28"/>
        <v>1203.9952639679673</v>
      </c>
      <c r="I282" s="65">
        <f t="shared" si="34"/>
        <v>14</v>
      </c>
      <c r="J282">
        <f t="shared" si="36"/>
        <v>1055.5814517072984</v>
      </c>
      <c r="K282">
        <v>30</v>
      </c>
      <c r="L282">
        <f t="shared" si="29"/>
        <v>18.683791695219181</v>
      </c>
      <c r="M282" s="3">
        <f t="shared" si="32"/>
        <v>177.84174103082771</v>
      </c>
      <c r="N282">
        <f t="shared" si="30"/>
        <v>829.05591898125135</v>
      </c>
    </row>
    <row r="283" spans="3:14" x14ac:dyDescent="0.3">
      <c r="C283" s="65">
        <f t="shared" si="33"/>
        <v>15</v>
      </c>
      <c r="D283">
        <f t="shared" si="35"/>
        <v>1203.9952639679673</v>
      </c>
      <c r="E283">
        <f t="shared" si="27"/>
        <v>21.310716172233022</v>
      </c>
      <c r="F283" s="3">
        <f t="shared" si="31"/>
        <v>177.84174103082771</v>
      </c>
      <c r="G283">
        <f t="shared" si="28"/>
        <v>1004.8428067649065</v>
      </c>
      <c r="I283" s="65">
        <f t="shared" si="34"/>
        <v>15</v>
      </c>
      <c r="J283">
        <f t="shared" si="36"/>
        <v>829.05591898125135</v>
      </c>
      <c r="K283">
        <v>30</v>
      </c>
      <c r="L283">
        <f t="shared" si="29"/>
        <v>14.674289765968149</v>
      </c>
      <c r="M283" s="3">
        <f t="shared" si="32"/>
        <v>177.84174103082771</v>
      </c>
      <c r="N283">
        <f t="shared" si="30"/>
        <v>606.53988818445544</v>
      </c>
    </row>
    <row r="284" spans="3:14" x14ac:dyDescent="0.3">
      <c r="C284" s="65">
        <f t="shared" si="33"/>
        <v>16</v>
      </c>
      <c r="D284">
        <f t="shared" si="35"/>
        <v>1004.8428067649065</v>
      </c>
      <c r="E284">
        <f t="shared" si="27"/>
        <v>17.785717679738845</v>
      </c>
      <c r="F284" s="3">
        <f t="shared" si="31"/>
        <v>177.84174103082771</v>
      </c>
      <c r="G284">
        <f t="shared" si="28"/>
        <v>809.21534805433998</v>
      </c>
      <c r="I284" s="65">
        <f t="shared" si="34"/>
        <v>16</v>
      </c>
      <c r="J284">
        <f t="shared" si="36"/>
        <v>606.53988818445544</v>
      </c>
      <c r="K284">
        <v>30</v>
      </c>
      <c r="L284">
        <f t="shared" si="29"/>
        <v>10.735756020864862</v>
      </c>
      <c r="M284" s="3">
        <f t="shared" si="32"/>
        <v>177.84174103082771</v>
      </c>
      <c r="N284">
        <f t="shared" si="30"/>
        <v>387.96239113276283</v>
      </c>
    </row>
    <row r="285" spans="3:14" x14ac:dyDescent="0.3">
      <c r="C285" s="65">
        <f t="shared" si="33"/>
        <v>17</v>
      </c>
      <c r="D285">
        <f t="shared" si="35"/>
        <v>809.21534805433998</v>
      </c>
      <c r="E285">
        <f t="shared" si="27"/>
        <v>14.323111660561818</v>
      </c>
      <c r="F285" s="3">
        <f t="shared" si="31"/>
        <v>177.84174103082771</v>
      </c>
      <c r="G285">
        <f t="shared" si="28"/>
        <v>617.05049536295041</v>
      </c>
      <c r="I285" s="65">
        <f t="shared" si="34"/>
        <v>17</v>
      </c>
      <c r="J285">
        <f t="shared" si="36"/>
        <v>387.96239113276283</v>
      </c>
      <c r="K285">
        <v>30</v>
      </c>
      <c r="L285">
        <f t="shared" si="29"/>
        <v>6.866934323049902</v>
      </c>
      <c r="M285" s="3">
        <f t="shared" si="32"/>
        <v>177.84174103082771</v>
      </c>
      <c r="N285">
        <f t="shared" si="30"/>
        <v>173.25371577888521</v>
      </c>
    </row>
    <row r="286" spans="3:14" x14ac:dyDescent="0.3">
      <c r="C286" s="65">
        <f t="shared" si="33"/>
        <v>18</v>
      </c>
      <c r="D286">
        <f t="shared" si="35"/>
        <v>617.05049536295041</v>
      </c>
      <c r="E286">
        <f t="shared" si="27"/>
        <v>10.921793767924223</v>
      </c>
      <c r="F286" s="3">
        <f t="shared" si="31"/>
        <v>177.84174103082771</v>
      </c>
      <c r="G286">
        <f t="shared" si="28"/>
        <v>428.28696056419847</v>
      </c>
      <c r="I286" s="65">
        <f t="shared" si="34"/>
        <v>18</v>
      </c>
      <c r="J286">
        <f t="shared" si="36"/>
        <v>173.25371577888521</v>
      </c>
      <c r="K286">
        <v>30</v>
      </c>
      <c r="L286">
        <f t="shared" si="29"/>
        <v>3.0665907692862682</v>
      </c>
      <c r="M286" s="3">
        <f t="shared" si="32"/>
        <v>177.84174103082771</v>
      </c>
      <c r="N286">
        <f t="shared" si="30"/>
        <v>-37.654616021228776</v>
      </c>
    </row>
    <row r="287" spans="3:14" x14ac:dyDescent="0.3">
      <c r="C287" s="65">
        <f t="shared" si="33"/>
        <v>19</v>
      </c>
      <c r="D287">
        <f t="shared" si="35"/>
        <v>428.28696056419847</v>
      </c>
      <c r="E287">
        <f t="shared" si="27"/>
        <v>7.580679201986313</v>
      </c>
      <c r="F287" s="3">
        <f t="shared" si="31"/>
        <v>177.84174103082771</v>
      </c>
      <c r="G287">
        <f t="shared" si="28"/>
        <v>242.86454033138446</v>
      </c>
      <c r="I287" s="65">
        <f t="shared" si="34"/>
        <v>19</v>
      </c>
      <c r="J287">
        <f t="shared" si="36"/>
        <v>-37.654616021228776</v>
      </c>
      <c r="K287">
        <v>30</v>
      </c>
      <c r="L287">
        <f t="shared" si="29"/>
        <v>-0.66648670357574935</v>
      </c>
      <c r="M287" s="3">
        <f t="shared" si="32"/>
        <v>177.84174103082771</v>
      </c>
      <c r="N287">
        <f t="shared" si="30"/>
        <v>-244.82987034848074</v>
      </c>
    </row>
    <row r="288" spans="3:14" x14ac:dyDescent="0.3">
      <c r="C288" s="65">
        <f t="shared" si="33"/>
        <v>20</v>
      </c>
      <c r="D288">
        <f t="shared" si="35"/>
        <v>242.86454033138446</v>
      </c>
      <c r="E288">
        <f t="shared" si="27"/>
        <v>4.2987023638655053</v>
      </c>
      <c r="F288" s="3">
        <f t="shared" si="31"/>
        <v>177.84174103082771</v>
      </c>
      <c r="G288">
        <f t="shared" si="28"/>
        <v>60.72409693669124</v>
      </c>
      <c r="I288" s="65">
        <f t="shared" si="34"/>
        <v>20</v>
      </c>
      <c r="J288">
        <f t="shared" si="36"/>
        <v>-244.82987034848074</v>
      </c>
      <c r="K288">
        <v>30</v>
      </c>
      <c r="L288">
        <f t="shared" si="29"/>
        <v>-4.3334887051681088</v>
      </c>
      <c r="M288" s="3">
        <f t="shared" si="32"/>
        <v>177.84174103082771</v>
      </c>
      <c r="N288">
        <f t="shared" si="30"/>
        <v>-448.33812267414032</v>
      </c>
    </row>
    <row r="289" spans="3:14" x14ac:dyDescent="0.3">
      <c r="C289" s="65">
        <f t="shared" si="33"/>
        <v>21</v>
      </c>
      <c r="D289">
        <f t="shared" si="35"/>
        <v>60.72409693669124</v>
      </c>
      <c r="E289">
        <f t="shared" si="27"/>
        <v>1.0748165157794349</v>
      </c>
      <c r="F289" s="3">
        <f t="shared" si="31"/>
        <v>177.84174103082771</v>
      </c>
      <c r="G289">
        <f t="shared" si="28"/>
        <v>-118.1924606099159</v>
      </c>
      <c r="I289" s="65">
        <f t="shared" si="34"/>
        <v>21</v>
      </c>
      <c r="J289">
        <f t="shared" si="36"/>
        <v>-448.33812267414032</v>
      </c>
      <c r="K289">
        <v>30</v>
      </c>
      <c r="L289">
        <f t="shared" si="29"/>
        <v>-7.9355847713322838</v>
      </c>
      <c r="M289" s="3">
        <f t="shared" si="32"/>
        <v>177.84174103082771</v>
      </c>
      <c r="N289">
        <f t="shared" si="30"/>
        <v>-648.24427893363577</v>
      </c>
    </row>
    <row r="290" spans="3:14" x14ac:dyDescent="0.3">
      <c r="C290" s="65">
        <f t="shared" si="33"/>
        <v>22</v>
      </c>
      <c r="D290">
        <f t="shared" si="35"/>
        <v>-118.1924606099159</v>
      </c>
      <c r="E290">
        <f t="shared" si="27"/>
        <v>-2.0920065527955112</v>
      </c>
      <c r="F290" s="3">
        <f t="shared" si="31"/>
        <v>177.84174103082771</v>
      </c>
      <c r="G290">
        <f t="shared" si="28"/>
        <v>-293.94219508794811</v>
      </c>
      <c r="I290" s="65">
        <f t="shared" si="34"/>
        <v>22</v>
      </c>
      <c r="J290">
        <f t="shared" si="36"/>
        <v>-648.24427893363577</v>
      </c>
      <c r="K290">
        <v>30</v>
      </c>
      <c r="L290">
        <f t="shared" si="29"/>
        <v>-11.473923737125354</v>
      </c>
      <c r="M290" s="3">
        <f t="shared" si="32"/>
        <v>177.84174103082771</v>
      </c>
      <c r="N290">
        <f t="shared" si="30"/>
        <v>-844.61209622733816</v>
      </c>
    </row>
    <row r="291" spans="3:14" x14ac:dyDescent="0.3">
      <c r="C291" s="65">
        <f t="shared" si="33"/>
        <v>23</v>
      </c>
      <c r="D291">
        <f t="shared" si="35"/>
        <v>-293.94219508794811</v>
      </c>
      <c r="E291">
        <f t="shared" si="27"/>
        <v>-5.2027768530566814</v>
      </c>
      <c r="F291" s="3">
        <f t="shared" si="31"/>
        <v>177.84174103082771</v>
      </c>
      <c r="G291">
        <f t="shared" si="28"/>
        <v>-466.58115926571918</v>
      </c>
      <c r="I291" s="65">
        <f t="shared" si="34"/>
        <v>23</v>
      </c>
      <c r="J291">
        <f t="shared" si="36"/>
        <v>-844.61209622733816</v>
      </c>
      <c r="K291">
        <v>30</v>
      </c>
      <c r="L291">
        <f t="shared" si="29"/>
        <v>-14.949634103223886</v>
      </c>
      <c r="M291" s="3">
        <f t="shared" si="32"/>
        <v>177.84174103082771</v>
      </c>
      <c r="N291">
        <f t="shared" si="30"/>
        <v>-1037.5042031549419</v>
      </c>
    </row>
    <row r="292" spans="3:14" x14ac:dyDescent="0.3">
      <c r="C292" s="65">
        <f>1+C291</f>
        <v>24</v>
      </c>
      <c r="D292">
        <f t="shared" si="35"/>
        <v>-466.58115926571918</v>
      </c>
      <c r="E292">
        <f t="shared" si="27"/>
        <v>-8.2584865190032311</v>
      </c>
      <c r="F292" s="3">
        <f t="shared" si="31"/>
        <v>177.84174103082771</v>
      </c>
      <c r="G292">
        <f t="shared" si="28"/>
        <v>-636.1644137775437</v>
      </c>
      <c r="I292" s="65">
        <f>1+I291</f>
        <v>24</v>
      </c>
      <c r="J292">
        <f t="shared" si="36"/>
        <v>-1037.5042031549419</v>
      </c>
      <c r="K292">
        <v>30</v>
      </c>
      <c r="L292">
        <f t="shared" si="29"/>
        <v>-18.363824395842475</v>
      </c>
      <c r="M292" s="3">
        <f t="shared" si="32"/>
        <v>177.84174103082771</v>
      </c>
      <c r="N292">
        <f t="shared" si="30"/>
        <v>-1226.9821197899271</v>
      </c>
    </row>
    <row r="293" spans="3:14" x14ac:dyDescent="0.3">
      <c r="C293" s="65">
        <f t="shared" ref="C293:C303" si="37">1+C292</f>
        <v>25</v>
      </c>
      <c r="D293">
        <f t="shared" si="35"/>
        <v>-636.1644137775437</v>
      </c>
      <c r="E293">
        <f t="shared" si="27"/>
        <v>-11.260110123862523</v>
      </c>
      <c r="F293" s="3">
        <f t="shared" si="31"/>
        <v>177.84174103082771</v>
      </c>
      <c r="G293">
        <f t="shared" si="28"/>
        <v>-802.74604468450889</v>
      </c>
      <c r="I293" s="65">
        <f t="shared" ref="I293:I303" si="38">1+I292</f>
        <v>25</v>
      </c>
      <c r="J293">
        <f t="shared" si="36"/>
        <v>-1226.9821197899271</v>
      </c>
      <c r="K293">
        <v>30</v>
      </c>
      <c r="L293">
        <f t="shared" si="29"/>
        <v>-21.71758352028171</v>
      </c>
      <c r="M293" s="3">
        <f t="shared" si="32"/>
        <v>177.84174103082771</v>
      </c>
      <c r="N293">
        <f t="shared" si="30"/>
        <v>-1413.106277300473</v>
      </c>
    </row>
    <row r="294" spans="3:14" x14ac:dyDescent="0.3">
      <c r="C294" s="65">
        <f t="shared" si="37"/>
        <v>26</v>
      </c>
      <c r="D294">
        <f t="shared" si="35"/>
        <v>-802.74604468450889</v>
      </c>
      <c r="E294">
        <f t="shared" si="27"/>
        <v>-14.208604990915807</v>
      </c>
      <c r="F294" s="3">
        <f t="shared" si="31"/>
        <v>177.84174103082771</v>
      </c>
      <c r="G294">
        <f t="shared" si="28"/>
        <v>-966.37918072442085</v>
      </c>
      <c r="I294" s="65">
        <f t="shared" si="38"/>
        <v>26</v>
      </c>
      <c r="J294">
        <f t="shared" si="36"/>
        <v>-1413.106277300473</v>
      </c>
      <c r="K294">
        <v>30</v>
      </c>
      <c r="L294">
        <f t="shared" si="29"/>
        <v>-25.011981108218375</v>
      </c>
      <c r="M294" s="3">
        <f t="shared" si="32"/>
        <v>177.84174103082771</v>
      </c>
      <c r="N294">
        <f t="shared" si="30"/>
        <v>-1595.9360372230824</v>
      </c>
    </row>
    <row r="295" spans="3:14" x14ac:dyDescent="0.3">
      <c r="C295" s="65">
        <f t="shared" si="37"/>
        <v>27</v>
      </c>
      <c r="D295">
        <f t="shared" si="35"/>
        <v>-966.37918072442085</v>
      </c>
      <c r="E295">
        <f t="shared" si="27"/>
        <v>-17.104911498822251</v>
      </c>
      <c r="F295" s="3">
        <f t="shared" si="31"/>
        <v>177.84174103082771</v>
      </c>
      <c r="G295">
        <f t="shared" si="28"/>
        <v>-1127.1160102564263</v>
      </c>
      <c r="I295" s="65">
        <f t="shared" si="38"/>
        <v>27</v>
      </c>
      <c r="J295">
        <f t="shared" si="36"/>
        <v>-1595.9360372230824</v>
      </c>
      <c r="K295">
        <v>30</v>
      </c>
      <c r="L295">
        <f t="shared" si="29"/>
        <v>-28.248067858848557</v>
      </c>
      <c r="M295" s="3">
        <f t="shared" si="32"/>
        <v>177.84174103082771</v>
      </c>
      <c r="N295">
        <f t="shared" si="30"/>
        <v>-1775.5297103950616</v>
      </c>
    </row>
    <row r="296" spans="3:14" x14ac:dyDescent="0.3">
      <c r="C296" s="65">
        <f t="shared" si="37"/>
        <v>28</v>
      </c>
      <c r="D296">
        <f t="shared" si="35"/>
        <v>-1127.1160102564263</v>
      </c>
      <c r="E296">
        <f t="shared" si="27"/>
        <v>-19.949953381538744</v>
      </c>
      <c r="F296" s="3">
        <f t="shared" si="31"/>
        <v>177.84174103082771</v>
      </c>
      <c r="G296">
        <f t="shared" si="28"/>
        <v>-1285.0077979057153</v>
      </c>
      <c r="I296" s="65">
        <f t="shared" si="38"/>
        <v>28</v>
      </c>
      <c r="J296">
        <f t="shared" si="36"/>
        <v>-1775.5297103950616</v>
      </c>
      <c r="K296">
        <v>30</v>
      </c>
      <c r="L296">
        <f t="shared" si="29"/>
        <v>-31.426875873992589</v>
      </c>
      <c r="M296" s="3">
        <f t="shared" si="32"/>
        <v>177.84174103082771</v>
      </c>
      <c r="N296">
        <f t="shared" si="30"/>
        <v>-1951.9445755518966</v>
      </c>
    </row>
    <row r="297" spans="3:14" x14ac:dyDescent="0.3">
      <c r="C297" s="65">
        <f t="shared" si="37"/>
        <v>29</v>
      </c>
      <c r="D297">
        <f t="shared" si="35"/>
        <v>-1285.0077979057153</v>
      </c>
      <c r="E297">
        <f t="shared" si="27"/>
        <v>-22.744638022931159</v>
      </c>
      <c r="F297" s="3">
        <f t="shared" si="31"/>
        <v>177.84174103082771</v>
      </c>
      <c r="G297">
        <f t="shared" si="28"/>
        <v>-1440.1049009136118</v>
      </c>
      <c r="I297" s="65">
        <f t="shared" si="38"/>
        <v>29</v>
      </c>
      <c r="J297">
        <f t="shared" si="36"/>
        <v>-1951.9445755518966</v>
      </c>
      <c r="K297">
        <v>30</v>
      </c>
      <c r="L297">
        <f t="shared" si="29"/>
        <v>-34.549418987268574</v>
      </c>
      <c r="M297" s="3">
        <f t="shared" si="32"/>
        <v>177.84174103082771</v>
      </c>
      <c r="N297">
        <f t="shared" si="30"/>
        <v>-2125.2368975954555</v>
      </c>
    </row>
    <row r="298" spans="3:14" x14ac:dyDescent="0.3">
      <c r="C298" s="65">
        <f t="shared" si="37"/>
        <v>30</v>
      </c>
      <c r="D298">
        <f>G297</f>
        <v>-1440.1049009136118</v>
      </c>
      <c r="E298">
        <f t="shared" si="27"/>
        <v>-25.489856746170929</v>
      </c>
      <c r="F298" s="3">
        <f t="shared" si="31"/>
        <v>177.84174103082771</v>
      </c>
      <c r="G298">
        <f t="shared" si="28"/>
        <v>-1592.4567851982686</v>
      </c>
      <c r="I298" s="65">
        <f t="shared" si="38"/>
        <v>30</v>
      </c>
      <c r="J298">
        <f>N297</f>
        <v>-2125.2368975954555</v>
      </c>
      <c r="K298">
        <v>30</v>
      </c>
      <c r="L298">
        <f t="shared" si="29"/>
        <v>-37.616693087439565</v>
      </c>
      <c r="M298" s="3">
        <f t="shared" si="32"/>
        <v>177.84174103082771</v>
      </c>
      <c r="N298">
        <f t="shared" si="30"/>
        <v>-2295.4619455388433</v>
      </c>
    </row>
    <row r="299" spans="3:14" x14ac:dyDescent="0.3">
      <c r="C299" s="65">
        <f t="shared" si="37"/>
        <v>31</v>
      </c>
      <c r="D299">
        <f t="shared" ref="D299:D304" si="39">G298</f>
        <v>-1592.4567851982686</v>
      </c>
      <c r="E299">
        <f t="shared" si="27"/>
        <v>-28.186485098009353</v>
      </c>
      <c r="F299" s="3">
        <f t="shared" si="31"/>
        <v>177.84174103082771</v>
      </c>
      <c r="G299">
        <f t="shared" si="28"/>
        <v>-1742.1120411310869</v>
      </c>
      <c r="I299" s="65">
        <f t="shared" si="38"/>
        <v>31</v>
      </c>
      <c r="J299">
        <f t="shared" ref="J299:J304" si="40">N298</f>
        <v>-2295.4619455388433</v>
      </c>
      <c r="K299">
        <v>30</v>
      </c>
      <c r="L299">
        <f t="shared" si="29"/>
        <v>-40.629676436037528</v>
      </c>
      <c r="M299" s="3">
        <f t="shared" si="32"/>
        <v>177.84174103082771</v>
      </c>
      <c r="N299">
        <f t="shared" si="30"/>
        <v>-2462.6740101336331</v>
      </c>
    </row>
    <row r="300" spans="3:14" x14ac:dyDescent="0.3">
      <c r="C300" s="65">
        <f t="shared" si="37"/>
        <v>32</v>
      </c>
      <c r="D300">
        <f t="shared" si="39"/>
        <v>-1742.1120411310869</v>
      </c>
      <c r="E300">
        <f t="shared" si="27"/>
        <v>-30.83538312802024</v>
      </c>
      <c r="F300" s="3">
        <f t="shared" si="31"/>
        <v>177.84174103082771</v>
      </c>
      <c r="G300">
        <f t="shared" si="28"/>
        <v>-1889.1183990338943</v>
      </c>
      <c r="I300" s="65">
        <f t="shared" si="38"/>
        <v>32</v>
      </c>
      <c r="J300">
        <f t="shared" si="40"/>
        <v>-2462.6740101336331</v>
      </c>
      <c r="K300">
        <v>30</v>
      </c>
      <c r="L300">
        <f t="shared" si="29"/>
        <v>-43.589329979365303</v>
      </c>
      <c r="M300" s="3">
        <f t="shared" si="32"/>
        <v>177.84174103082771</v>
      </c>
      <c r="N300">
        <f t="shared" si="30"/>
        <v>-2626.9264211850955</v>
      </c>
    </row>
    <row r="301" spans="3:14" x14ac:dyDescent="0.3">
      <c r="C301" s="65">
        <f t="shared" si="37"/>
        <v>33</v>
      </c>
      <c r="D301">
        <f t="shared" si="39"/>
        <v>-1889.1183990338943</v>
      </c>
      <c r="E301">
        <f t="shared" si="27"/>
        <v>-33.437395662899931</v>
      </c>
      <c r="F301" s="3">
        <f t="shared" si="31"/>
        <v>177.84174103082771</v>
      </c>
      <c r="G301">
        <f t="shared" si="28"/>
        <v>-2033.5227444018221</v>
      </c>
      <c r="I301" s="65">
        <f t="shared" si="38"/>
        <v>33</v>
      </c>
      <c r="J301">
        <f t="shared" si="40"/>
        <v>-2626.9264211850955</v>
      </c>
      <c r="K301">
        <v>30</v>
      </c>
      <c r="L301">
        <f t="shared" si="29"/>
        <v>-46.496597654976192</v>
      </c>
      <c r="M301" s="3">
        <f t="shared" si="32"/>
        <v>177.84174103082771</v>
      </c>
      <c r="N301">
        <f t="shared" si="30"/>
        <v>-2788.2715645609469</v>
      </c>
    </row>
    <row r="302" spans="3:14" x14ac:dyDescent="0.3">
      <c r="C302" s="65">
        <f t="shared" si="37"/>
        <v>34</v>
      </c>
      <c r="D302">
        <f t="shared" si="39"/>
        <v>-2033.5227444018221</v>
      </c>
      <c r="E302">
        <f t="shared" si="27"/>
        <v>-35.993352575912255</v>
      </c>
      <c r="F302" s="3">
        <f t="shared" si="31"/>
        <v>177.84174103082771</v>
      </c>
      <c r="G302">
        <f t="shared" si="28"/>
        <v>-2175.3711328567374</v>
      </c>
      <c r="I302" s="65">
        <f t="shared" si="38"/>
        <v>34</v>
      </c>
      <c r="J302">
        <f t="shared" si="40"/>
        <v>-2788.2715645609469</v>
      </c>
      <c r="K302">
        <v>30</v>
      </c>
      <c r="L302">
        <f t="shared" si="29"/>
        <v>-49.352406692728763</v>
      </c>
      <c r="M302" s="3">
        <f t="shared" si="32"/>
        <v>177.84174103082771</v>
      </c>
      <c r="N302">
        <f t="shared" si="30"/>
        <v>-2946.7608988990455</v>
      </c>
    </row>
    <row r="303" spans="3:14" x14ac:dyDescent="0.3">
      <c r="C303" s="65">
        <f t="shared" si="37"/>
        <v>35</v>
      </c>
      <c r="D303">
        <f t="shared" si="39"/>
        <v>-2175.3711328567374</v>
      </c>
      <c r="E303">
        <f t="shared" si="27"/>
        <v>-38.504069051564251</v>
      </c>
      <c r="F303" s="3">
        <f t="shared" si="31"/>
        <v>177.84174103082771</v>
      </c>
      <c r="G303">
        <f t="shared" si="28"/>
        <v>-2314.7088048360006</v>
      </c>
      <c r="I303" s="65">
        <f t="shared" si="38"/>
        <v>35</v>
      </c>
      <c r="J303">
        <f t="shared" si="40"/>
        <v>-2946.7608988990455</v>
      </c>
      <c r="K303">
        <v>30</v>
      </c>
      <c r="L303">
        <f t="shared" si="29"/>
        <v>-52.157667910513105</v>
      </c>
      <c r="M303" s="3">
        <f t="shared" si="32"/>
        <v>177.84174103082771</v>
      </c>
      <c r="N303">
        <f t="shared" si="30"/>
        <v>-3102.4449720193597</v>
      </c>
    </row>
    <row r="304" spans="3:14" x14ac:dyDescent="0.3">
      <c r="C304" s="65">
        <f>1+C303</f>
        <v>36</v>
      </c>
      <c r="D304">
        <f t="shared" si="39"/>
        <v>-2314.7088048360006</v>
      </c>
      <c r="E304">
        <f t="shared" si="27"/>
        <v>-40.970345845597208</v>
      </c>
      <c r="F304" s="3">
        <f t="shared" si="31"/>
        <v>177.84174103082771</v>
      </c>
      <c r="G304">
        <f t="shared" si="28"/>
        <v>-2451.5802000212307</v>
      </c>
      <c r="I304" s="65">
        <f>1+I303</f>
        <v>36</v>
      </c>
      <c r="J304">
        <f t="shared" si="40"/>
        <v>-3102.4449720193597</v>
      </c>
      <c r="K304">
        <v>30</v>
      </c>
      <c r="L304">
        <f t="shared" si="29"/>
        <v>-54.91327600474267</v>
      </c>
      <c r="M304" s="3">
        <f t="shared" si="32"/>
        <v>177.84174103082771</v>
      </c>
      <c r="N304">
        <f t="shared" si="30"/>
        <v>-3255.3734370454445</v>
      </c>
    </row>
    <row r="323" spans="1:3" ht="19.8" customHeight="1" x14ac:dyDescent="0.3"/>
    <row r="325" spans="1:3" ht="47.4" x14ac:dyDescent="0.9">
      <c r="A325" s="87" t="s">
        <v>164</v>
      </c>
    </row>
    <row r="327" spans="1:3" x14ac:dyDescent="0.3">
      <c r="B327">
        <v>1</v>
      </c>
      <c r="C327" s="1" t="s">
        <v>169</v>
      </c>
    </row>
    <row r="328" spans="1:3" x14ac:dyDescent="0.3">
      <c r="B328">
        <v>2</v>
      </c>
      <c r="C328" s="1" t="s">
        <v>170</v>
      </c>
    </row>
    <row r="329" spans="1:3" x14ac:dyDescent="0.3">
      <c r="B329">
        <v>3</v>
      </c>
      <c r="C329" s="1" t="s">
        <v>171</v>
      </c>
    </row>
    <row r="330" spans="1:3" x14ac:dyDescent="0.3">
      <c r="B330">
        <v>4</v>
      </c>
      <c r="C330" s="1" t="s">
        <v>172</v>
      </c>
    </row>
  </sheetData>
  <sortState xmlns:xlrd2="http://schemas.microsoft.com/office/spreadsheetml/2017/richdata2" ref="B110:C152">
    <sortCondition ref="B110:B152"/>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7d62db9-6953-446b-9872-0af252771a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819BE720F3784BBE39B21C6781D88C" ma:contentTypeVersion="14" ma:contentTypeDescription="Create a new document." ma:contentTypeScope="" ma:versionID="57858fca99fdab14d24008e487a1ef1b">
  <xsd:schema xmlns:xsd="http://www.w3.org/2001/XMLSchema" xmlns:xs="http://www.w3.org/2001/XMLSchema" xmlns:p="http://schemas.microsoft.com/office/2006/metadata/properties" xmlns:ns3="87d62db9-6953-446b-9872-0af252771a50" xmlns:ns4="a69ba997-b2d9-4bab-926e-b7d11435f3cb" targetNamespace="http://schemas.microsoft.com/office/2006/metadata/properties" ma:root="true" ma:fieldsID="0e3cd02b88926b29936c1573e70d4a17" ns3:_="" ns4:_="">
    <xsd:import namespace="87d62db9-6953-446b-9872-0af252771a50"/>
    <xsd:import namespace="a69ba997-b2d9-4bab-926e-b7d11435f3c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d62db9-6953-446b-9872-0af252771a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9ba997-b2d9-4bab-926e-b7d11435f3c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4935DA-F94E-47CB-A291-7B2F757C9B62}">
  <ds:schemaRefs>
    <ds:schemaRef ds:uri="http://purl.org/dc/dcmitype/"/>
    <ds:schemaRef ds:uri="http://schemas.microsoft.com/office/2006/metadata/properties"/>
    <ds:schemaRef ds:uri="http://purl.org/dc/term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a69ba997-b2d9-4bab-926e-b7d11435f3cb"/>
    <ds:schemaRef ds:uri="87d62db9-6953-446b-9872-0af252771a50"/>
    <ds:schemaRef ds:uri="http://www.w3.org/XML/1998/namespace"/>
  </ds:schemaRefs>
</ds:datastoreItem>
</file>

<file path=customXml/itemProps2.xml><?xml version="1.0" encoding="utf-8"?>
<ds:datastoreItem xmlns:ds="http://schemas.openxmlformats.org/officeDocument/2006/customXml" ds:itemID="{A2B41919-7EED-4ACC-9C2D-BCFBD015EF23}">
  <ds:schemaRefs>
    <ds:schemaRef ds:uri="http://schemas.microsoft.com/sharepoint/v3/contenttype/forms"/>
  </ds:schemaRefs>
</ds:datastoreItem>
</file>

<file path=customXml/itemProps3.xml><?xml version="1.0" encoding="utf-8"?>
<ds:datastoreItem xmlns:ds="http://schemas.openxmlformats.org/officeDocument/2006/customXml" ds:itemID="{435E5937-C422-4FF9-9167-F2BF1B6954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d62db9-6953-446b-9872-0af252771a50"/>
    <ds:schemaRef ds:uri="a69ba997-b2d9-4bab-926e-b7d11435f3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workshop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Aaishah Aslam</dc:creator>
  <cp:lastModifiedBy>Aaishah Aslam</cp:lastModifiedBy>
  <dcterms:created xsi:type="dcterms:W3CDTF">2025-01-07T23:03:46Z</dcterms:created>
  <dcterms:modified xsi:type="dcterms:W3CDTF">2025-04-03T21:43:24Z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0x010100E9819BE720F3784BBE39B21C6781D88C</vt:lpwstr>
  </property>
</Properties>
</file>