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bdkahhaleh/Downloads/"/>
    </mc:Choice>
  </mc:AlternateContent>
  <xr:revisionPtr revIDLastSave="0" documentId="8_{8FCB1C88-2287-0C4F-B053-640BB8C6AD7D}" xr6:coauthVersionLast="47" xr6:coauthVersionMax="47" xr10:uidLastSave="{00000000-0000-0000-0000-000000000000}"/>
  <bookViews>
    <workbookView xWindow="1940" yWindow="980" windowWidth="28800" windowHeight="16460" xr2:uid="{A76DF4AC-1612-4C4F-AFDC-F1E436441EF2}"/>
  </bookViews>
  <sheets>
    <sheet name="Conversion_Rates" sheetId="2" r:id="rId1"/>
    <sheet name="Energy_Star_Scope_1_Constants" sheetId="3" r:id="rId2"/>
  </sheets>
  <definedNames>
    <definedName name="Acre_to_ft2">43560</definedName>
    <definedName name="Acre_to_m2">4046.86</definedName>
    <definedName name="CCF_to_ft3">100</definedName>
    <definedName name="CCF_to_L">2831.68</definedName>
    <definedName name="CCF_to_m3">2.83168</definedName>
    <definedName name="CCF_to_US_Gal">748.052</definedName>
    <definedName name="Diesel_kBtu_per_US_Gal">Energy_Star_Scope_1_Constants!$B$7</definedName>
    <definedName name="Diesel_kg_CO2_per_kBtu">Energy_Star_Scope_1_Constants!$D$7</definedName>
    <definedName name="Diesel_kg_CO2_per_US_Gal">Energy_Star_Scope_1_Constants!$C$7</definedName>
    <definedName name="ft2_to_Acre">0.0000229568</definedName>
    <definedName name="ft2_to_m2">0.092903</definedName>
    <definedName name="ft3_to_CCF">0.01</definedName>
    <definedName name="ft3_to_L">28.3168</definedName>
    <definedName name="ft3_to_m3">0.0283168</definedName>
    <definedName name="ft3_to_US_Gal">7.48052</definedName>
    <definedName name="Fuel_Oil__No_1__kBtu_per_US_Gal">Energy_Star_Scope_1_Constants!$B$4</definedName>
    <definedName name="Fuel_Oil__No_1__kg_CO2_per_kBtu">Energy_Star_Scope_1_Constants!$D$4</definedName>
    <definedName name="Fuel_Oil__No_1__kg_CO2_per_US_Gal">Energy_Star_Scope_1_Constants!$C$4</definedName>
    <definedName name="Fuel_Oil__No_2__kBtu_per_US_Gal">Energy_Star_Scope_1_Constants!$B$5</definedName>
    <definedName name="Fuel_Oil__No_2__kg_CO2_per_kBtu">Energy_Star_Scope_1_Constants!$D$5</definedName>
    <definedName name="Fuel_Oil__No_2__kg_CO2_per_US_Gal">Energy_Star_Scope_1_Constants!$C$5</definedName>
    <definedName name="Fuel_Oil__No_4__kBtu_per_US_Gal">Energy_Star_Scope_1_Constants!$B$6</definedName>
    <definedName name="Fuel_Oil__No_4__kg_CO2_per_kBtu">Energy_Star_Scope_1_Constants!$D$6</definedName>
    <definedName name="Fuel_Oil__No_4__kg_CO2_per_US_Gal">Energy_Star_Scope_1_Constants!$C$6</definedName>
    <definedName name="Gas_kBtu_per_US_Gal">Energy_Star_Scope_1_Constants!$B$2</definedName>
    <definedName name="Gas_kg_CO2_per_kBtu">Energy_Star_Scope_1_Constants!$D$2</definedName>
    <definedName name="Gas_kg_CO2_per_US_Gal">Energy_Star_Scope_1_Constants!$C$2</definedName>
    <definedName name="Joules_per_Acre_to_kBtu_per_ft2">2.17588842975207E-08</definedName>
    <definedName name="Joules_per_Acre_to_kBtu_per_m2">2.3421047429365E-07</definedName>
    <definedName name="Joules_per_Acre_to_kWh_per_ft2">6.37690541781451E-12</definedName>
    <definedName name="Joules_per_Acre_to_kWh_per_m2">6.86403779720573E-11</definedName>
    <definedName name="Joules_per_Acre_to_MMBtu_per_ft2">2.17588842975207E-11</definedName>
    <definedName name="Joules_per_Acre_to_MMBtu_per_m2">2.3421047429365E-10</definedName>
    <definedName name="Joules_per_Acre_to_MWh_per_ft2">6.37690541781451E-15</definedName>
    <definedName name="Joules_per_Acre_to_MWh_per_m2">6.86403779720573E-14</definedName>
    <definedName name="Joules_per_Acre_to_therm_per_ft2">2.1764072543618E-10</definedName>
    <definedName name="Joules_per_Acre_to_therm_per_m2">2.34266320060491E-09</definedName>
    <definedName name="Joules_per_CCF_to_kBtu_per_ft3">0.00000947817</definedName>
    <definedName name="Joules_per_CCF_to_kBtu_per_L">3.34718965419821E-07</definedName>
    <definedName name="Joules_per_CCF_to_kBtu_per_m3">0.000334718965419821</definedName>
    <definedName name="Joules_per_CCF_to_kBtu_per_US_Gal">1.26704694326063E-06</definedName>
    <definedName name="Joules_per_CCF_to_kWh_per_ft3">0.00000000277778</definedName>
    <definedName name="Joules_per_CCF_to_kWh_per_L">9.80965363317889E-11</definedName>
    <definedName name="Joules_per_CCF_to_kWh_per_m3">9.80965363317889E-08</definedName>
    <definedName name="Joules_per_CCF_to_kWh_per_US_Gal">3.71335147823948E-10</definedName>
    <definedName name="Joules_per_CCF_to_MMBtu_per_ft3">0.00000000947817</definedName>
    <definedName name="Joules_per_CCF_to_MMBtu_per_L">3.34718965419821E-10</definedName>
    <definedName name="Joules_per_CCF_to_MMBtu_per_m3">3.34718965419821E-07</definedName>
    <definedName name="Joules_per_CCF_to_MMBtu_per_US_Gal">1.26704694326063E-09</definedName>
    <definedName name="Joules_per_CCF_to_MWh_per_ft3">0.00000000000277778</definedName>
    <definedName name="Joules_per_CCF_to_MWh_per_L">9.80965363317889E-14</definedName>
    <definedName name="Joules_per_CCF_to_MWh_per_m3">9.80965363317889E-11</definedName>
    <definedName name="Joules_per_CCF_to_MWh_per_US_Gal">3.71335147823948E-13</definedName>
    <definedName name="Joules_per_CCF_to_therm_per_ft3">0.0000000948043</definedName>
    <definedName name="Joules_per_CCF_to_therm_per_L">3.34798776697932E-09</definedName>
    <definedName name="Joules_per_CCF_to_therm_per_m3">3.34798776697932E-06</definedName>
    <definedName name="Joules_per_CCF_to_therm_per_US_Gal">1.2673490612952E-08</definedName>
    <definedName name="Joules_per_ft2_to_kBtu_per_Acre">41.2869825062727</definedName>
    <definedName name="Joules_per_ft2_to_kBtu_per_m2">0.0102022216720666</definedName>
    <definedName name="Joules_per_ft2_to_kWh_per_Acre">0.0121000313632562</definedName>
    <definedName name="Joules_per_ft2_to_kWh_per_m2">2.98997879508735E-06</definedName>
    <definedName name="Joules_per_ft2_to_MMBtu_per_Acre">0.0412869825062726</definedName>
    <definedName name="Joules_per_ft2_to_MMBtu_per_m2">0.0000102022216720666</definedName>
    <definedName name="Joules_per_ft2_to_MWh_per_Acre">0.0000121000313632562</definedName>
    <definedName name="Joules_per_ft2_to_MWh_per_m2">2.98997879508735E-09</definedName>
    <definedName name="Joules_per_ft2_to_therm_per_Acre">0.412968270839141</definedName>
    <definedName name="Joules_per_ft2_to_therm_per_m2">0.000102046543168681</definedName>
    <definedName name="Joules_per_ft3_to_kBtu_per_CCF">0.0947817</definedName>
    <definedName name="Joules_per_ft3_to_kBtu_per_L">0.0000334718965419821</definedName>
    <definedName name="Joules_per_ft3_to_kBtu_per_m3">0.0334718965419821</definedName>
    <definedName name="Joules_per_ft3_to_kBtu_per_US_Gal">0.000126704694326063</definedName>
    <definedName name="Joules_per_ft3_to_kWh_per_CCF">0.0000277778</definedName>
    <definedName name="Joules_per_ft3_to_kWh_per_L">9.80965363317889E-09</definedName>
    <definedName name="Joules_per_ft3_to_kWh_per_m3">9.80965363317889E-06</definedName>
    <definedName name="Joules_per_ft3_to_kWh_per_US_Gal">3.71335147823948E-08</definedName>
    <definedName name="Joules_per_ft3_to_MMBtu_per_CCF">0.0000947817</definedName>
    <definedName name="Joules_per_ft3_to_MMBtu_per_L">3.34718965419821E-08</definedName>
    <definedName name="Joules_per_ft3_to_MMBtu_per_m3">0.0000334718965419821</definedName>
    <definedName name="Joules_per_ft3_to_MMBtu_per_US_Gal">1.26704694326063E-07</definedName>
    <definedName name="Joules_per_ft3_to_MWh_per_CCF">0.0000000277778</definedName>
    <definedName name="Joules_per_ft3_to_MWh_per_L">9.80965363317889E-12</definedName>
    <definedName name="Joules_per_ft3_to_MWh_per_m3">9.80965363317889E-09</definedName>
    <definedName name="Joules_per_ft3_to_MWh_per_US_Gal">3.71335147823948E-11</definedName>
    <definedName name="Joules_per_ft3_to_therm_per_CCF">0.000948043</definedName>
    <definedName name="Joules_per_ft3_to_therm_per_L">3.34798776697932E-07</definedName>
    <definedName name="Joules_per_ft3_to_therm_per_m3">0.000334798776697932</definedName>
    <definedName name="Joules_per_ft3_to_therm_per_US_Gal">0.0000012673490612952</definedName>
    <definedName name="Joules_per_L_to_kBtu_per_CCF">2.68391632946054</definedName>
    <definedName name="Joules_per_L_to_kBtu_per_ft3">0.0268391632946054</definedName>
    <definedName name="Joules_per_L_to_kBtu_per_m3">0.947817</definedName>
    <definedName name="Joules_per_L_to_kBtu_per_US_Gal">0.0035878783519828</definedName>
    <definedName name="Joules_per_L_to_kWh_per_CCF">0.000786578960036472</definedName>
    <definedName name="Joules_per_L_to_kWh_per_ft3">7.86578960036472E-06</definedName>
    <definedName name="Joules_per_L_to_kWh_per_m3">0.000277778</definedName>
    <definedName name="Joules_per_L_to_kWh_per_US_Gal">1.05150432294111E-06</definedName>
    <definedName name="Joules_per_L_to_MMBtu_per_CCF">0.00268391632946054</definedName>
    <definedName name="Joules_per_L_to_MMBtu_per_ft3">0.0000268391632946054</definedName>
    <definedName name="Joules_per_L_to_MMBtu_per_m3">0.000947817</definedName>
    <definedName name="Joules_per_L_to_MMBtu_per_US_Gal">0.0000035878783519828</definedName>
    <definedName name="Joules_per_L_to_MWh_per_CCF">7.86578960036472E-07</definedName>
    <definedName name="Joules_per_L_to_MWh_per_ft3">7.86578960036472E-09</definedName>
    <definedName name="Joules_per_L_to_MWh_per_m3">0.000000277778</definedName>
    <definedName name="Joules_per_L_to_MWh_per_US_Gal">1.05150432294111E-09</definedName>
    <definedName name="Joules_per_L_to_therm_per_CCF">0.0268455628959045</definedName>
    <definedName name="Joules_per_L_to_therm_per_ft3">0.000268455628959045</definedName>
    <definedName name="Joules_per_L_to_therm_per_m3">0.00948043</definedName>
    <definedName name="Joules_per_L_to_therm_per_US_Gal">0.0000358873385521554</definedName>
    <definedName name="Joules_per_m2_to_kBtu_per_Acre">3.83568523502155</definedName>
    <definedName name="Joules_per_m2_to_kBtu_per_ft2">0.0000880551658785385</definedName>
    <definedName name="Joules_per_m2_to_kWh_per_Acre">0.00112412941866818</definedName>
    <definedName name="Joules_per_m2_to_kWh_per_ft2">2.58064456191529E-08</definedName>
    <definedName name="Joules_per_m2_to_MMBtu_per_Acre">0.00383568523502155</definedName>
    <definedName name="Joules_per_m2_to_MMBtu_per_ft2">8.80551658785384E-08</definedName>
    <definedName name="Joules_per_m2_to_MWh_per_Acre">1.12412941866818E-06</definedName>
    <definedName name="Joules_per_m2_to_MWh_per_ft2">2.58064456191529E-11</definedName>
    <definedName name="Joules_per_m2_to_therm_per_Acre">0.0383659982598491</definedName>
    <definedName name="Joules_per_m2_to_therm_per_ft2">8.80761619858973E-07</definedName>
    <definedName name="Joules_per_m3_to_kBtu_per_CCF">0.00268391632946054</definedName>
    <definedName name="Joules_per_m3_to_kBtu_per_ft3">0.0000268391632946054</definedName>
    <definedName name="Joules_per_m3_to_kBtu_per_L">0.000000947817</definedName>
    <definedName name="Joules_per_m3_to_kBtu_per_US_Gal">0.0000035878783519828</definedName>
    <definedName name="Joules_per_m3_to_kWh_per_CCF">7.86578960036472E-07</definedName>
    <definedName name="Joules_per_m3_to_kWh_per_ft3">7.86578960036472E-09</definedName>
    <definedName name="Joules_per_m3_to_kWh_per_L">0.000000000277778</definedName>
    <definedName name="Joules_per_m3_to_kWh_per_US_Gal">1.05150432294111E-09</definedName>
    <definedName name="Joules_per_m3_to_MMBtu_per_CCF">2.68391632946054E-06</definedName>
    <definedName name="Joules_per_m3_to_MMBtu_per_ft3">2.68391632946054E-08</definedName>
    <definedName name="Joules_per_m3_to_MMBtu_per_L">0.000000000947817</definedName>
    <definedName name="Joules_per_m3_to_MMBtu_per_US_Gal">3.5878783519828E-09</definedName>
    <definedName name="Joules_per_m3_to_MWh_per_CCF">7.86578960036472E-10</definedName>
    <definedName name="Joules_per_m3_to_MWh_per_ft3">7.86578960036472E-12</definedName>
    <definedName name="Joules_per_m3_to_MWh_per_L">0.000000000000277778</definedName>
    <definedName name="Joules_per_m3_to_MWh_per_US_Gal">1.05150432294111E-12</definedName>
    <definedName name="Joules_per_m3_to_therm_per_CCF">0.0000268455628959045</definedName>
    <definedName name="Joules_per_m3_to_therm_per_ft3">2.68455628959045E-07</definedName>
    <definedName name="Joules_per_m3_to_therm_per_L">0.00000000948043</definedName>
    <definedName name="Joules_per_m3_to_therm_per_US_Gal">3.58873385521554E-08</definedName>
    <definedName name="Joules_per_US_Gal_to_kBtu_per_CCF">0.709013996005416</definedName>
    <definedName name="Joules_per_US_Gal_to_kBtu_per_ft3">0.00709013996005416</definedName>
    <definedName name="Joules_per_US_Gal_to_kBtu_per_L">0.000250386880153009</definedName>
    <definedName name="Joules_per_US_Gal_to_kBtu_per_m3">0.250386880153009</definedName>
    <definedName name="Joules_per_US_Gal_to_kWh_per_CCF">0.000207791683186092</definedName>
    <definedName name="Joules_per_US_Gal_to_kWh_per_ft3">2.07791683186092E-06</definedName>
    <definedName name="Joules_per_US_Gal_to_kWh_per_L">7.33812189432585E-08</definedName>
    <definedName name="Joules_per_US_Gal_to_kWh_per_m3">0.0000733812189432585</definedName>
    <definedName name="Joules_per_US_Gal_to_MMBtu_per_CCF">0.000709013996005416</definedName>
    <definedName name="Joules_per_US_Gal_to_MMBtu_per_ft3">7.09013996005416E-06</definedName>
    <definedName name="Joules_per_US_Gal_to_MMBtu_per_L">2.50386880153009E-07</definedName>
    <definedName name="Joules_per_US_Gal_to_MMBtu_per_m3">0.000250386880153009</definedName>
    <definedName name="Joules_per_US_Gal_to_MWh_per_CCF">2.07791683186092E-07</definedName>
    <definedName name="Joules_per_US_Gal_to_MWh_per_ft3">2.07791683186092E-09</definedName>
    <definedName name="Joules_per_US_Gal_to_MWh_per_L">7.33812189432585E-11</definedName>
    <definedName name="Joules_per_US_Gal_to_MWh_per_m3">7.33812189432585E-08</definedName>
    <definedName name="Joules_per_US_Gal_to_therm_per_CCF">0.00709183055183609</definedName>
    <definedName name="Joules_per_US_Gal_to_therm_per_ft3">0.0000709183055183609</definedName>
    <definedName name="Joules_per_US_Gal_to_therm_per_L">2.50446583064978E-06</definedName>
    <definedName name="Joules_per_US_Gal_to_therm_per_m3">0.00250446583064978</definedName>
    <definedName name="Joules_to_kBtu">0.000947817</definedName>
    <definedName name="Joules_to_kWh">0.000000277778</definedName>
    <definedName name="Joules_to_MMBtu">0.000000947817</definedName>
    <definedName name="Joules_to_MWh">0.000000000277778</definedName>
    <definedName name="Joules_to_therm">0.00000948043</definedName>
    <definedName name="kBtu_per_Acre_to_Joules_per_ft2">0.0242208448117539</definedName>
    <definedName name="kBtu_per_Acre_to_Joules_per_m2">0.260710773290897</definedName>
    <definedName name="kBtu_per_Acre_to_kWh_per_ft2">6.72798438934803E-06</definedName>
    <definedName name="kBtu_per_Acre_to_kWh_per_m2">0.00007241935723005</definedName>
    <definedName name="kBtu_per_Acre_to_MMBtu_per_ft2">2.29568411386593E-08</definedName>
    <definedName name="kBtu_per_Acre_to_MMBtu_per_m2">2.47105163015276E-07</definedName>
    <definedName name="kBtu_per_Acre_to_MWh_per_ft2">6.72798438934803E-09</definedName>
    <definedName name="kBtu_per_Acre_to_MWh_per_m2">7.241935723005E-08</definedName>
    <definedName name="kBtu_per_Acre_to_therm_per_ft2">2.29568411386593E-07</definedName>
    <definedName name="kBtu_per_Acre_to_therm_per_m2">2.47105163015276E-06</definedName>
    <definedName name="kBtu_per_CCF_to_Joules_per_ft3">10.5506</definedName>
    <definedName name="kBtu_per_CCF_to_Joules_per_L">0.372591535766753</definedName>
    <definedName name="kBtu_per_CCF_to_Joules_per_m3">372.591535766753</definedName>
    <definedName name="kBtu_per_CCF_to_Joules_per_US_Gal">1.41040997149931</definedName>
    <definedName name="kBtu_per_CCF_to_kWh_per_ft3">0.00293071</definedName>
    <definedName name="kBtu_per_CCF_to_kWh_per_L">0.000103497217199684</definedName>
    <definedName name="kBtu_per_CCF_to_kWh_per_m3">0.103497217199684</definedName>
    <definedName name="kBtu_per_CCF_to_kWh_per_US_Gal">0.000391778913765353</definedName>
    <definedName name="kBtu_per_CCF_to_MMBtu_per_ft3">0.00001</definedName>
    <definedName name="kBtu_per_CCF_to_MMBtu_per_L">3.53147248276641E-07</definedName>
    <definedName name="kBtu_per_CCF_to_MMBtu_per_m3">0.000353147248276641</definedName>
    <definedName name="kBtu_per_CCF_to_MMBtu_per_US_Gal">1.33680546272184E-06</definedName>
    <definedName name="kBtu_per_CCF_to_MWh_per_ft3">0.00000293071</definedName>
    <definedName name="kBtu_per_CCF_to_MWh_per_L">1.03497217199684E-07</definedName>
    <definedName name="kBtu_per_CCF_to_MWh_per_m3">0.000103497217199684</definedName>
    <definedName name="kBtu_per_CCF_to_MWh_per_US_Gal">3.91778913765353E-07</definedName>
    <definedName name="kBtu_per_CCF_to_therm_per_ft3">0.0001</definedName>
    <definedName name="kBtu_per_CCF_to_therm_per_L">3.53147248276641E-06</definedName>
    <definedName name="kBtu_per_CCF_to_therm_per_m3">0.00353147248276641</definedName>
    <definedName name="kBtu_per_CCF_to_therm_per_US_Gal">0.0000133680546272184</definedName>
    <definedName name="kBtu_per_ft2_to_Joules_per_Acre">45958495.9576248</definedName>
    <definedName name="kBtu_per_ft2_to_Joules_per_m2">11356.5762139005</definedName>
    <definedName name="kBtu_per_ft2_to_kWh_per_Acre">12766.1956370226</definedName>
    <definedName name="kBtu_per_ft2_to_kWh_per_m2">3.15459134796508</definedName>
    <definedName name="kBtu_per_ft2_to_MMBtu_per_Acre">43.5600780596599</definedName>
    <definedName name="kBtu_per_ft2_to_MMBtu_per_m2">0.0107639150511824</definedName>
    <definedName name="kBtu_per_ft2_to_MWh_per_Acre">12.7661956370226</definedName>
    <definedName name="kBtu_per_ft2_to_MWh_per_m2">0.00315459134796508</definedName>
    <definedName name="kBtu_per_ft2_to_therm_per_Acre">435.600780596599</definedName>
    <definedName name="kBtu_per_ft2_to_therm_per_m2">0.107639150511824</definedName>
    <definedName name="kBtu_per_ft3_to_Joules_per_CCF">105506</definedName>
    <definedName name="kBtu_per_ft3_to_Joules_per_L">37.2591535766753</definedName>
    <definedName name="kBtu_per_ft3_to_Joules_per_m3">37259.1535766753</definedName>
    <definedName name="kBtu_per_ft3_to_Joules_per_US_Gal">141.040997149931</definedName>
    <definedName name="kBtu_per_ft3_to_kWh_per_CCF">29.3071</definedName>
    <definedName name="kBtu_per_ft3_to_kWh_per_L">0.0103497217199684</definedName>
    <definedName name="kBtu_per_ft3_to_kWh_per_m3">10.3497217199684</definedName>
    <definedName name="kBtu_per_ft3_to_kWh_per_US_Gal">0.0391778913765353</definedName>
    <definedName name="kBtu_per_ft3_to_MMBtu_per_CCF">0.1</definedName>
    <definedName name="kBtu_per_ft3_to_MMBtu_per_L">0.0000353147248276641</definedName>
    <definedName name="kBtu_per_ft3_to_MMBtu_per_m3">0.0353147248276641</definedName>
    <definedName name="kBtu_per_ft3_to_MMBtu_per_US_Gal">0.000133680546272184</definedName>
    <definedName name="kBtu_per_ft3_to_MWh_per_CCF">0.0293071</definedName>
    <definedName name="kBtu_per_ft3_to_MWh_per_L">0.0000103497217199684</definedName>
    <definedName name="kBtu_per_ft3_to_MWh_per_m3">0.0103497217199684</definedName>
    <definedName name="kBtu_per_ft3_to_MWh_per_US_Gal">0.0000391778913765353</definedName>
    <definedName name="kBtu_per_ft3_to_therm_per_CCF">"="</definedName>
    <definedName name="kBtu_per_ft3_to_therm_per_L">0.000353147248276641</definedName>
    <definedName name="kBtu_per_ft3_to_therm_per_m3">0.353147248276641</definedName>
    <definedName name="kBtu_per_ft3_to_therm_per_US_Gal">0.00133680546272184</definedName>
    <definedName name="kBtu_per_L_to_Joules_per_CCF">2987594.40119837</definedName>
    <definedName name="kBtu_per_L_to_Joules_per_ft3">29875.9440119837</definedName>
    <definedName name="kBtu_per_L_to_Joules_per_m3">1055060</definedName>
    <definedName name="kBtu_per_L_to_Joules_per_US_Gal">3993.83734839423</definedName>
    <definedName name="kBtu_per_L_to_kWh_per_CCF">829.883872721558</definedName>
    <definedName name="kBtu_per_L_to_kWh_per_ft3">8.29883872721558</definedName>
    <definedName name="kBtu_per_L_to_kWh_per_m3">293.071</definedName>
    <definedName name="kBtu_per_L_to_kWh_per_US_Gal">1.10939463682752</definedName>
    <definedName name="kBtu_per_L_to_MMBtu_per_CCF">2.83168199078571</definedName>
    <definedName name="kBtu_per_L_to_MMBtu_per_ft3">0.0283168199078571</definedName>
    <definedName name="kBtu_per_L_to_MMBtu_per_m3">"="</definedName>
    <definedName name="kBtu_per_L_to_MMBtu_per_US_Gal">0.00378541253425798</definedName>
    <definedName name="kBtu_per_L_to_MWh_per_CCF">0.829883872721558</definedName>
    <definedName name="kBtu_per_L_to_MWh_per_ft3">0.00829883872721558</definedName>
    <definedName name="kBtu_per_L_to_MWh_per_m3">0.293071</definedName>
    <definedName name="kBtu_per_L_to_MWh_per_US_Gal">0.00110939463682752</definedName>
    <definedName name="kBtu_per_L_to_therm_per_CCF">28.3168199078571</definedName>
    <definedName name="kBtu_per_L_to_therm_per_ft3">0.283168199078571</definedName>
    <definedName name="kBtu_per_L_to_therm_per_m3">10</definedName>
    <definedName name="kBtu_per_L_to_therm_per_US_Gal">0.0378541253425798</definedName>
    <definedName name="kBtu_per_m2_to_Joules_per_Acre">4269682.92830983</definedName>
    <definedName name="kBtu_per_m2_to_Joules_per_ft2">98.0183762390955</definedName>
    <definedName name="kBtu_per_m2_to_kWh_per_Acre">1186.01808947613</definedName>
    <definedName name="kBtu_per_m2_to_kWh_per_ft2">0.0272272131848122</definedName>
    <definedName name="kBtu_per_m2_to_MMBtu_per_Acre">4.0468626697153</definedName>
    <definedName name="kBtu_per_m2_to_MMBtu_per_ft2">0.0000929031299064465</definedName>
    <definedName name="kBtu_per_m2_to_MWh_per_Acre">1.18601808947613</definedName>
    <definedName name="kBtu_per_m2_to_MWh_per_ft2">0.0000272272131848122</definedName>
    <definedName name="kBtu_per_m2_to_therm_per_Acre">40.468626697153</definedName>
    <definedName name="kBtu_per_m2_to_therm_per_ft2">0.000929031299064466</definedName>
    <definedName name="kBtu_per_m3_to_Joules_per_CCF">2987.59440119837</definedName>
    <definedName name="kBtu_per_m3_to_Joules_per_ft3">29.8759440119837</definedName>
    <definedName name="kBtu_per_m3_to_Joules_per_L">1.05506</definedName>
    <definedName name="kBtu_per_m3_to_Joules_per_US_Gal">3.99383734839423</definedName>
    <definedName name="kBtu_per_m3_to_kWh_per_CCF">0.829883872721558</definedName>
    <definedName name="kBtu_per_m3_to_kWh_per_ft3">0.00829883872721558</definedName>
    <definedName name="kBtu_per_m3_to_kWh_per_L">0.000293071</definedName>
    <definedName name="kBtu_per_m3_to_kWh_per_US_Gal">0.00110939463682752</definedName>
    <definedName name="kBtu_per_m3_to_MMBtu_per_CCF">0.00283168199078571</definedName>
    <definedName name="kBtu_per_m3_to_MMBtu_per_ft3">0.0000283168199078571</definedName>
    <definedName name="kBtu_per_m3_to_MMBtu_per_L">0.000001</definedName>
    <definedName name="kBtu_per_m3_to_MMBtu_per_US_Gal">3.78541253425798E-06</definedName>
    <definedName name="kBtu_per_m3_to_MWh_per_CCF">0.000829883872721558</definedName>
    <definedName name="kBtu_per_m3_to_MWh_per_ft3">8.29883872721558E-06</definedName>
    <definedName name="kBtu_per_m3_to_MWh_per_L">0.000000293071</definedName>
    <definedName name="kBtu_per_m3_to_MWh_per_US_Gal">1.10939463682752E-06</definedName>
    <definedName name="kBtu_per_m3_to_therm_per_CCF">0.0283168199078571</definedName>
    <definedName name="kBtu_per_m3_to_therm_per_ft3">0.000283168199078571</definedName>
    <definedName name="kBtu_per_m3_to_therm_per_L">0.00001</definedName>
    <definedName name="kBtu_per_m3_to_therm_per_US_Gal">0.0000378541253425798</definedName>
    <definedName name="kBtu_per_US_Gal_to_Joules_per_CCF">789237.064354695</definedName>
    <definedName name="kBtu_per_US_Gal_to_Joules_per_ft3">7892.37064354695</definedName>
    <definedName name="kBtu_per_US_Gal_to_Joules_per_L">278.71749691579</definedName>
    <definedName name="kBtu_per_US_Gal_to_Joules_per_m3">278717.49691579</definedName>
    <definedName name="kBtu_per_US_Gal_to_kWh_per_CCF">219.23160359363</definedName>
    <definedName name="kBtu_per_US_Gal_to_kWh_per_ft3">2.1923160359363</definedName>
    <definedName name="kBtu_per_US_Gal_to_kWh_per_L">0.0774212040439477</definedName>
    <definedName name="kBtu_per_US_Gal_to_kWh_per_m3">77.4212040439477</definedName>
    <definedName name="kBtu_per_US_Gal_to_MMBtu_per_CCF">0.748049461030363</definedName>
    <definedName name="kBtu_per_US_Gal_to_MMBtu_per_ft3">0.00748049461030363</definedName>
    <definedName name="kBtu_per_US_Gal_to_MMBtu_per_L">0.000264172176857989</definedName>
    <definedName name="kBtu_per_US_Gal_to_MMBtu_per_m3">0.264172176857989</definedName>
    <definedName name="kBtu_per_US_Gal_to_MWh_per_CCF">0.21923160359363</definedName>
    <definedName name="kBtu_per_US_Gal_to_MWh_per_ft3">0.0021923160359363</definedName>
    <definedName name="kBtu_per_US_Gal_to_MWh_per_L">0.0000774212040439477</definedName>
    <definedName name="kBtu_per_US_Gal_to_MWh_per_m3">0.0774212040439477</definedName>
    <definedName name="kBtu_per_US_Gal_to_therm_per_CCF">7.48049461030363</definedName>
    <definedName name="kBtu_per_US_Gal_to_therm_per_ft3">0.0748049461030363</definedName>
    <definedName name="kBtu_per_US_Gal_to_therm_per_L">0.00264172176857989</definedName>
    <definedName name="kBtu_per_US_Gal_to_therm_per_m3">2.64172176857989</definedName>
    <definedName name="kBtu_to_Joules">1055.06</definedName>
    <definedName name="kBtu_to_kWh">0.293071</definedName>
    <definedName name="kBtu_to_MMBtu">0.001</definedName>
    <definedName name="kBtu_to_MWh">0.000293071</definedName>
    <definedName name="kBtu_to_therm">0.01</definedName>
    <definedName name="kg_CO2e_per_year_to_lbs_CO2e_per_year">2.20462</definedName>
    <definedName name="kg_CO2e_per_year_to_Metric_Ton_CO2e_per_year">0.001</definedName>
    <definedName name="kg_CO2e_per_year_to_US_Ton_CO2e_per_year">0.00110231</definedName>
    <definedName name="kg_per_Acre_to_lb_per_ft2">0.0000506111111111111</definedName>
    <definedName name="kg_per_Acre_to_lb_per_m2">0.000544772984486738</definedName>
    <definedName name="kg_per_Acre_to_Metric_Tonne_per_ft2">2.29568411386593E-08</definedName>
    <definedName name="kg_per_Acre_to_Metric_Tonne_per_m2">2.47105163015276E-07</definedName>
    <definedName name="kg_per_Acre_to_US_Ton_per_ft2">2.53055555555556E-08</definedName>
    <definedName name="kg_per_Acre_to_US_Ton_per_m2">2.72386492243369E-07</definedName>
    <definedName name="kg_per_CCF_to_lb_per_ft3">0.0220462</definedName>
    <definedName name="kg_per_CCF_to_lb_per_L">0.000778555486495649</definedName>
    <definedName name="kg_per_CCF_to_lb_per_m3">0.778555486495649</definedName>
    <definedName name="kg_per_CCF_to_lb_per_US_Gal">0.00294714805922583</definedName>
    <definedName name="kg_per_CCF_to_Metric_Tonne_per_ft3">0.00001</definedName>
    <definedName name="kg_per_CCF_to_Metric_Tonne_per_L">3.53147248276641E-07</definedName>
    <definedName name="kg_per_CCF_to_Metric_Tonne_per_m3">0.000353147248276641</definedName>
    <definedName name="kg_per_CCF_to_Metric_Tonne_per_US_Gal">1.33680546272184E-06</definedName>
    <definedName name="kg_per_CCF_to_US_Ton_per_ft3">0.0000110231</definedName>
    <definedName name="kg_per_CCF_to_US_Ton_per_L">3.89277743247825E-07</definedName>
    <definedName name="kg_per_CCF_to_US_Ton_per_m3">0.000389277743247825</definedName>
    <definedName name="kg_per_CCF_to_US_Ton_per_US_Gal">1.47357402961291E-06</definedName>
    <definedName name="kg_per_ft2_to_lb_per_Acre">96033.4192918874</definedName>
    <definedName name="kg_per_ft2_to_lb_per_m2">23.7303424001378</definedName>
    <definedName name="kg_per_ft2_to_Metric_Tonne_per_Acre">43.5600780596599</definedName>
    <definedName name="kg_per_ft2_to_Metric_Tonne_per_m2">0.0107639150511824</definedName>
    <definedName name="kg_per_ft2_to_US_Ton_per_Acre">48.0167096459437</definedName>
    <definedName name="kg_per_ft2_to_US_Ton_per_m2">0.0118651712000689</definedName>
    <definedName name="kg_per_ft3_to_lb_per_CCF">220.462</definedName>
    <definedName name="kg_per_ft3_to_lb_per_L">0.0778555486495649</definedName>
    <definedName name="kg_per_ft3_to_lb_per_m3">77.8555486495649</definedName>
    <definedName name="kg_per_ft3_to_lb_per_US_Gal">0.294714805922583</definedName>
    <definedName name="kg_per_ft3_to_Metric_Tonne_per_CCF">0.1</definedName>
    <definedName name="kg_per_ft3_to_Metric_Tonne_per_L">0.0000353147248276641</definedName>
    <definedName name="kg_per_ft3_to_Metric_Tonne_per_m3">0.0353147248276641</definedName>
    <definedName name="kg_per_ft3_to_Metric_Tonne_per_US_Gal">0.000133680546272184</definedName>
    <definedName name="kg_per_ft3_to_US_Ton_per_CCF">0.110231</definedName>
    <definedName name="kg_per_ft3_to_US_Ton_per_L">0.0000389277743247825</definedName>
    <definedName name="kg_per_ft3_to_US_Ton_per_m3">0.0389277743247825</definedName>
    <definedName name="kg_per_ft3_to_US_Ton_per_US_Gal">0.000147357402961291</definedName>
    <definedName name="kg_per_Joules_to_lb_per_kBtu">2325.99752905888</definedName>
    <definedName name="kg_per_Joules_to_lb_per_kWh">7936625.65069948</definedName>
    <definedName name="kg_per_Joules_to_lb_per_MMBtu">2325997.52905888</definedName>
    <definedName name="kg_per_Joules_to_lb_per_MWh">7936625650.69948</definedName>
    <definedName name="kg_per_Joules_to_lb_per_therm">232544.30442501</definedName>
    <definedName name="kg_per_Joules_to_Metric_Tonne_per_kBtu">1.05505598654593</definedName>
    <definedName name="kg_per_Joules_to_Metric_Tonne_per_kWh">3599.9971200023</definedName>
    <definedName name="kg_per_Joules_to_Metric_Tonne_per_MMBtu">1055.05598654593</definedName>
    <definedName name="kg_per_Joules_to_Metric_Tonne_per_MWh">3599997.1200023</definedName>
    <definedName name="kg_per_Joules_to_Metric_Tonne_per_therm">105.480447616828</definedName>
    <definedName name="kg_per_Joules_to_US_Ton_per_kBtu">1.16299876452944</definedName>
    <definedName name="kg_per_Joules_to_US_Ton_per_kWh">3968.31282534974</definedName>
    <definedName name="kg_per_Joules_to_US_Ton_per_MMBtu">1162.99876452944</definedName>
    <definedName name="kg_per_Joules_to_US_Ton_per_MWh">3968312.82534974</definedName>
    <definedName name="kg_per_Joules_to_US_Ton_per_therm">116.272152212505</definedName>
    <definedName name="kg_per_kBtu_to_lb_per_Joules">0.00208956836578015</definedName>
    <definedName name="kg_per_kBtu_to_lb_per_kWh">7.52247748839018</definedName>
    <definedName name="kg_per_kBtu_to_lb_per_MMBtu">2204.62</definedName>
    <definedName name="kg_per_kBtu_to_lb_per_MWh">7522.47748839018</definedName>
    <definedName name="kg_per_kBtu_to_lb_per_therm">220.462</definedName>
    <definedName name="kg_per_kBtu_to_Metric_Tonne_per_Joules">9.47813394498891E-07</definedName>
    <definedName name="kg_per_kBtu_to_Metric_Tonne_per_kWh">0.00341214245012301</definedName>
    <definedName name="kg_per_kBtu_to_Metric_Tonne_per_MMBtu">"="</definedName>
    <definedName name="kg_per_kBtu_to_Metric_Tonne_per_MWh">3.41214245012301</definedName>
    <definedName name="kg_per_kBtu_to_Metric_Tonne_per_therm">0.1</definedName>
    <definedName name="kg_per_kBtu_to_US_Ton_per_Joules">1.04478418289007E-06</definedName>
    <definedName name="kg_per_kBtu_to_US_Ton_per_kWh">0.00376123874419509</definedName>
    <definedName name="kg_per_kBtu_to_US_Ton_per_MMBtu">1.10231</definedName>
    <definedName name="kg_per_kBtu_to_US_Ton_per_MWh">3.76123874419509</definedName>
    <definedName name="kg_per_kBtu_to_US_Ton_per_therm">0.110231</definedName>
    <definedName name="kg_per_kWh_to_lb_per_Joules">6.12394444444444E-07</definedName>
    <definedName name="kg_per_kWh_to_lb_per_kBtu">0.646110651966215</definedName>
    <definedName name="kg_per_kWh_to_lb_per_MMBtu">646.110651966215</definedName>
    <definedName name="kg_per_kWh_to_lb_per_MWh">2204.62</definedName>
    <definedName name="kg_per_kWh_to_lb_per_therm">64.6110651966215</definedName>
    <definedName name="kg_per_kWh_to_Metric_Tonne_per_Joules">2.77777777777778E-10</definedName>
    <definedName name="kg_per_kWh_to_Metric_Tonne_per_kBtu">0.000293071210442713</definedName>
    <definedName name="kg_per_kWh_to_Metric_Tonne_per_MMBtu">0.293071210442713</definedName>
    <definedName name="kg_per_kWh_to_Metric_Tonne_per_MWh">"="</definedName>
    <definedName name="kg_per_kWh_to_Metric_Tonne_per_therm">0.0293071210442713</definedName>
    <definedName name="kg_per_kWh_to_US_Ton_per_Joules">3.06197222222222E-10</definedName>
    <definedName name="kg_per_kWh_to_US_Ton_per_kBtu">0.000323055325983107</definedName>
    <definedName name="kg_per_kWh_to_US_Ton_per_MMBtu">0.323055325983107</definedName>
    <definedName name="kg_per_kWh_to_US_Ton_per_MWh">1.10231</definedName>
    <definedName name="kg_per_kWh_to_US_Ton_per_therm">0.0323055325983107</definedName>
    <definedName name="kg_per_L_to_lb_per_CCF">6242.78275052598</definedName>
    <definedName name="kg_per_L_to_lb_per_ft3">62.4278275052598</definedName>
    <definedName name="kg_per_L_to_lb_per_m3">2204.62</definedName>
    <definedName name="kg_per_L_to_lb_per_US_Gal">8.34539618127583</definedName>
    <definedName name="kg_per_L_to_Metric_Tonne_per_CCF">2.83168199078571</definedName>
    <definedName name="kg_per_L_to_Metric_Tonne_per_ft3">0.0283168199078571</definedName>
    <definedName name="kg_per_L_to_Metric_Tonne_per_m3">"="</definedName>
    <definedName name="kg_per_L_to_Metric_Tonne_per_US_Gal">0.00378541253425798</definedName>
    <definedName name="kg_per_L_to_US_Ton_per_CCF">3.12139137526299</definedName>
    <definedName name="kg_per_L_to_US_Ton_per_ft3">0.0312139137526299</definedName>
    <definedName name="kg_per_L_to_US_Ton_per_m3">1.10231</definedName>
    <definedName name="kg_per_L_to_US_Ton_per_US_Gal">0.00417269809063792</definedName>
    <definedName name="kg_per_m2_to_lb_per_Acre">8921.79437890775</definedName>
    <definedName name="kg_per_m2_to_lb_per_ft2">0.20481609825435</definedName>
    <definedName name="kg_per_m2_to_Metric_Tonne_per_Acre">4.0468626697153</definedName>
    <definedName name="kg_per_m2_to_Metric_Tonne_per_ft2">0.0000929031299064465</definedName>
    <definedName name="kg_per_m2_to_US_Ton_per_Acre">4.46089718945388</definedName>
    <definedName name="kg_per_m2_to_US_Ton_per_ft2">0.000102408049127175</definedName>
    <definedName name="kg_per_m3_to_lb_per_CCF">6.24278275052598</definedName>
    <definedName name="kg_per_m3_to_lb_per_ft3">0.0624278275052598</definedName>
    <definedName name="kg_per_m3_to_lb_per_L">0.00220462</definedName>
    <definedName name="kg_per_m3_to_lb_per_US_Gal">0.00834539618127583</definedName>
    <definedName name="kg_per_m3_to_Metric_Tonne_per_CCF">0.00283168199078571</definedName>
    <definedName name="kg_per_m3_to_Metric_Tonne_per_ft3">0.0000283168199078571</definedName>
    <definedName name="kg_per_m3_to_Metric_Tonne_per_L">0.000001</definedName>
    <definedName name="kg_per_m3_to_Metric_Tonne_per_US_Gal">3.78541253425798E-06</definedName>
    <definedName name="kg_per_m3_to_US_Ton_per_CCF">0.00312139137526299</definedName>
    <definedName name="kg_per_m3_to_US_Ton_per_ft3">0.0000312139137526299</definedName>
    <definedName name="kg_per_m3_to_US_Ton_per_L">0.00000110231</definedName>
    <definedName name="kg_per_m3_to_US_Ton_per_US_Gal">4.17269809063792E-06</definedName>
    <definedName name="kg_per_MMBtu_to_lb_per_Joules">2.08956836578014E-09</definedName>
    <definedName name="kg_per_MMBtu_to_lb_per_kBtu">0.00220462</definedName>
    <definedName name="kg_per_MMBtu_to_lb_per_kWh">0.00752247748839018</definedName>
    <definedName name="kg_per_MMBtu_to_lb_per_MWh">7.52247748839018</definedName>
    <definedName name="kg_per_MMBtu_to_lb_per_therm">0.220462</definedName>
    <definedName name="kg_per_MMBtu_to_Metric_Tonne_per_Joules">9.47813394498891E-13</definedName>
    <definedName name="kg_per_MMBtu_to_Metric_Tonne_per_kBtu">0.000001</definedName>
    <definedName name="kg_per_MMBtu_to_Metric_Tonne_per_kWh">3.41214245012301E-06</definedName>
    <definedName name="kg_per_MMBtu_to_Metric_Tonne_per_MWh">0.00341214245012301</definedName>
    <definedName name="kg_per_MMBtu_to_Metric_Tonne_per_therm">0.0001</definedName>
    <definedName name="kg_per_MMBtu_to_US_Ton_per_Joules">1.04478418289007E-12</definedName>
    <definedName name="kg_per_MMBtu_to_US_Ton_per_kBtu">0.00000110231</definedName>
    <definedName name="kg_per_MMBtu_to_US_Ton_per_kWh">3.76123874419509E-06</definedName>
    <definedName name="kg_per_MMBtu_to_US_Ton_per_MWh">0.00376123874419509</definedName>
    <definedName name="kg_per_MMBtu_to_US_Ton_per_therm">0.000110231</definedName>
    <definedName name="kg_per_MWh_to_lb_per_Joules">6.12394444444444E-10</definedName>
    <definedName name="kg_per_MWh_to_lb_per_kBtu">0.000646110651966215</definedName>
    <definedName name="kg_per_MWh_to_lb_per_kWh">0.00220462</definedName>
    <definedName name="kg_per_MWh_to_lb_per_MMBtu">0.646110651966215</definedName>
    <definedName name="kg_per_MWh_to_lb_per_therm">0.0646110651966215</definedName>
    <definedName name="kg_per_MWh_to_Metric_Tonne_per_Joules">2.77777777777778E-13</definedName>
    <definedName name="kg_per_MWh_to_Metric_Tonne_per_kBtu">2.93071210442713E-07</definedName>
    <definedName name="kg_per_MWh_to_Metric_Tonne_per_kWh">0.000001</definedName>
    <definedName name="kg_per_MWh_to_Metric_Tonne_per_MMBtu">0.000293071210442713</definedName>
    <definedName name="kg_per_MWh_to_Metric_Tonne_per_therm">0.0000293071210442713</definedName>
    <definedName name="kg_per_MWh_to_US_Ton_per_Joules">3.06197222222222E-13</definedName>
    <definedName name="kg_per_MWh_to_US_Ton_per_kBtu">3.23055325983107E-07</definedName>
    <definedName name="kg_per_MWh_to_US_Ton_per_kWh">0.00000110231</definedName>
    <definedName name="kg_per_MWh_to_US_Ton_per_MMBtu">0.000323055325983107</definedName>
    <definedName name="kg_per_MWh_to_US_Ton_per_therm">0.0000323055325983107</definedName>
    <definedName name="kg_per_therm_to_lb_per_Joules">0.0000209008342813804</definedName>
    <definedName name="kg_per_therm_to_lb_per_kBtu">0.0220462</definedName>
    <definedName name="kg_per_therm_to_lb_per_kWh">0.0752247748839018</definedName>
    <definedName name="kg_per_therm_to_lb_per_MMBtu">22.0462</definedName>
    <definedName name="kg_per_therm_to_lb_per_MWh">75.2247748839018</definedName>
    <definedName name="kg_per_therm_to_Metric_Tonne_per_Joules">9.48047023132347E-09</definedName>
    <definedName name="kg_per_therm_to_Metric_Tonne_per_kBtu">0.00001</definedName>
    <definedName name="kg_per_therm_to_Metric_Tonne_per_kWh">0.0000341214245012301</definedName>
    <definedName name="kg_per_therm_to_Metric_Tonne_per_MMBtu">0.01</definedName>
    <definedName name="kg_per_therm_to_Metric_Tonne_per_MWh">0.0341214245012301</definedName>
    <definedName name="kg_per_therm_to_US_Ton_per_Joules">1.04504171406902E-08</definedName>
    <definedName name="kg_per_therm_to_US_Ton_per_kBtu">0.0000110231</definedName>
    <definedName name="kg_per_therm_to_US_Ton_per_kWh">0.0000376123874419509</definedName>
    <definedName name="kg_per_therm_to_US_Ton_per_MMBtu">0.0110231</definedName>
    <definedName name="kg_per_therm_to_US_Ton_per_MWh">0.0376123874419509</definedName>
    <definedName name="kg_per_US_Gal_to_lb_per_CCF">1649.16480277676</definedName>
    <definedName name="kg_per_US_Gal_to_lb_per_ft3">16.4916480277676</definedName>
    <definedName name="kg_per_US_Gal_to_lb_per_L">0.58239926454466</definedName>
    <definedName name="kg_per_US_Gal_to_lb_per_m3">582.39926454466</definedName>
    <definedName name="kg_per_US_Gal_to_Metric_Tonne_per_CCF">0.748049461030363</definedName>
    <definedName name="kg_per_US_Gal_to_Metric_Tonne_per_ft3">0.00748049461030363</definedName>
    <definedName name="kg_per_US_Gal_to_Metric_Tonne_per_L">0.000264172176857989</definedName>
    <definedName name="kg_per_US_Gal_to_Metric_Tonne_per_m3">0.264172176857989</definedName>
    <definedName name="kg_per_US_Gal_to_US_Ton_per_CCF">0.82458240138838</definedName>
    <definedName name="kg_per_US_Gal_to_US_Ton_per_ft3">0.0082458240138838</definedName>
    <definedName name="kg_per_US_Gal_to_US_Ton_per_L">0.00029119963227233</definedName>
    <definedName name="kg_per_US_Gal_to_US_Ton_per_m3">0.29119963227233</definedName>
    <definedName name="kg_to_lb">2.20462</definedName>
    <definedName name="kg_to_Metric_Tonne">0.001</definedName>
    <definedName name="kg_to_US_Ton">0.00110231</definedName>
    <definedName name="kWh_per_Acre_to_Joules_per_ft2">82.6446280991736</definedName>
    <definedName name="kWh_per_Acre_to_Joules_per_m2">889.578586854994</definedName>
    <definedName name="kWh_per_Acre_to_kBtu_per_ft2">0.000078331955922865</definedName>
    <definedName name="kWh_per_Acre_to_kBtu_per_m2">0.000843157410930944</definedName>
    <definedName name="kWh_per_Acre_to_MMBtu_per_ft2">7.8331955922865E-08</definedName>
    <definedName name="kWh_per_Acre_to_MMBtu_per_m2">8.43157410930944E-07</definedName>
    <definedName name="kWh_per_Acre_to_MWh_per_ft2">2.29568411386593E-08</definedName>
    <definedName name="kWh_per_Acre_to_MWh_per_m2">2.47105163015276E-07</definedName>
    <definedName name="kWh_per_Acre_to_therm_per_ft2">7.8331955922865E-07</definedName>
    <definedName name="kWh_per_Acre_to_therm_per_m2">8.43157410930944E-06</definedName>
    <definedName name="kWh_per_CCF_to_Joules_per_ft3">36000</definedName>
    <definedName name="kWh_per_CCF_to_Joules_per_L">1271.33009379591</definedName>
    <definedName name="kWh_per_CCF_to_Joules_per_m3">1271330.09379591</definedName>
    <definedName name="kWh_per_CCF_to_Joules_per_US_Gal">4812.49966579863</definedName>
    <definedName name="kWh_per_CCF_to_kBtu_per_ft3">0.0341214</definedName>
    <definedName name="kWh_per_CCF_to_kBtu_per_L">0.00120498785173466</definedName>
    <definedName name="kWh_per_CCF_to_kBtu_per_m3">1.20498785173466</definedName>
    <definedName name="kWh_per_CCF_to_kBtu_per_US_Gal">0.00456136739157171</definedName>
    <definedName name="kWh_per_CCF_to_MMBtu_per_ft3">0.0000341214</definedName>
    <definedName name="kWh_per_CCF_to_MMBtu_per_L">1.20498785173466E-06</definedName>
    <definedName name="kWh_per_CCF_to_MMBtu_per_m3">0.00120498785173466</definedName>
    <definedName name="kWh_per_CCF_to_MMBtu_per_US_Gal">4.56136739157171E-06</definedName>
    <definedName name="kWh_per_CCF_to_MWh_per_ft3">0.00001</definedName>
    <definedName name="kWh_per_CCF_to_MWh_per_L">3.53147248276641E-07</definedName>
    <definedName name="kWh_per_CCF_to_MWh_per_m3">0.000353147248276641</definedName>
    <definedName name="kWh_per_CCF_to_MWh_per_US_Gal">1.33680546272184E-06</definedName>
    <definedName name="kWh_per_CCF_to_therm_per_ft3">0.000341214</definedName>
    <definedName name="kWh_per_CCF_to_therm_per_L">0.0000120498785173466</definedName>
    <definedName name="kWh_per_CCF_to_therm_per_m3">0.0120498785173466</definedName>
    <definedName name="kWh_per_CCF_to_therm_per_US_Gal">0.0000456136739157171</definedName>
    <definedName name="kWh_per_ft2_to_Joules_per_Acre">156816281014.776</definedName>
    <definedName name="kWh_per_ft2_to_Joules_per_m2">38750094.1842567</definedName>
    <definedName name="kWh_per_ft2_to_kBtu_per_Acre">148633.084750488</definedName>
    <definedName name="kWh_per_ft2_to_kBtu_per_m2">36.7279851027416</definedName>
    <definedName name="kWh_per_ft2_to_MMBtu_per_Acre">148.633084750488</definedName>
    <definedName name="kWh_per_ft2_to_MMBtu_per_m2">0.0367279851027416</definedName>
    <definedName name="kWh_per_ft2_to_MWh_per_Acre">43.5600780596599</definedName>
    <definedName name="kWh_per_ft2_to_MWh_per_m2">0.0107639150511824</definedName>
    <definedName name="kWh_per_ft2_to_therm_per_Acre">1486.33084750488</definedName>
    <definedName name="kWh_per_ft2_to_therm_per_m2">0.367279851027416</definedName>
    <definedName name="kWh_per_ft3_to_Joules_per_CCF">360000000</definedName>
    <definedName name="kWh_per_ft3_to_Joules_per_L">127133.009379591</definedName>
    <definedName name="kWh_per_ft3_to_Joules_per_m3">127133009.379591</definedName>
    <definedName name="kWh_per_ft3_to_Joules_per_US_Gal">481249.966579863</definedName>
    <definedName name="kWh_per_ft3_to_kBtu_per_CCF">341.214</definedName>
    <definedName name="kWh_per_ft3_to_kBtu_per_L">0.120498785173466</definedName>
    <definedName name="kWh_per_ft3_to_kBtu_per_m3">120.498785173466</definedName>
    <definedName name="kWh_per_ft3_to_kBtu_per_US_Gal">0.456136739157171</definedName>
    <definedName name="kWh_per_ft3_to_MMBtu_per_CCF">0.341214</definedName>
    <definedName name="kWh_per_ft3_to_MMBtu_per_L">0.000120498785173466</definedName>
    <definedName name="kWh_per_ft3_to_MMBtu_per_m3">0.120498785173466</definedName>
    <definedName name="kWh_per_ft3_to_MMBtu_per_US_Gal">0.000456136739157171</definedName>
    <definedName name="kWh_per_ft3_to_MWh_per_CCF">0.1</definedName>
    <definedName name="kWh_per_ft3_to_MWh_per_L">0.0000353147248276641</definedName>
    <definedName name="kWh_per_ft3_to_MWh_per_m3">0.0353147248276641</definedName>
    <definedName name="kWh_per_ft3_to_MWh_per_US_Gal">0.000133680546272184</definedName>
    <definedName name="kWh_per_ft3_to_therm_per_CCF">3.41214</definedName>
    <definedName name="kWh_per_ft3_to_therm_per_L">0.00120498785173466</definedName>
    <definedName name="kWh_per_ft3_to_therm_per_m3">1.20498785173466</definedName>
    <definedName name="kWh_per_ft3_to_therm_per_US_Gal">0.00456136739157171</definedName>
    <definedName name="kWh_per_L_to_Joules_per_CCF">10194055166.8285</definedName>
    <definedName name="kWh_per_L_to_Joules_per_ft3">101940551.668285</definedName>
    <definedName name="kWh_per_L_to_Joules_per_m3">3600000000</definedName>
    <definedName name="kWh_per_L_to_Joules_per_US_Gal">13627485.1233287</definedName>
    <definedName name="kWh_per_L_to_kBtu_per_CCF">9662.09538803954</definedName>
    <definedName name="kWh_per_L_to_kBtu_per_ft3">96.6209538803954</definedName>
    <definedName name="kWh_per_L_to_kBtu_per_m3">3412.14</definedName>
    <definedName name="kWh_per_L_to_kBtu_per_US_Gal">12.916357524643</definedName>
    <definedName name="kWh_per_L_to_MMBtu_per_CCF">9.66209538803954</definedName>
    <definedName name="kWh_per_L_to_MMBtu_per_ft3">0.0966209538803954</definedName>
    <definedName name="kWh_per_L_to_MMBtu_per_m3">3.41214</definedName>
    <definedName name="kWh_per_L_to_MMBtu_per_US_Gal">0.012916357524643</definedName>
    <definedName name="kWh_per_L_to_MWh_per_CCF">2.83168199078571</definedName>
    <definedName name="kWh_per_L_to_MWh_per_ft3">0.0283168199078571</definedName>
    <definedName name="kWh_per_L_to_MWh_per_m3">"="</definedName>
    <definedName name="kWh_per_L_to_MWh_per_US_Gal">0.00378541253425798</definedName>
    <definedName name="kWh_per_L_to_therm_per_CCF">96.6209538803954</definedName>
    <definedName name="kWh_per_L_to_therm_per_ft3">0.966209538803954</definedName>
    <definedName name="kWh_per_L_to_therm_per_m3">34.1214</definedName>
    <definedName name="kWh_per_L_to_therm_per_US_Gal">0.12916357524643</definedName>
    <definedName name="kWh_per_m2_to_Joules_per_Acre">14568705610.9751</definedName>
    <definedName name="kWh_per_m2_to_Joules_per_ft2">334451.267663208</definedName>
    <definedName name="kWh_per_m2_to_kBtu_per_Acre">13808.4619898424</definedName>
    <definedName name="kWh_per_m2_to_kBtu_per_ft2">0.316998485678983</definedName>
    <definedName name="kWh_per_m2_to_MMBtu_per_Acre">13.8084619898424</definedName>
    <definedName name="kWh_per_m2_to_MMBtu_per_ft2">0.000316998485678983</definedName>
    <definedName name="kWh_per_m2_to_MWh_per_Acre">4.0468626697153</definedName>
    <definedName name="kWh_per_m2_to_MWh_per_ft2">0.0000929031299064465</definedName>
    <definedName name="kWh_per_m2_to_therm_per_Acre">138.084619898424</definedName>
    <definedName name="kWh_per_m2_to_therm_per_ft2">0.00316998485678983</definedName>
    <definedName name="kWh_per_m3_to_Joules_per_CCF">10194055.1668285</definedName>
    <definedName name="kWh_per_m3_to_Joules_per_ft3">101940.551668285</definedName>
    <definedName name="kWh_per_m3_to_Joules_per_L">3600</definedName>
    <definedName name="kWh_per_m3_to_Joules_per_US_Gal">13627.4851233287</definedName>
    <definedName name="kWh_per_m3_to_kBtu_per_CCF">9.66209538803954</definedName>
    <definedName name="kWh_per_m3_to_kBtu_per_ft3">0.0966209538803954</definedName>
    <definedName name="kWh_per_m3_to_kBtu_per_L">0.00341214</definedName>
    <definedName name="kWh_per_m3_to_kBtu_per_US_Gal">0.012916357524643</definedName>
    <definedName name="kWh_per_m3_to_MMBtu_per_CCF">0.00966209538803954</definedName>
    <definedName name="kWh_per_m3_to_MMBtu_per_ft3">0.0000966209538803954</definedName>
    <definedName name="kWh_per_m3_to_MMBtu_per_L">0.00000341214</definedName>
    <definedName name="kWh_per_m3_to_MMBtu_per_US_Gal">0.000012916357524643</definedName>
    <definedName name="kWh_per_m3_to_MWh_per_CCF">0.00283168199078571</definedName>
    <definedName name="kWh_per_m3_to_MWh_per_ft3">0.0000283168199078571</definedName>
    <definedName name="kWh_per_m3_to_MWh_per_L">0.000001</definedName>
    <definedName name="kWh_per_m3_to_MWh_per_US_Gal">3.78541253425798E-06</definedName>
    <definedName name="kWh_per_m3_to_therm_per_CCF">0.0966209538803954</definedName>
    <definedName name="kWh_per_m3_to_therm_per_ft3">0.000966209538803954</definedName>
    <definedName name="kWh_per_m3_to_therm_per_L">0.0000341214</definedName>
    <definedName name="kWh_per_m3_to_therm_per_US_Gal">0.00012916357524643</definedName>
    <definedName name="kWh_per_US_Gal_to_Joules_per_CCF">2692978059.70931</definedName>
    <definedName name="kWh_per_US_Gal_to_Joules_per_ft3">26929780.5970931</definedName>
    <definedName name="kWh_per_US_Gal_to_Joules_per_L">951019.83668876</definedName>
    <definedName name="kWh_per_US_Gal_to_Joules_per_m3">951019836.68876</definedName>
    <definedName name="kWh_per_US_Gal_to_kBtu_per_CCF">2552.44948796014</definedName>
    <definedName name="kWh_per_US_Gal_to_kBtu_per_ft3">25.5244948796014</definedName>
    <definedName name="kWh_per_US_Gal_to_kBtu_per_L">0.901392451544218</definedName>
    <definedName name="kWh_per_US_Gal_to_kBtu_per_m3">901.392451544218</definedName>
    <definedName name="kWh_per_US_Gal_to_MMBtu_per_CCF">2.55244948796014</definedName>
    <definedName name="kWh_per_US_Gal_to_MMBtu_per_ft3">0.0255244948796014</definedName>
    <definedName name="kWh_per_US_Gal_to_MMBtu_per_L">0.000901392451544218</definedName>
    <definedName name="kWh_per_US_Gal_to_MMBtu_per_m3">0.901392451544219</definedName>
    <definedName name="kWh_per_US_Gal_to_MWh_per_CCF">0.748049461030363</definedName>
    <definedName name="kWh_per_US_Gal_to_MWh_per_ft3">0.00748049461030363</definedName>
    <definedName name="kWh_per_US_Gal_to_MWh_per_L">0.000264172176857989</definedName>
    <definedName name="kWh_per_US_Gal_to_MWh_per_m3">0.264172176857989</definedName>
    <definedName name="kWh_per_US_Gal_to_therm_per_CCF">25.5244948796014</definedName>
    <definedName name="kWh_per_US_Gal_to_therm_per_ft3">0.255244948796014</definedName>
    <definedName name="kWh_per_US_Gal_to_therm_per_L">0.00901392451544219</definedName>
    <definedName name="kWh_per_US_Gal_to_therm_per_m3">9.01392451544219</definedName>
    <definedName name="kWh_to_Joules">3600000</definedName>
    <definedName name="kWh_to_kBtu">3.41214</definedName>
    <definedName name="kWh_to_MMBtu">0.00341214</definedName>
    <definedName name="kWh_to_MWh">0.001</definedName>
    <definedName name="kWh_to_therm">0.0341214</definedName>
    <definedName name="L_to_CCF">0.000353147</definedName>
    <definedName name="L_to_ft3">0.0353147</definedName>
    <definedName name="L_to_m3">0.001</definedName>
    <definedName name="L_to_US_Gal">0.264172</definedName>
    <definedName name="lb_per_Acre_to_kg_per_ft2">0.0000104130394857668</definedName>
    <definedName name="lb_per_Acre_to_kg_per_m2">0.000112084925102425</definedName>
    <definedName name="lb_per_Acre_to_Metric_Tonne_per_ft2">1.04130394857668E-08</definedName>
    <definedName name="lb_per_Acre_to_Metric_Tonne_per_m2">1.12084925102425E-07</definedName>
    <definedName name="lb_per_Acre_to_US_Ton_per_ft2">1.14784205693297E-08</definedName>
    <definedName name="lb_per_Acre_to_US_Ton_per_m2">1.23552581507638E-07</definedName>
    <definedName name="lb_per_CCF_to_kg_per_ft3">0.00453592</definedName>
    <definedName name="lb_per_CCF_to_kg_per_L">0.000160184766640298</definedName>
    <definedName name="lb_per_CCF_to_kg_per_m3">0.160184766640298</definedName>
    <definedName name="lb_per_CCF_to_kg_per_US_Gal">0.000606364263446926</definedName>
    <definedName name="lb_per_CCF_to_Metric_Tonne_per_ft3">0.00000453592</definedName>
    <definedName name="lb_per_CCF_to_Metric_Tonne_per_L">1.60184766640298E-07</definedName>
    <definedName name="lb_per_CCF_to_Metric_Tonne_per_m3">0.000160184766640298</definedName>
    <definedName name="lb_per_CCF_to_Metric_Tonne_per_US_Gal">6.06364263446926E-07</definedName>
    <definedName name="lb_per_CCF_to_US_Ton_per_ft3">0.000005</definedName>
    <definedName name="lb_per_CCF_to_US_Ton_per_L">1.76573624138321E-07</definedName>
    <definedName name="lb_per_CCF_to_US_Ton_per_m3">0.000176573624138321</definedName>
    <definedName name="lb_per_CCF_to_US_Ton_per_US_Gal">6.68402731360921E-07</definedName>
    <definedName name="lb_per_ft2_to_kg_per_Acre">19758.5029272372</definedName>
    <definedName name="lb_per_ft2_to_kg_per_m2">4.88242575589593</definedName>
    <definedName name="lb_per_ft2_to_Metric_Tonne_per_Acre">19.7585029272372</definedName>
    <definedName name="lb_per_ft2_to_Metric_Tonne_per_m2">0.00488242575589593</definedName>
    <definedName name="lb_per_ft2_to_US_Ton_per_Acre">21.7800390298299</definedName>
    <definedName name="lb_per_ft2_to_US_Ton_per_m2">0.00538195752559121</definedName>
    <definedName name="lb_per_ft3_to_kg_per_CCF">45.3592</definedName>
    <definedName name="lb_per_ft3_to_kg_per_L">0.0160184766640298</definedName>
    <definedName name="lb_per_ft3_to_kg_per_m3">16.0184766640298</definedName>
    <definedName name="lb_per_ft3_to_kg_per_US_Gal">0.0606364263446926</definedName>
    <definedName name="lb_per_ft3_to_Metric_Tonne_per_CCF">0.0453592</definedName>
    <definedName name="lb_per_ft3_to_Metric_Tonne_per_L">0.0000160184766640298</definedName>
    <definedName name="lb_per_ft3_to_Metric_Tonne_per_m3">0.0160184766640298</definedName>
    <definedName name="lb_per_ft3_to_Metric_Tonne_per_US_Gal">0.0000606364263446926</definedName>
    <definedName name="lb_per_ft3_to_US_Ton_per_CCF">0.05</definedName>
    <definedName name="lb_per_ft3_to_US_Ton_per_L">0.0000176573624138321</definedName>
    <definedName name="lb_per_ft3_to_US_Ton_per_m3">0.0176573624138321</definedName>
    <definedName name="lb_per_ft3_to_US_Ton_per_US_Gal">0.0000668402731360921</definedName>
    <definedName name="lb_per_Joules_to_kg_per_kBtu">478.56495504934</definedName>
    <definedName name="lb_per_Joules_to_kg_per_kWh">1632929.89365609</definedName>
    <definedName name="lb_per_Joules_to_kg_per_MMBtu">478564.95504934</definedName>
    <definedName name="lb_per_Joules_to_kg_per_MWh">1632929893.65609</definedName>
    <definedName name="lb_per_Joules_to_kg_per_therm">47845.087195412</definedName>
    <definedName name="lb_per_Joules_to_Metric_Tonne_per_kBtu">0.47856495504934</definedName>
    <definedName name="lb_per_Joules_to_Metric_Tonne_per_kWh">1632.92989365609</definedName>
    <definedName name="lb_per_Joules_to_Metric_Tonne_per_MMBtu">478.56495504934</definedName>
    <definedName name="lb_per_Joules_to_Metric_Tonne_per_MWh">1632929.89365609</definedName>
    <definedName name="lb_per_Joules_to_Metric_Tonne_per_therm">47.845087195412</definedName>
    <definedName name="lb_per_Joules_to_US_Ton_per_kBtu">0.527527993272963</definedName>
    <definedName name="lb_per_Joules_to_US_Ton_per_kWh">1799.99856000115</definedName>
    <definedName name="lb_per_Joules_to_US_Ton_per_MMBtu">527.527993272963</definedName>
    <definedName name="lb_per_Joules_to_US_Ton_per_MWh">1799998.56000115</definedName>
    <definedName name="lb_per_Joules_to_US_Ton_per_therm">52.7402238084138</definedName>
    <definedName name="lb_per_kBtu_to_kg_per_Joules">0.000429920573237541</definedName>
    <definedName name="lb_per_kBtu_to_kg_per_kWh">1.5477205182362</definedName>
    <definedName name="lb_per_kBtu_to_kg_per_MMBtu">453.592</definedName>
    <definedName name="lb_per_kBtu_to_kg_per_MWh">1547.7205182362</definedName>
    <definedName name="lb_per_kBtu_to_kg_per_therm">45.3592</definedName>
    <definedName name="lb_per_kBtu_to_Metric_Tonne_per_Joules">4.29920573237541E-07</definedName>
    <definedName name="lb_per_kBtu_to_Metric_Tonne_per_kWh">0.0015477205182362</definedName>
    <definedName name="lb_per_kBtu_to_Metric_Tonne_per_MMBtu">0.453592</definedName>
    <definedName name="lb_per_kBtu_to_Metric_Tonne_per_MWh">1.5477205182362</definedName>
    <definedName name="lb_per_kBtu_to_Metric_Tonne_per_therm">0.0453592</definedName>
    <definedName name="lb_per_kBtu_to_US_Ton_per_Joules">4.73906697249446E-07</definedName>
    <definedName name="lb_per_kBtu_to_US_Ton_per_kWh">0.0017060712250615</definedName>
    <definedName name="lb_per_kBtu_to_US_Ton_per_MMBtu">0.5</definedName>
    <definedName name="lb_per_kBtu_to_US_Ton_per_MWh">1.7060712250615</definedName>
    <definedName name="lb_per_kBtu_to_US_Ton_per_therm">0.05</definedName>
    <definedName name="lb_per_kWh_to_kg_per_Joules">1.25997777777778E-07</definedName>
    <definedName name="lb_per_kWh_to_kg_per_kBtu">0.132934756487131</definedName>
    <definedName name="lb_per_kWh_to_kg_per_MMBtu">132.934756487131</definedName>
    <definedName name="lb_per_kWh_to_kg_per_MWh">453.592</definedName>
    <definedName name="lb_per_kWh_to_kg_per_therm">13.2934756487131</definedName>
    <definedName name="lb_per_kWh_to_Metric_Tonne_per_Joules">1.25997777777778E-10</definedName>
    <definedName name="lb_per_kWh_to_Metric_Tonne_per_kBtu">0.000132934756487131</definedName>
    <definedName name="lb_per_kWh_to_Metric_Tonne_per_MMBtu">0.132934756487131</definedName>
    <definedName name="lb_per_kWh_to_Metric_Tonne_per_MWh">0.453592</definedName>
    <definedName name="lb_per_kWh_to_Metric_Tonne_per_therm">0.0132934756487131</definedName>
    <definedName name="lb_per_kWh_to_US_Ton_per_Joules">1.38888888888889E-10</definedName>
    <definedName name="lb_per_kWh_to_US_Ton_per_kBtu">0.000146535605221357</definedName>
    <definedName name="lb_per_kWh_to_US_Ton_per_MMBtu">0.146535605221357</definedName>
    <definedName name="lb_per_kWh_to_US_Ton_per_MWh">0.5</definedName>
    <definedName name="lb_per_kWh_to_US_Ton_per_therm">0.0146535605221357</definedName>
    <definedName name="lb_per_L_to_kg_per_CCF">1284.42829756447</definedName>
    <definedName name="lb_per_L_to_kg_per_ft3">12.8442829756447</definedName>
    <definedName name="lb_per_L_to_kg_per_m3">453.592</definedName>
    <definedName name="lb_per_L_to_kg_per_US_Gal">1.71703284223915</definedName>
    <definedName name="lb_per_L_to_Metric_Tonne_per_CCF">1.28442829756447</definedName>
    <definedName name="lb_per_L_to_Metric_Tonne_per_ft3">0.0128442829756447</definedName>
    <definedName name="lb_per_L_to_Metric_Tonne_per_m3">0.453592</definedName>
    <definedName name="lb_per_L_to_Metric_Tonne_per_US_Gal">0.00171703284223915</definedName>
    <definedName name="lb_per_L_to_US_Ton_per_CCF">1.41584099539285</definedName>
    <definedName name="lb_per_L_to_US_Ton_per_ft3">0.0141584099539285</definedName>
    <definedName name="lb_per_L_to_US_Ton_per_m3">0.5</definedName>
    <definedName name="lb_per_L_to_US_Ton_per_US_Gal">0.00189270626712899</definedName>
    <definedName name="lb_per_m2_to_kg_per_Acre">1835.6245320815</definedName>
    <definedName name="lb_per_m2_to_kg_per_ft2">0.0421401165005249</definedName>
    <definedName name="lb_per_m2_to_Metric_Tonne_per_Acre">1.8356245320815</definedName>
    <definedName name="lb_per_m2_to_Metric_Tonne_per_ft2">0.0000421401165005249</definedName>
    <definedName name="lb_per_m2_to_US_Ton_per_Acre">2.02343133485765</definedName>
    <definedName name="lb_per_m2_to_US_Ton_per_ft2">0.0000464515649532233</definedName>
    <definedName name="lb_per_m3_to_kg_per_CCF">1.28442829756447</definedName>
    <definedName name="lb_per_m3_to_kg_per_ft3">0.0128442829756447</definedName>
    <definedName name="lb_per_m3_to_kg_per_L">0.000453592</definedName>
    <definedName name="lb_per_m3_to_kg_per_US_Gal">0.00171703284223915</definedName>
    <definedName name="lb_per_m3_to_Metric_Tonne_per_CCF">0.00128442829756447</definedName>
    <definedName name="lb_per_m3_to_Metric_Tonne_per_ft3">0.0000128442829756447</definedName>
    <definedName name="lb_per_m3_to_Metric_Tonne_per_L">0.000000453592</definedName>
    <definedName name="lb_per_m3_to_Metric_Tonne_per_US_Gal">1.71703284223915E-06</definedName>
    <definedName name="lb_per_m3_to_US_Ton_per_CCF">0.00141584099539285</definedName>
    <definedName name="lb_per_m3_to_US_Ton_per_ft3">0.0000141584099539285</definedName>
    <definedName name="lb_per_m3_to_US_Ton_per_L">0.0000005</definedName>
    <definedName name="lb_per_m3_to_US_Ton_per_US_Gal">1.89270626712899E-06</definedName>
    <definedName name="lb_per_MMBtu_to_kg_per_Joules">4.29920573237541E-10</definedName>
    <definedName name="lb_per_MMBtu_to_kg_per_kBtu">0.000453592</definedName>
    <definedName name="lb_per_MMBtu_to_kg_per_kWh">0.0015477205182362</definedName>
    <definedName name="lb_per_MMBtu_to_kg_per_MWh">1.5477205182362</definedName>
    <definedName name="lb_per_MMBtu_to_kg_per_therm">0.0453592</definedName>
    <definedName name="lb_per_MMBtu_to_Metric_Tonne_per_Joules">4.29920573237541E-13</definedName>
    <definedName name="lb_per_MMBtu_to_Metric_Tonne_per_kBtu">0.000000453592</definedName>
    <definedName name="lb_per_MMBtu_to_Metric_Tonne_per_kWh">0.0000015477205182362</definedName>
    <definedName name="lb_per_MMBtu_to_Metric_Tonne_per_MWh">0.0015477205182362</definedName>
    <definedName name="lb_per_MMBtu_to_Metric_Tonne_per_therm">0.0000453592</definedName>
    <definedName name="lb_per_MMBtu_to_US_Ton_per_Joules">4.73906697249445E-13</definedName>
    <definedName name="lb_per_MMBtu_to_US_Ton_per_kBtu">0.0000005</definedName>
    <definedName name="lb_per_MMBtu_to_US_Ton_per_kWh">0.0000017060712250615</definedName>
    <definedName name="lb_per_MMBtu_to_US_Ton_per_MWh">0.0017060712250615</definedName>
    <definedName name="lb_per_MMBtu_to_US_Ton_per_therm">0.00005</definedName>
    <definedName name="lb_per_MWh_to_kg_per_Joules">1.25997777777778E-10</definedName>
    <definedName name="lb_per_MWh_to_kg_per_kBtu">0.000132934756487131</definedName>
    <definedName name="lb_per_MWh_to_kg_per_kWh">0.000453592</definedName>
    <definedName name="lb_per_MWh_to_kg_per_MMBtu">0.132934756487131</definedName>
    <definedName name="lb_per_MWh_to_kg_per_therm">0.0132934756487131</definedName>
    <definedName name="lb_per_MWh_to_Metric_Tonne_per_Joules">1.25997777777778E-13</definedName>
    <definedName name="lb_per_MWh_to_Metric_Tonne_per_kBtu">1.32934756487131E-07</definedName>
    <definedName name="lb_per_MWh_to_Metric_Tonne_per_kWh">0.000000453592</definedName>
    <definedName name="lb_per_MWh_to_Metric_Tonne_per_MMBtu">0.000132934756487131</definedName>
    <definedName name="lb_per_MWh_to_Metric_Tonne_per_therm">0.0000132934756487131</definedName>
    <definedName name="lb_per_MWh_to_US_Ton_per_Joules">1.38888888888889E-13</definedName>
    <definedName name="lb_per_MWh_to_US_Ton_per_kBtu">1.46535605221357E-07</definedName>
    <definedName name="lb_per_MWh_to_US_Ton_per_kWh">0.0000005</definedName>
    <definedName name="lb_per_MWh_to_US_Ton_per_MMBtu">0.000146535605221357</definedName>
    <definedName name="lb_per_MWh_to_US_Ton_per_therm">0.0000146535605221357</definedName>
    <definedName name="lb_per_therm_to_kg_per_Joules">4.30026545316648E-06</definedName>
    <definedName name="lb_per_therm_to_kg_per_kBtu">0.00453592</definedName>
    <definedName name="lb_per_therm_to_kg_per_kWh">0.015477205182362</definedName>
    <definedName name="lb_per_therm_to_kg_per_MMBtu">4.53592</definedName>
    <definedName name="lb_per_therm_to_kg_per_MWh">15.477205182362</definedName>
    <definedName name="lb_per_therm_to_Metric_Tonne_per_Joules">4.30026545316648E-09</definedName>
    <definedName name="lb_per_therm_to_Metric_Tonne_per_kBtu">0.00000453592</definedName>
    <definedName name="lb_per_therm_to_Metric_Tonne_per_kWh">0.000015477205182362</definedName>
    <definedName name="lb_per_therm_to_Metric_Tonne_per_MMBtu">0.00453592</definedName>
    <definedName name="lb_per_therm_to_Metric_Tonne_per_MWh">0.015477205182362</definedName>
    <definedName name="lb_per_therm_to_US_Ton_per_Joules">4.74023511566174E-09</definedName>
    <definedName name="lb_per_therm_to_US_Ton_per_kBtu">0.000005</definedName>
    <definedName name="lb_per_therm_to_US_Ton_per_kWh">0.000017060712250615</definedName>
    <definedName name="lb_per_therm_to_US_Ton_per_MMBtu">0.005</definedName>
    <definedName name="lb_per_therm_to_US_Ton_per_MWh">0.017060712250615</definedName>
    <definedName name="lb_per_US_Gal_to_kg_per_CCF">339.309251127685</definedName>
    <definedName name="lb_per_US_Gal_to_kg_per_ft3">3.39309251127685</definedName>
    <definedName name="lb_per_US_Gal_to_kg_per_L">0.119826386045369</definedName>
    <definedName name="lb_per_US_Gal_to_kg_per_m3">119.826386045369</definedName>
    <definedName name="lb_per_US_Gal_to_Metric_Tonne_per_CCF">0.339309251127685</definedName>
    <definedName name="lb_per_US_Gal_to_Metric_Tonne_per_ft3">0.00339309251127685</definedName>
    <definedName name="lb_per_US_Gal_to_Metric_Tonne_per_L">0.000119826386045369</definedName>
    <definedName name="lb_per_US_Gal_to_Metric_Tonne_per_m3">0.119826386045369</definedName>
    <definedName name="lb_per_US_Gal_to_US_Ton_per_CCF">0.374024730515182</definedName>
    <definedName name="lb_per_US_Gal_to_US_Ton_per_ft3">0.00374024730515182</definedName>
    <definedName name="lb_per_US_Gal_to_US_Ton_per_L">0.000132086088428994</definedName>
    <definedName name="lb_per_US_Gal_to_US_Ton_per_m3">0.132086088428994</definedName>
    <definedName name="lb_to_kg">0.453592</definedName>
    <definedName name="lb_to_Metric_Tonne">0.000453592</definedName>
    <definedName name="lb_to_US_Ton">0.0005</definedName>
    <definedName name="lbs_CO2e_per_year_to_kg_CO2e_per_year">0.453592</definedName>
    <definedName name="lbs_CO2e_per_year_to_Metric_Ton_CO2e_per_year">0.000453592</definedName>
    <definedName name="lbs_CO2e_per_year_to_US_Ton_CO2e_per_year">0.0005</definedName>
    <definedName name="m2_to_Acre">0.000247105</definedName>
    <definedName name="m2_to_ft2">10.7639</definedName>
    <definedName name="m3_to_CCF">0.353147</definedName>
    <definedName name="m3_to_ft3">35.3147</definedName>
    <definedName name="m3_to_L">1000</definedName>
    <definedName name="m3_to_US_Gal">264.172</definedName>
    <definedName name="Metric_Ton_CO2e_per_year_to_kg_CO2e_per_year">1000</definedName>
    <definedName name="Metric_Ton_CO2e_per_year_to_lbs_CO2e_per_year">2204.62</definedName>
    <definedName name="Metric_Ton_CO2e_per_year_to_US_Ton_CO2e_per_year">1.10231</definedName>
    <definedName name="Metric_Tonne_per_Acre_to_kg_per_ft2">0.0229568411386593</definedName>
    <definedName name="Metric_Tonne_per_Acre_to_kg_per_m2">0.247105163015276</definedName>
    <definedName name="Metric_Tonne_per_Acre_to_lb_per_ft2">0.0506111111111111</definedName>
    <definedName name="Metric_Tonne_per_Acre_to_lb_per_m2">0.544772984486738</definedName>
    <definedName name="Metric_Tonne_per_Acre_to_US_Ton_per_ft2">0.0000253055555555556</definedName>
    <definedName name="Metric_Tonne_per_Acre_to_US_Ton_per_m2">0.000272386492243369</definedName>
    <definedName name="Metric_Tonne_per_CCF_to_kg_per_ft3">10</definedName>
    <definedName name="Metric_Tonne_per_CCF_to_kg_per_L">0.353147248276641</definedName>
    <definedName name="Metric_Tonne_per_CCF_to_kg_per_m3">353.147248276641</definedName>
    <definedName name="Metric_Tonne_per_CCF_to_kg_per_US_Gal">1.33680546272184</definedName>
    <definedName name="Metric_Tonne_per_CCF_to_lb_per_ft3">22.0462</definedName>
    <definedName name="Metric_Tonne_per_CCF_to_lb_per_L">0.778555486495649</definedName>
    <definedName name="Metric_Tonne_per_CCF_to_lb_per_m3">778.555486495649</definedName>
    <definedName name="Metric_Tonne_per_CCF_to_lb_per_US_Gal">2.94714805922583</definedName>
    <definedName name="Metric_Tonne_per_CCF_to_US_Ton_per_ft3">0.0110231</definedName>
    <definedName name="Metric_Tonne_per_CCF_to_US_Ton_per_L">0.000389277743247825</definedName>
    <definedName name="Metric_Tonne_per_CCF_to_US_Ton_per_m3">0.389277743247825</definedName>
    <definedName name="Metric_Tonne_per_CCF_to_US_Ton_per_US_Gal">0.00147357402961291</definedName>
    <definedName name="Metric_Tonne_per_ft2_to_kg_per_Acre">43560078.0596599</definedName>
    <definedName name="Metric_Tonne_per_ft2_to_kg_per_m2">10763.9150511824</definedName>
    <definedName name="Metric_Tonne_per_ft2_to_lb_per_Acre">96033419.2918874</definedName>
    <definedName name="Metric_Tonne_per_ft2_to_lb_per_m2">23730.3424001378</definedName>
    <definedName name="Metric_Tonne_per_ft2_to_US_Ton_per_Acre">48016.7096459437</definedName>
    <definedName name="Metric_Tonne_per_ft2_to_US_Ton_per_m2">11.8651712000689</definedName>
    <definedName name="Metric_Tonne_per_ft3_to_kg_per_CCF">100000</definedName>
    <definedName name="Metric_Tonne_per_ft3_to_kg_per_L">35.3147248276641</definedName>
    <definedName name="Metric_Tonne_per_ft3_to_kg_per_m3">35314.7248276641</definedName>
    <definedName name="Metric_Tonne_per_ft3_to_kg_per_US_Gal">133.680546272184</definedName>
    <definedName name="Metric_Tonne_per_ft3_to_lb_per_CCF">220462</definedName>
    <definedName name="Metric_Tonne_per_ft3_to_lb_per_L">77.8555486495649</definedName>
    <definedName name="Metric_Tonne_per_ft3_to_lb_per_m3">77855.5486495649</definedName>
    <definedName name="Metric_Tonne_per_ft3_to_lb_per_US_Gal">294.714805922583</definedName>
    <definedName name="Metric_Tonne_per_ft3_to_US_Ton_per_CCF">110.231</definedName>
    <definedName name="Metric_Tonne_per_ft3_to_US_Ton_per_L">0.0389277743247825</definedName>
    <definedName name="Metric_Tonne_per_ft3_to_US_Ton_per_m3">38.9277743247825</definedName>
    <definedName name="Metric_Tonne_per_ft3_to_US_Ton_per_US_Gal">0.147357402961291</definedName>
    <definedName name="Metric_Tonne_per_Joules_to_kg_per_kBtu">1055055.98654593</definedName>
    <definedName name="Metric_Tonne_per_Joules_to_kg_per_kWh">3599997120.0023</definedName>
    <definedName name="Metric_Tonne_per_Joules_to_kg_per_MMBtu">1055055986.54593</definedName>
    <definedName name="Metric_Tonne_per_Joules_to_kg_per_MWh">3599997120002.3</definedName>
    <definedName name="Metric_Tonne_per_Joules_to_kg_per_therm">105480447.616828</definedName>
    <definedName name="Metric_Tonne_per_Joules_to_lb_per_kBtu">2325997.52905888</definedName>
    <definedName name="Metric_Tonne_per_Joules_to_lb_per_kWh">7936625650.69948</definedName>
    <definedName name="Metric_Tonne_per_Joules_to_lb_per_MMBtu">2325997529.05888</definedName>
    <definedName name="Metric_Tonne_per_Joules_to_lb_per_MWh">7936625650699.48</definedName>
    <definedName name="Metric_Tonne_per_Joules_to_lb_per_therm">232544304.42501</definedName>
    <definedName name="Metric_Tonne_per_Joules_to_US_Ton_per_kBtu">1162.99876452944</definedName>
    <definedName name="Metric_Tonne_per_Joules_to_US_Ton_per_kWh">3968312.82534974</definedName>
    <definedName name="Metric_Tonne_per_Joules_to_US_Ton_per_MMBtu">1162998.76452944</definedName>
    <definedName name="Metric_Tonne_per_Joules_to_US_Ton_per_MWh">3968312825.34974</definedName>
    <definedName name="Metric_Tonne_per_Joules_to_US_Ton_per_therm">116272.152212505</definedName>
    <definedName name="Metric_Tonne_per_kBtu_to_kg_per_Joules">0.947813394498891</definedName>
    <definedName name="Metric_Tonne_per_kBtu_to_kg_per_kWh">3412.14245012301</definedName>
    <definedName name="Metric_Tonne_per_kBtu_to_kg_per_MMBtu">1000000</definedName>
    <definedName name="Metric_Tonne_per_kBtu_to_kg_per_MWh">3412142.45012301</definedName>
    <definedName name="Metric_Tonne_per_kBtu_to_kg_per_therm">100000</definedName>
    <definedName name="Metric_Tonne_per_kBtu_to_lb_per_Joules">2.08956836578015</definedName>
    <definedName name="Metric_Tonne_per_kBtu_to_lb_per_kWh">7522.47748839018</definedName>
    <definedName name="Metric_Tonne_per_kBtu_to_lb_per_MMBtu">2204620</definedName>
    <definedName name="Metric_Tonne_per_kBtu_to_lb_per_MWh">7522477.48839018</definedName>
    <definedName name="Metric_Tonne_per_kBtu_to_lb_per_therm">220462</definedName>
    <definedName name="Metric_Tonne_per_kBtu_to_US_Ton_per_Joules">0.00104478418289007</definedName>
    <definedName name="Metric_Tonne_per_kBtu_to_US_Ton_per_kWh">3.76123874419509</definedName>
    <definedName name="Metric_Tonne_per_kBtu_to_US_Ton_per_MMBtu">1102.31</definedName>
    <definedName name="Metric_Tonne_per_kBtu_to_US_Ton_per_MWh">3761.23874419509</definedName>
    <definedName name="Metric_Tonne_per_kBtu_to_US_Ton_per_therm">110.231</definedName>
    <definedName name="Metric_Tonne_per_kWh_to_kg_per_Joules">0.000277777777777778</definedName>
    <definedName name="Metric_Tonne_per_kWh_to_kg_per_kBtu">293.071210442713</definedName>
    <definedName name="Metric_Tonne_per_kWh_to_kg_per_MMBtu">293071.210442713</definedName>
    <definedName name="Metric_Tonne_per_kWh_to_kg_per_MWh">1000000</definedName>
    <definedName name="Metric_Tonne_per_kWh_to_kg_per_therm">29307.1210442713</definedName>
    <definedName name="Metric_Tonne_per_kWh_to_lb_per_Joules">0.000612394444444444</definedName>
    <definedName name="Metric_Tonne_per_kWh_to_lb_per_kBtu">646.110651966215</definedName>
    <definedName name="Metric_Tonne_per_kWh_to_lb_per_MMBtu">646110.651966215</definedName>
    <definedName name="Metric_Tonne_per_kWh_to_lb_per_MWh">2204620</definedName>
    <definedName name="Metric_Tonne_per_kWh_to_lb_per_therm">64611.0651966215</definedName>
    <definedName name="Metric_Tonne_per_kWh_to_US_Ton_per_Joules">3.06197222222222E-07</definedName>
    <definedName name="Metric_Tonne_per_kWh_to_US_Ton_per_kBtu">0.323055325983107</definedName>
    <definedName name="Metric_Tonne_per_kWh_to_US_Ton_per_MMBtu">323.055325983107</definedName>
    <definedName name="Metric_Tonne_per_kWh_to_US_Ton_per_MWh">1102.31</definedName>
    <definedName name="Metric_Tonne_per_kWh_to_US_Ton_per_therm">32.3055325983107</definedName>
    <definedName name="Metric_Tonne_per_L_to_kg_per_CCF">2831681.99078571</definedName>
    <definedName name="Metric_Tonne_per_L_to_kg_per_ft3">28316.8199078571</definedName>
    <definedName name="Metric_Tonne_per_L_to_kg_per_m3">1000000</definedName>
    <definedName name="Metric_Tonne_per_L_to_kg_per_US_Gal">3785.41253425798</definedName>
    <definedName name="Metric_Tonne_per_L_to_lb_per_CCF">6242782.75052598</definedName>
    <definedName name="Metric_Tonne_per_L_to_lb_per_ft3">62427.8275052598</definedName>
    <definedName name="Metric_Tonne_per_L_to_lb_per_m3">2204620</definedName>
    <definedName name="Metric_Tonne_per_L_to_lb_per_US_Gal">8345.39618127584</definedName>
    <definedName name="Metric_Tonne_per_L_to_US_Ton_per_CCF">3121.39137526299</definedName>
    <definedName name="Metric_Tonne_per_L_to_US_Ton_per_ft3">31.2139137526299</definedName>
    <definedName name="Metric_Tonne_per_L_to_US_Ton_per_m3">1102.31</definedName>
    <definedName name="Metric_Tonne_per_L_to_US_Ton_per_US_Gal">4.17269809063792</definedName>
    <definedName name="Metric_Tonne_per_m2_to_kg_per_Acre">4046862.6697153</definedName>
    <definedName name="Metric_Tonne_per_m2_to_kg_per_ft2">92.9031299064466</definedName>
    <definedName name="Metric_Tonne_per_m2_to_lb_per_Acre">8921794.37890775</definedName>
    <definedName name="Metric_Tonne_per_m2_to_lb_per_ft2">204.81609825435</definedName>
    <definedName name="Metric_Tonne_per_m2_to_US_Ton_per_Acre">4460.89718945388</definedName>
    <definedName name="Metric_Tonne_per_m2_to_US_Ton_per_ft2">0.102408049127175</definedName>
    <definedName name="Metric_Tonne_per_m3_to_kg_per_CCF">2831.68199078571</definedName>
    <definedName name="Metric_Tonne_per_m3_to_kg_per_ft3">28.3168199078571</definedName>
    <definedName name="Metric_Tonne_per_m3_to_kg_per_L">"="</definedName>
    <definedName name="Metric_Tonne_per_m3_to_kg_per_US_Gal">3.78541253425798</definedName>
    <definedName name="Metric_Tonne_per_m3_to_lb_per_CCF">6242.78275052598</definedName>
    <definedName name="Metric_Tonne_per_m3_to_lb_per_ft3">62.4278275052598</definedName>
    <definedName name="Metric_Tonne_per_m3_to_lb_per_L">2.20462</definedName>
    <definedName name="Metric_Tonne_per_m3_to_lb_per_US_Gal">8.34539618127583</definedName>
    <definedName name="Metric_Tonne_per_m3_to_US_Ton_per_CCF">3.12139137526299</definedName>
    <definedName name="Metric_Tonne_per_m3_to_US_Ton_per_ft3">0.0312139137526299</definedName>
    <definedName name="Metric_Tonne_per_m3_to_US_Ton_per_L">0.00110231</definedName>
    <definedName name="Metric_Tonne_per_m3_to_US_Ton_per_US_Gal">0.00417269809063792</definedName>
    <definedName name="Metric_Tonne_per_MMBtu_to_kg_per_Joules">9.47813394498891E-07</definedName>
    <definedName name="Metric_Tonne_per_MMBtu_to_kg_per_kBtu">"="</definedName>
    <definedName name="Metric_Tonne_per_MMBtu_to_kg_per_kWh">3.41214245012301</definedName>
    <definedName name="Metric_Tonne_per_MMBtu_to_kg_per_MWh">3412.14245012301</definedName>
    <definedName name="Metric_Tonne_per_MMBtu_to_kg_per_therm">100</definedName>
    <definedName name="Metric_Tonne_per_MMBtu_to_lb_per_Joules">2.08956836578015E-06</definedName>
    <definedName name="Metric_Tonne_per_MMBtu_to_lb_per_kBtu">2.20462</definedName>
    <definedName name="Metric_Tonne_per_MMBtu_to_lb_per_kWh">7.52247748839018</definedName>
    <definedName name="Metric_Tonne_per_MMBtu_to_lb_per_MWh">7522.47748839018</definedName>
    <definedName name="Metric_Tonne_per_MMBtu_to_lb_per_therm">220.462</definedName>
    <definedName name="Metric_Tonne_per_MMBtu_to_US_Ton_per_Joules">1.04478418289007E-09</definedName>
    <definedName name="Metric_Tonne_per_MMBtu_to_US_Ton_per_kBtu">0.00110231</definedName>
    <definedName name="Metric_Tonne_per_MMBtu_to_US_Ton_per_kWh">0.00376123874419509</definedName>
    <definedName name="Metric_Tonne_per_MMBtu_to_US_Ton_per_MWh">3.76123874419509</definedName>
    <definedName name="Metric_Tonne_per_MMBtu_to_US_Ton_per_therm">0.110231</definedName>
    <definedName name="Metric_Tonne_per_MWh_to_kg_per_Joules">2.77777777777778E-07</definedName>
    <definedName name="Metric_Tonne_per_MWh_to_kg_per_kBtu">0.293071210442713</definedName>
    <definedName name="Metric_Tonne_per_MWh_to_kg_per_kWh">"="</definedName>
    <definedName name="Metric_Tonne_per_MWh_to_kg_per_MMBtu">293.071210442713</definedName>
    <definedName name="Metric_Tonne_per_MWh_to_kg_per_therm">29.3071210442713</definedName>
    <definedName name="Metric_Tonne_per_MWh_to_lb_per_Joules">6.12394444444444E-07</definedName>
    <definedName name="Metric_Tonne_per_MWh_to_lb_per_kBtu">0.646110651966215</definedName>
    <definedName name="Metric_Tonne_per_MWh_to_lb_per_kWh">2.20462</definedName>
    <definedName name="Metric_Tonne_per_MWh_to_lb_per_MMBtu">646.110651966215</definedName>
    <definedName name="Metric_Tonne_per_MWh_to_lb_per_therm">64.6110651966215</definedName>
    <definedName name="Metric_Tonne_per_MWh_to_US_Ton_per_Joules">3.06197222222222E-10</definedName>
    <definedName name="Metric_Tonne_per_MWh_to_US_Ton_per_kBtu">0.000323055325983107</definedName>
    <definedName name="Metric_Tonne_per_MWh_to_US_Ton_per_kWh">0.00110231</definedName>
    <definedName name="Metric_Tonne_per_MWh_to_US_Ton_per_MMBtu">0.323055325983107</definedName>
    <definedName name="Metric_Tonne_per_MWh_to_US_Ton_per_therm">0.0323055325983107</definedName>
    <definedName name="Metric_Tonne_per_therm_to_kg_per_Joules">0.00948047023132347</definedName>
    <definedName name="Metric_Tonne_per_therm_to_kg_per_kBtu">10</definedName>
    <definedName name="Metric_Tonne_per_therm_to_kg_per_kWh">34.1214245012301</definedName>
    <definedName name="Metric_Tonne_per_therm_to_kg_per_MMBtu">10000</definedName>
    <definedName name="Metric_Tonne_per_therm_to_kg_per_MWh">34121.4245012301</definedName>
    <definedName name="Metric_Tonne_per_therm_to_lb_per_Joules">0.0209008342813804</definedName>
    <definedName name="Metric_Tonne_per_therm_to_lb_per_kBtu">22.0462</definedName>
    <definedName name="Metric_Tonne_per_therm_to_lb_per_kWh">75.2247748839019</definedName>
    <definedName name="Metric_Tonne_per_therm_to_lb_per_MMBtu">22046.2</definedName>
    <definedName name="Metric_Tonne_per_therm_to_lb_per_MWh">75224.7748839018</definedName>
    <definedName name="Metric_Tonne_per_therm_to_US_Ton_per_Joules">0.0000104504171406902</definedName>
    <definedName name="Metric_Tonne_per_therm_to_US_Ton_per_kBtu">0.0110231</definedName>
    <definedName name="Metric_Tonne_per_therm_to_US_Ton_per_kWh">0.0376123874419509</definedName>
    <definedName name="Metric_Tonne_per_therm_to_US_Ton_per_MMBtu">11.0231</definedName>
    <definedName name="Metric_Tonne_per_therm_to_US_Ton_per_MWh">37.6123874419509</definedName>
    <definedName name="Metric_Tonne_per_US_Gal_to_kg_per_CCF">748049.461030363</definedName>
    <definedName name="Metric_Tonne_per_US_Gal_to_kg_per_ft3">7480.49461030363</definedName>
    <definedName name="Metric_Tonne_per_US_Gal_to_kg_per_L">264.172176857989</definedName>
    <definedName name="Metric_Tonne_per_US_Gal_to_kg_per_m3">264172.176857989</definedName>
    <definedName name="Metric_Tonne_per_US_Gal_to_lb_per_CCF">1649164.80277676</definedName>
    <definedName name="Metric_Tonne_per_US_Gal_to_lb_per_ft3">16491.6480277676</definedName>
    <definedName name="Metric_Tonne_per_US_Gal_to_lb_per_L">582.39926454466</definedName>
    <definedName name="Metric_Tonne_per_US_Gal_to_lb_per_m3">582399.26454466</definedName>
    <definedName name="Metric_Tonne_per_US_Gal_to_US_Ton_per_CCF">824.58240138838</definedName>
    <definedName name="Metric_Tonne_per_US_Gal_to_US_Ton_per_ft3">8.2458240138838</definedName>
    <definedName name="Metric_Tonne_per_US_Gal_to_US_Ton_per_L">0.29119963227233</definedName>
    <definedName name="Metric_Tonne_per_US_Gal_to_US_Ton_per_m3">291.19963227233</definedName>
    <definedName name="Metric_Tonne_to_kg">1000</definedName>
    <definedName name="Metric_Tonne_to_lb">2204.62</definedName>
    <definedName name="Metric_Tonne_to_US_Ton">1.10231</definedName>
    <definedName name="MMBtu_per_Acre_to_Joules_per_ft2">24220.8448117539</definedName>
    <definedName name="MMBtu_per_Acre_to_Joules_per_m2">260710.773290897</definedName>
    <definedName name="MMBtu_per_Acre_to_kBtu_per_ft2">0.0229568411386593</definedName>
    <definedName name="MMBtu_per_Acre_to_kBtu_per_m2">0.247105163015276</definedName>
    <definedName name="MMBtu_per_Acre_to_kWh_per_ft2">0.00672798438934803</definedName>
    <definedName name="MMBtu_per_Acre_to_kWh_per_m2">0.07241935723005</definedName>
    <definedName name="MMBtu_per_Acre_to_MWh_per_ft2">6.72798438934803E-06</definedName>
    <definedName name="MMBtu_per_Acre_to_MWh_per_m2">0.00007241935723005</definedName>
    <definedName name="MMBtu_per_Acre_to_therm_per_ft2">0.000229568411386593</definedName>
    <definedName name="MMBtu_per_Acre_to_therm_per_m2">0.00247105163015276</definedName>
    <definedName name="MMBtu_per_CCF_to_Joules_per_ft3">10550600</definedName>
    <definedName name="MMBtu_per_CCF_to_Joules_per_L">372591.535766753</definedName>
    <definedName name="MMBtu_per_CCF_to_Joules_per_m3">372591535.766753</definedName>
    <definedName name="MMBtu_per_CCF_to_Joules_per_US_Gal">1410409.97149931</definedName>
    <definedName name="MMBtu_per_CCF_to_kBtu_per_ft3">10</definedName>
    <definedName name="MMBtu_per_CCF_to_kBtu_per_L">0.353147248276641</definedName>
    <definedName name="MMBtu_per_CCF_to_kBtu_per_m3">353.147248276641</definedName>
    <definedName name="MMBtu_per_CCF_to_kBtu_per_US_Gal">1.33680546272184</definedName>
    <definedName name="MMBtu_per_CCF_to_kWh_per_ft3">2.93071</definedName>
    <definedName name="MMBtu_per_CCF_to_kWh_per_L">0.103497217199684</definedName>
    <definedName name="MMBtu_per_CCF_to_kWh_per_m3">103.497217199684</definedName>
    <definedName name="MMBtu_per_CCF_to_kWh_per_US_Gal">0.391778913765353</definedName>
    <definedName name="MMBtu_per_CCF_to_MWh_per_ft3">0.00293071</definedName>
    <definedName name="MMBtu_per_CCF_to_MWh_per_L">0.000103497217199684</definedName>
    <definedName name="MMBtu_per_CCF_to_MWh_per_m3">0.103497217199684</definedName>
    <definedName name="MMBtu_per_CCF_to_MWh_per_US_Gal">0.000391778913765353</definedName>
    <definedName name="MMBtu_per_CCF_to_therm_per_ft3">0.1</definedName>
    <definedName name="MMBtu_per_CCF_to_therm_per_L">0.00353147248276641</definedName>
    <definedName name="MMBtu_per_CCF_to_therm_per_m3">3.53147248276641</definedName>
    <definedName name="MMBtu_per_CCF_to_therm_per_US_Gal">0.0133680546272184</definedName>
    <definedName name="MMBtu_per_ft2_to_Joules_per_Acre">45958495957624.8</definedName>
    <definedName name="MMBtu_per_ft2_to_Joules_per_m2">11356576213.9005</definedName>
    <definedName name="MMBtu_per_ft2_to_kBtu_per_Acre">43560078.0596599</definedName>
    <definedName name="MMBtu_per_ft2_to_kBtu_per_m2">10763.9150511824</definedName>
    <definedName name="MMBtu_per_ft2_to_kWh_per_Acre">12766195.6370226</definedName>
    <definedName name="MMBtu_per_ft2_to_kWh_per_m2">3154.59134796508</definedName>
    <definedName name="MMBtu_per_ft2_to_MWh_per_Acre">12766.1956370226</definedName>
    <definedName name="MMBtu_per_ft2_to_MWh_per_m2">3.15459134796508</definedName>
    <definedName name="MMBtu_per_ft2_to_therm_per_Acre">435600.780596599</definedName>
    <definedName name="MMBtu_per_ft2_to_therm_per_m2">107.639150511824</definedName>
    <definedName name="MMBtu_per_ft3_to_Joules_per_CCF">105506000000</definedName>
    <definedName name="MMBtu_per_ft3_to_Joules_per_L">37259153.5766753</definedName>
    <definedName name="MMBtu_per_ft3_to_Joules_per_m3">37259153576.6753</definedName>
    <definedName name="MMBtu_per_ft3_to_Joules_per_US_Gal">141040997.149931</definedName>
    <definedName name="MMBtu_per_ft3_to_kBtu_per_CCF">100000</definedName>
    <definedName name="MMBtu_per_ft3_to_kBtu_per_L">35.3147248276641</definedName>
    <definedName name="MMBtu_per_ft3_to_kBtu_per_m3">35314.7248276641</definedName>
    <definedName name="MMBtu_per_ft3_to_kBtu_per_US_Gal">133.680546272184</definedName>
    <definedName name="MMBtu_per_ft3_to_kWh_per_CCF">29307.1</definedName>
    <definedName name="MMBtu_per_ft3_to_kWh_per_L">10.3497217199684</definedName>
    <definedName name="MMBtu_per_ft3_to_kWh_per_m3">10349.7217199684</definedName>
    <definedName name="MMBtu_per_ft3_to_kWh_per_US_Gal">39.1778913765353</definedName>
    <definedName name="MMBtu_per_ft3_to_MWh_per_CCF">29.3071</definedName>
    <definedName name="MMBtu_per_ft3_to_MWh_per_L">0.0103497217199684</definedName>
    <definedName name="MMBtu_per_ft3_to_MWh_per_m3">10.3497217199684</definedName>
    <definedName name="MMBtu_per_ft3_to_MWh_per_US_Gal">0.0391778913765353</definedName>
    <definedName name="MMBtu_per_ft3_to_therm_per_CCF">1000</definedName>
    <definedName name="MMBtu_per_ft3_to_therm_per_L">0.353147248276641</definedName>
    <definedName name="MMBtu_per_ft3_to_therm_per_m3">353.147248276641</definedName>
    <definedName name="MMBtu_per_ft3_to_therm_per_US_Gal">1.33680546272184</definedName>
    <definedName name="MMBtu_per_L_to_Joules_per_CCF">2987594401198.37</definedName>
    <definedName name="MMBtu_per_L_to_Joules_per_ft3">29875944011.9837</definedName>
    <definedName name="MMBtu_per_L_to_Joules_per_m3">1055060000000</definedName>
    <definedName name="MMBtu_per_L_to_Joules_per_US_Gal">3993837348.39423</definedName>
    <definedName name="MMBtu_per_L_to_kBtu_per_CCF">2831681.99078571</definedName>
    <definedName name="MMBtu_per_L_to_kBtu_per_ft3">28316.8199078571</definedName>
    <definedName name="MMBtu_per_L_to_kBtu_per_m3">1000000</definedName>
    <definedName name="MMBtu_per_L_to_kBtu_per_US_Gal">3785.41253425798</definedName>
    <definedName name="MMBtu_per_L_to_kWh_per_CCF">829883.872721558</definedName>
    <definedName name="MMBtu_per_L_to_kWh_per_ft3">8298.83872721558</definedName>
    <definedName name="MMBtu_per_L_to_kWh_per_m3">293071</definedName>
    <definedName name="MMBtu_per_L_to_kWh_per_US_Gal">1109.39463682752</definedName>
    <definedName name="MMBtu_per_L_to_MWh_per_CCF">829.883872721558</definedName>
    <definedName name="MMBtu_per_L_to_MWh_per_ft3">8.29883872721558</definedName>
    <definedName name="MMBtu_per_L_to_MWh_per_m3">293.071</definedName>
    <definedName name="MMBtu_per_L_to_MWh_per_US_Gal">1.10939463682752</definedName>
    <definedName name="MMBtu_per_L_to_therm_per_CCF">28316.8199078571</definedName>
    <definedName name="MMBtu_per_L_to_therm_per_ft3">283.168199078571</definedName>
    <definedName name="MMBtu_per_L_to_therm_per_m3">10000</definedName>
    <definedName name="MMBtu_per_L_to_therm_per_US_Gal">37.8541253425798</definedName>
    <definedName name="MMBtu_per_m2_to_Joules_per_Acre">4269682928309.83</definedName>
    <definedName name="MMBtu_per_m2_to_Joules_per_ft2">98018376.2390955</definedName>
    <definedName name="MMBtu_per_m2_to_kBtu_per_Acre">4046862.6697153</definedName>
    <definedName name="MMBtu_per_m2_to_kBtu_per_ft2">92.9031299064466</definedName>
    <definedName name="MMBtu_per_m2_to_kWh_per_Acre">1186018.08947613</definedName>
    <definedName name="MMBtu_per_m2_to_kWh_per_ft2">27.2272131848122</definedName>
    <definedName name="MMBtu_per_m2_to_MWh_per_Acre">1186.01808947613</definedName>
    <definedName name="MMBtu_per_m2_to_MWh_per_ft2">0.0272272131848122</definedName>
    <definedName name="MMBtu_per_m2_to_therm_per_Acre">40468.626697153</definedName>
    <definedName name="MMBtu_per_m2_to_therm_per_ft2">0.929031299064465</definedName>
    <definedName name="MMBtu_per_m3_to_Joules_per_CCF">2987594401.19837</definedName>
    <definedName name="MMBtu_per_m3_to_Joules_per_ft3">29875944.0119837</definedName>
    <definedName name="MMBtu_per_m3_to_Joules_per_L">1055060</definedName>
    <definedName name="MMBtu_per_m3_to_Joules_per_US_Gal">3993837.34839423</definedName>
    <definedName name="MMBtu_per_m3_to_kBtu_per_CCF">2831.68199078571</definedName>
    <definedName name="MMBtu_per_m3_to_kBtu_per_ft3">28.3168199078571</definedName>
    <definedName name="MMBtu_per_m3_to_kBtu_per_L">"="</definedName>
    <definedName name="MMBtu_per_m3_to_kBtu_per_US_Gal">3.78541253425798</definedName>
    <definedName name="MMBtu_per_m3_to_kWh_per_CCF">829.883872721558</definedName>
    <definedName name="MMBtu_per_m3_to_kWh_per_ft3">8.29883872721558</definedName>
    <definedName name="MMBtu_per_m3_to_kWh_per_L">0.293071</definedName>
    <definedName name="MMBtu_per_m3_to_kWh_per_US_Gal">1.10939463682752</definedName>
    <definedName name="MMBtu_per_m3_to_MWh_per_CCF">0.829883872721558</definedName>
    <definedName name="MMBtu_per_m3_to_MWh_per_ft3">0.00829883872721558</definedName>
    <definedName name="MMBtu_per_m3_to_MWh_per_L">0.000293071</definedName>
    <definedName name="MMBtu_per_m3_to_MWh_per_US_Gal">0.00110939463682752</definedName>
    <definedName name="MMBtu_per_m3_to_therm_per_CCF">28.3168199078571</definedName>
    <definedName name="MMBtu_per_m3_to_therm_per_ft3">0.283168199078571</definedName>
    <definedName name="MMBtu_per_m3_to_therm_per_L">0.01</definedName>
    <definedName name="MMBtu_per_m3_to_therm_per_US_Gal">0.0378541253425798</definedName>
    <definedName name="MMBtu_per_US_Gal_to_Joules_per_CCF">789237064354.695</definedName>
    <definedName name="MMBtu_per_US_Gal_to_Joules_per_ft3">7892370643.54695</definedName>
    <definedName name="MMBtu_per_US_Gal_to_Joules_per_L">278717496.91579</definedName>
    <definedName name="MMBtu_per_US_Gal_to_Joules_per_m3">278717496915.79</definedName>
    <definedName name="MMBtu_per_US_Gal_to_kBtu_per_CCF">748049.461030363</definedName>
    <definedName name="MMBtu_per_US_Gal_to_kBtu_per_ft3">7480.49461030363</definedName>
    <definedName name="MMBtu_per_US_Gal_to_kBtu_per_L">264.172176857989</definedName>
    <definedName name="MMBtu_per_US_Gal_to_kBtu_per_m3">264172.176857989</definedName>
    <definedName name="MMBtu_per_US_Gal_to_kWh_per_CCF">219231.60359363</definedName>
    <definedName name="MMBtu_per_US_Gal_to_kWh_per_ft3">2192.3160359363</definedName>
    <definedName name="MMBtu_per_US_Gal_to_kWh_per_L">77.4212040439477</definedName>
    <definedName name="MMBtu_per_US_Gal_to_kWh_per_m3">77421.2040439477</definedName>
    <definedName name="MMBtu_per_US_Gal_to_MWh_per_CCF">219.23160359363</definedName>
    <definedName name="MMBtu_per_US_Gal_to_MWh_per_ft3">2.1923160359363</definedName>
    <definedName name="MMBtu_per_US_Gal_to_MWh_per_L">0.0774212040439477</definedName>
    <definedName name="MMBtu_per_US_Gal_to_MWh_per_m3">77.4212040439477</definedName>
    <definedName name="MMBtu_per_US_Gal_to_therm_per_CCF">7480.49461030363</definedName>
    <definedName name="MMBtu_per_US_Gal_to_therm_per_ft3">74.8049461030363</definedName>
    <definedName name="MMBtu_per_US_Gal_to_therm_per_L">2.64172176857989</definedName>
    <definedName name="MMBtu_per_US_Gal_to_therm_per_m3">2641.72176857989</definedName>
    <definedName name="MMBtu_to_Joules">1055060000</definedName>
    <definedName name="MMBtu_to_kBtu">1000</definedName>
    <definedName name="MMBtu_to_kWh">293.071</definedName>
    <definedName name="MMBtu_to_MWh">0.293071</definedName>
    <definedName name="MMBtu_to_therm">10</definedName>
    <definedName name="MWh_per_Acre_to_Joules_per_ft2">82644.6280991736</definedName>
    <definedName name="MWh_per_Acre_to_Joules_per_m2">889578.586854994</definedName>
    <definedName name="MWh_per_Acre_to_kBtu_per_ft2">0.078331955922865</definedName>
    <definedName name="MWh_per_Acre_to_kBtu_per_m2">0.843157410930944</definedName>
    <definedName name="MWh_per_Acre_to_kWh_per_ft2">0.0229568411386593</definedName>
    <definedName name="MWh_per_Acre_to_kWh_per_m2">0.247105163015276</definedName>
    <definedName name="MWh_per_Acre_to_MMBtu_per_ft2">0.000078331955922865</definedName>
    <definedName name="MWh_per_Acre_to_MMBtu_per_m2">0.000843157410930944</definedName>
    <definedName name="MWh_per_Acre_to_therm_per_ft2">0.00078331955922865</definedName>
    <definedName name="MWh_per_Acre_to_therm_per_m2">0.00843157410930944</definedName>
    <definedName name="MWh_per_CCF_to_Joules_per_ft3">36000000</definedName>
    <definedName name="MWh_per_CCF_to_Joules_per_L">1271330.09379591</definedName>
    <definedName name="MWh_per_CCF_to_Joules_per_m3">1271330093.79591</definedName>
    <definedName name="MWh_per_CCF_to_Joules_per_US_Gal">4812499.66579863</definedName>
    <definedName name="MWh_per_CCF_to_kBtu_per_ft3">34.1214</definedName>
    <definedName name="MWh_per_CCF_to_kBtu_per_L">1.20498785173466</definedName>
    <definedName name="MWh_per_CCF_to_kBtu_per_m3">1204.98785173466</definedName>
    <definedName name="MWh_per_CCF_to_kBtu_per_US_Gal">4.56136739157171</definedName>
    <definedName name="MWh_per_CCF_to_kWh_per_ft3">10</definedName>
    <definedName name="MWh_per_CCF_to_kWh_per_L">0.353147248276641</definedName>
    <definedName name="MWh_per_CCF_to_kWh_per_m3">353.147248276641</definedName>
    <definedName name="MWh_per_CCF_to_kWh_per_US_Gal">1.33680546272184</definedName>
    <definedName name="MWh_per_CCF_to_MMBtu_per_ft3">0.0341214</definedName>
    <definedName name="MWh_per_CCF_to_MMBtu_per_L">0.00120498785173466</definedName>
    <definedName name="MWh_per_CCF_to_MMBtu_per_m3">1.20498785173466</definedName>
    <definedName name="MWh_per_CCF_to_MMBtu_per_US_Gal">0.00456136739157171</definedName>
    <definedName name="MWh_per_CCF_to_therm_per_ft3">0.341214</definedName>
    <definedName name="MWh_per_CCF_to_therm_per_L">0.0120498785173466</definedName>
    <definedName name="MWh_per_CCF_to_therm_per_m3">12.0498785173466</definedName>
    <definedName name="MWh_per_CCF_to_therm_per_US_Gal">0.0456136739157171</definedName>
    <definedName name="MWh_per_ft2_to_Joules_per_Acre">156816281014776</definedName>
    <definedName name="MWh_per_ft2_to_Joules_per_m2">38750094184.2567</definedName>
    <definedName name="MWh_per_ft2_to_kBtu_per_Acre">148633084.750488</definedName>
    <definedName name="MWh_per_ft2_to_kBtu_per_m2">36727.9851027416</definedName>
    <definedName name="MWh_per_ft2_to_kWh_per_Acre">43560078.0596599</definedName>
    <definedName name="MWh_per_ft2_to_kWh_per_m2">10763.9150511824</definedName>
    <definedName name="MWh_per_ft2_to_MMBtu_per_Acre">148633.084750488</definedName>
    <definedName name="MWh_per_ft2_to_MMBtu_per_m2">36.7279851027416</definedName>
    <definedName name="MWh_per_ft2_to_therm_per_Acre">1486330.84750488</definedName>
    <definedName name="MWh_per_ft2_to_therm_per_m2">367.279851027416</definedName>
    <definedName name="MWh_per_ft3_to_Joules_per_CCF">360000000000</definedName>
    <definedName name="MWh_per_ft3_to_Joules_per_L">127133009.379591</definedName>
    <definedName name="MWh_per_ft3_to_Joules_per_m3">127133009379.591</definedName>
    <definedName name="MWh_per_ft3_to_Joules_per_US_Gal">481249966.579863</definedName>
    <definedName name="MWh_per_ft3_to_kBtu_per_CCF">341214</definedName>
    <definedName name="MWh_per_ft3_to_kBtu_per_L">120.498785173466</definedName>
    <definedName name="MWh_per_ft3_to_kBtu_per_m3">120498.785173466</definedName>
    <definedName name="MWh_per_ft3_to_kBtu_per_US_Gal">456.136739157171</definedName>
    <definedName name="MWh_per_ft3_to_kWh_per_CCF">100000</definedName>
    <definedName name="MWh_per_ft3_to_kWh_per_L">35.3147248276641</definedName>
    <definedName name="MWh_per_ft3_to_kWh_per_m3">35314.7248276641</definedName>
    <definedName name="MWh_per_ft3_to_kWh_per_US_Gal">133.680546272184</definedName>
    <definedName name="MWh_per_ft3_to_MMBtu_per_CCF">341.214</definedName>
    <definedName name="MWh_per_ft3_to_MMBtu_per_L">0.120498785173466</definedName>
    <definedName name="MWh_per_ft3_to_MMBtu_per_m3">120.498785173466</definedName>
    <definedName name="MWh_per_ft3_to_MMBtu_per_US_Gal">0.456136739157171</definedName>
    <definedName name="MWh_per_ft3_to_therm_per_CCF">3412.14</definedName>
    <definedName name="MWh_per_ft3_to_therm_per_L">1.20498785173466</definedName>
    <definedName name="MWh_per_ft3_to_therm_per_m3">1204.98785173466</definedName>
    <definedName name="MWh_per_ft3_to_therm_per_US_Gal">4.56136739157171</definedName>
    <definedName name="MWh_per_L_to_Joules_per_CCF">10194055166828.5</definedName>
    <definedName name="MWh_per_L_to_Joules_per_ft3">101940551668.285</definedName>
    <definedName name="MWh_per_L_to_Joules_per_m3">3600000000000</definedName>
    <definedName name="MWh_per_L_to_Joules_per_US_Gal">13627485123.3287</definedName>
    <definedName name="MWh_per_L_to_kBtu_per_CCF">9662095.38803954</definedName>
    <definedName name="MWh_per_L_to_kBtu_per_ft3">96620.9538803954</definedName>
    <definedName name="MWh_per_L_to_kBtu_per_m3">3412140</definedName>
    <definedName name="MWh_per_L_to_kBtu_per_US_Gal">12916.357524643</definedName>
    <definedName name="MWh_per_L_to_kWh_per_CCF">2831681.99078571</definedName>
    <definedName name="MWh_per_L_to_kWh_per_ft3">28316.8199078571</definedName>
    <definedName name="MWh_per_L_to_kWh_per_m3">1000000</definedName>
    <definedName name="MWh_per_L_to_kWh_per_US_Gal">3785.41253425798</definedName>
    <definedName name="MWh_per_L_to_MMBtu_per_CCF">9662.09538803954</definedName>
    <definedName name="MWh_per_L_to_MMBtu_per_ft3">96.6209538803954</definedName>
    <definedName name="MWh_per_L_to_MMBtu_per_m3">3412.14</definedName>
    <definedName name="MWh_per_L_to_MMBtu_per_US_Gal">12.916357524643</definedName>
    <definedName name="MWh_per_L_to_therm_per_CCF">96620.9538803954</definedName>
    <definedName name="MWh_per_L_to_therm_per_ft3">966.209538803954</definedName>
    <definedName name="MWh_per_L_to_therm_per_m3">34121.4</definedName>
    <definedName name="MWh_per_L_to_therm_per_US_Gal">129.16357524643</definedName>
    <definedName name="MWh_per_m2_to_Joules_per_Acre">14568705610975.1</definedName>
    <definedName name="MWh_per_m2_to_Joules_per_ft2">334451267.663208</definedName>
    <definedName name="MWh_per_m2_to_kBtu_per_Acre">13808461.9898424</definedName>
    <definedName name="MWh_per_m2_to_kBtu_per_ft2">316.998485678983</definedName>
    <definedName name="MWh_per_m2_to_kWh_per_Acre">4046862.6697153</definedName>
    <definedName name="MWh_per_m2_to_kWh_per_ft2">92.9031299064466</definedName>
    <definedName name="MWh_per_m2_to_MMBtu_per_Acre">13808.4619898424</definedName>
    <definedName name="MWh_per_m2_to_MMBtu_per_ft2">0.316998485678983</definedName>
    <definedName name="MWh_per_m2_to_therm_per_Acre">138084.619898424</definedName>
    <definedName name="MWh_per_m2_to_therm_per_ft2">3.16998485678983</definedName>
    <definedName name="MWh_per_m3_to_Joules_per_CCF">10194055166.8285</definedName>
    <definedName name="MWh_per_m3_to_Joules_per_ft3">101940551.668285</definedName>
    <definedName name="MWh_per_m3_to_Joules_per_L">3600000</definedName>
    <definedName name="MWh_per_m3_to_Joules_per_US_Gal">13627485.1233287</definedName>
    <definedName name="MWh_per_m3_to_kBtu_per_CCF">9662.09538803954</definedName>
    <definedName name="MWh_per_m3_to_kBtu_per_ft3">96.6209538803954</definedName>
    <definedName name="MWh_per_m3_to_kBtu_per_L">3.41214</definedName>
    <definedName name="MWh_per_m3_to_kBtu_per_US_Gal">12.916357524643</definedName>
    <definedName name="MWh_per_m3_to_kWh_per_CCF">2831.68199078571</definedName>
    <definedName name="MWh_per_m3_to_kWh_per_ft3">28.3168199078571</definedName>
    <definedName name="MWh_per_m3_to_kWh_per_L">"="</definedName>
    <definedName name="MWh_per_m3_to_kWh_per_US_Gal">3.78541253425798</definedName>
    <definedName name="MWh_per_m3_to_MMBtu_per_CCF">9.66209538803954</definedName>
    <definedName name="MWh_per_m3_to_MMBtu_per_ft3">0.0966209538803954</definedName>
    <definedName name="MWh_per_m3_to_MMBtu_per_L">0.00341214</definedName>
    <definedName name="MWh_per_m3_to_MMBtu_per_US_Gal">0.012916357524643</definedName>
    <definedName name="MWh_per_m3_to_therm_per_CCF">96.6209538803954</definedName>
    <definedName name="MWh_per_m3_to_therm_per_ft3">0.966209538803954</definedName>
    <definedName name="MWh_per_m3_to_therm_per_L">0.0341214</definedName>
    <definedName name="MWh_per_m3_to_therm_per_US_Gal">0.12916357524643</definedName>
    <definedName name="MWh_per_US_Gal_to_Joules_per_CCF">2692978059709.31</definedName>
    <definedName name="MWh_per_US_Gal_to_Joules_per_ft3">26929780597.0931</definedName>
    <definedName name="MWh_per_US_Gal_to_Joules_per_L">951019836.68876</definedName>
    <definedName name="MWh_per_US_Gal_to_Joules_per_m3">951019836688.76</definedName>
    <definedName name="MWh_per_US_Gal_to_kBtu_per_CCF">2552449.48796014</definedName>
    <definedName name="MWh_per_US_Gal_to_kBtu_per_ft3">25524.4948796014</definedName>
    <definedName name="MWh_per_US_Gal_to_kBtu_per_L">901.392451544218</definedName>
    <definedName name="MWh_per_US_Gal_to_kBtu_per_m3">901392.451544218</definedName>
    <definedName name="MWh_per_US_Gal_to_kWh_per_CCF">748049.461030363</definedName>
    <definedName name="MWh_per_US_Gal_to_kWh_per_ft3">7480.49461030363</definedName>
    <definedName name="MWh_per_US_Gal_to_kWh_per_L">264.172176857989</definedName>
    <definedName name="MWh_per_US_Gal_to_kWh_per_m3">264172.176857989</definedName>
    <definedName name="MWh_per_US_Gal_to_MMBtu_per_CCF">2552.44948796014</definedName>
    <definedName name="MWh_per_US_Gal_to_MMBtu_per_ft3">25.5244948796014</definedName>
    <definedName name="MWh_per_US_Gal_to_MMBtu_per_L">0.901392451544218</definedName>
    <definedName name="MWh_per_US_Gal_to_MMBtu_per_m3">901.392451544218</definedName>
    <definedName name="MWh_per_US_Gal_to_therm_per_CCF">25524.4948796014</definedName>
    <definedName name="MWh_per_US_Gal_to_therm_per_ft3">255.244948796014</definedName>
    <definedName name="MWh_per_US_Gal_to_therm_per_L">9.01392451544218</definedName>
    <definedName name="MWh_per_US_Gal_to_therm_per_m3">9013.92451544219</definedName>
    <definedName name="MWh_to_Joules">3600000000</definedName>
    <definedName name="MWh_to_kBtu">3412.14</definedName>
    <definedName name="MWh_to_kWh">1000</definedName>
    <definedName name="MWh_to_MMBtu">3.41214</definedName>
    <definedName name="MWh_to_therm">34.1214</definedName>
    <definedName name="Propane_kBtu_per_US_Gal">Energy_Star_Scope_1_Constants!$B$3</definedName>
    <definedName name="Propane_kg_CO2_per_kBtu">Energy_Star_Scope_1_Constants!$D$3</definedName>
    <definedName name="Propane_kg_CO2_per_US_Gal">Energy_Star_Scope_1_Constants!$C$3</definedName>
    <definedName name="therm_per_Acre_to_Joules_per_ft2">2.42148760330579</definedName>
    <definedName name="therm_per_Acre_to_Joules_per_m2">26.0646525948513</definedName>
    <definedName name="therm_per_Acre_to_kBtu_per_ft2">0.00229568411386593</definedName>
    <definedName name="therm_per_Acre_to_kBtu_per_m2">0.0247105163015276</definedName>
    <definedName name="therm_per_Acre_to_kWh_per_ft2">0.000672798438934803</definedName>
    <definedName name="therm_per_Acre_to_kWh_per_m2">0.007241935723005</definedName>
    <definedName name="therm_per_Acre_to_MMBtu_per_ft2">2.29568411386593E-06</definedName>
    <definedName name="therm_per_Acre_to_MMBtu_per_m2">0.0000247105163015276</definedName>
    <definedName name="therm_per_Acre_to_MWh_per_ft2">6.72798438934803E-07</definedName>
    <definedName name="therm_per_Acre_to_MWh_per_m2">0.000007241935723005</definedName>
    <definedName name="therm_per_CCF_to_Joules_per_ft3">1054.8</definedName>
    <definedName name="therm_per_CCF_to_Joules_per_L">37.2499717482201</definedName>
    <definedName name="therm_per_CCF_to_Joules_per_m3">37249.9717482201</definedName>
    <definedName name="therm_per_CCF_to_Joules_per_US_Gal">141.0062402079</definedName>
    <definedName name="therm_per_CCF_to_kBtu_per_ft3">"="</definedName>
    <definedName name="therm_per_CCF_to_kBtu_per_L">0.0353147248276641</definedName>
    <definedName name="therm_per_CCF_to_kBtu_per_m3">35.3147248276641</definedName>
    <definedName name="therm_per_CCF_to_kBtu_per_US_Gal">0.133680546272184</definedName>
    <definedName name="therm_per_CCF_to_kWh_per_ft3">0.293071</definedName>
    <definedName name="therm_per_CCF_to_kWh_per_L">0.0103497217199684</definedName>
    <definedName name="therm_per_CCF_to_kWh_per_m3">10.3497217199684</definedName>
    <definedName name="therm_per_CCF_to_kWh_per_US_Gal">0.0391778913765353</definedName>
    <definedName name="therm_per_CCF_to_MMBtu_per_ft3">0.001</definedName>
    <definedName name="therm_per_CCF_to_MMBtu_per_L">0.0000353147248276641</definedName>
    <definedName name="therm_per_CCF_to_MMBtu_per_m3">0.0353147248276641</definedName>
    <definedName name="therm_per_CCF_to_MMBtu_per_US_Gal">0.000133680546272184</definedName>
    <definedName name="therm_per_CCF_to_MWh_per_ft3">0.000293071</definedName>
    <definedName name="therm_per_CCF_to_MWh_per_L">0.0000103497217199684</definedName>
    <definedName name="therm_per_CCF_to_MWh_per_m3">0.0103497217199684</definedName>
    <definedName name="therm_per_CCF_to_MWh_per_US_Gal">0.0000391778913765353</definedName>
    <definedName name="therm_per_ft2_to_Joules_per_Acre">4594717033.73292</definedName>
    <definedName name="therm_per_ft2_to_Joules_per_m2">1135377.75959872</definedName>
    <definedName name="therm_per_ft2_to_kBtu_per_Acre">4356007.80596599</definedName>
    <definedName name="therm_per_ft2_to_kBtu_per_m2">1076.39150511824</definedName>
    <definedName name="therm_per_ft2_to_kWh_per_Acre">1276619.56370226</definedName>
    <definedName name="therm_per_ft2_to_kWh_per_m2">315.459134796508</definedName>
    <definedName name="therm_per_ft2_to_MMBtu_per_Acre">4356.00780596599</definedName>
    <definedName name="therm_per_ft2_to_MMBtu_per_m2">1.07639150511824</definedName>
    <definedName name="therm_per_ft2_to_MWh_per_Acre">1276.61956370226</definedName>
    <definedName name="therm_per_ft2_to_MWh_per_m2">0.315459134796508</definedName>
    <definedName name="therm_per_ft3_to_Joules_per_CCF">10548000</definedName>
    <definedName name="therm_per_ft3_to_Joules_per_L">3724.99717482201</definedName>
    <definedName name="therm_per_ft3_to_Joules_per_m3">3724997.17482201</definedName>
    <definedName name="therm_per_ft3_to_Joules_per_US_Gal">14100.62402079</definedName>
    <definedName name="therm_per_ft3_to_kBtu_per_CCF">10000</definedName>
    <definedName name="therm_per_ft3_to_kBtu_per_L">3.53147248276641</definedName>
    <definedName name="therm_per_ft3_to_kBtu_per_m3">3531.47248276641</definedName>
    <definedName name="therm_per_ft3_to_kBtu_per_US_Gal">13.3680546272184</definedName>
    <definedName name="therm_per_ft3_to_kWh_per_CCF">2930.71</definedName>
    <definedName name="therm_per_ft3_to_kWh_per_L">1.03497217199684</definedName>
    <definedName name="therm_per_ft3_to_kWh_per_m3">1034.97217199684</definedName>
    <definedName name="therm_per_ft3_to_kWh_per_US_Gal">3.91778913765353</definedName>
    <definedName name="therm_per_ft3_to_MMBtu_per_CCF">10</definedName>
    <definedName name="therm_per_ft3_to_MMBtu_per_L">0.00353147248276641</definedName>
    <definedName name="therm_per_ft3_to_MMBtu_per_m3">3.53147248276641</definedName>
    <definedName name="therm_per_ft3_to_MMBtu_per_US_Gal">0.0133680546272184</definedName>
    <definedName name="therm_per_ft3_to_MWh_per_CCF">2.93071</definedName>
    <definedName name="therm_per_ft3_to_MWh_per_L">0.00103497217199684</definedName>
    <definedName name="therm_per_ft3_to_MWh_per_m3">1.03497217199684</definedName>
    <definedName name="therm_per_ft3_to_MWh_per_US_Gal">0.00391778913765353</definedName>
    <definedName name="therm_per_L_to_Joules_per_CCF">298685816.388076</definedName>
    <definedName name="therm_per_L_to_Joules_per_ft3">2986858.16388076</definedName>
    <definedName name="therm_per_L_to_Joules_per_m3">105480000</definedName>
    <definedName name="therm_per_L_to_Joules_per_US_Gal">399285.314113532</definedName>
    <definedName name="therm_per_L_to_kBtu_per_CCF">283168.199078571</definedName>
    <definedName name="therm_per_L_to_kBtu_per_ft3">2831.68199078571</definedName>
    <definedName name="therm_per_L_to_kBtu_per_m3">100000</definedName>
    <definedName name="therm_per_L_to_kBtu_per_US_Gal">378.541253425798</definedName>
    <definedName name="therm_per_L_to_kWh_per_CCF">82988.3872721558</definedName>
    <definedName name="therm_per_L_to_kWh_per_ft3">829.883872721558</definedName>
    <definedName name="therm_per_L_to_kWh_per_m3">29307.1</definedName>
    <definedName name="therm_per_L_to_kWh_per_US_Gal">110.939463682752</definedName>
    <definedName name="therm_per_L_to_MMBtu_per_CCF">283.168199078571</definedName>
    <definedName name="therm_per_L_to_MMBtu_per_ft3">2.83168199078571</definedName>
    <definedName name="therm_per_L_to_MMBtu_per_m3">100</definedName>
    <definedName name="therm_per_L_to_MMBtu_per_US_Gal">0.378541253425798</definedName>
    <definedName name="therm_per_L_to_MWh_per_CCF">82.9883872721558</definedName>
    <definedName name="therm_per_L_to_MWh_per_ft3">0.829883872721558</definedName>
    <definedName name="therm_per_L_to_MWh_per_m3">29.3071</definedName>
    <definedName name="therm_per_L_to_MWh_per_US_Gal">0.110939463682752</definedName>
    <definedName name="therm_per_m2_to_Joules_per_Acre">426863074.40157</definedName>
    <definedName name="therm_per_m2_to_Joules_per_ft2">9799.42214253198</definedName>
    <definedName name="therm_per_m2_to_kBtu_per_Acre">404686.26697153</definedName>
    <definedName name="therm_per_m2_to_kBtu_per_ft2">9.29031299064465</definedName>
    <definedName name="therm_per_m2_to_kWh_per_Acre">118601.808947613</definedName>
    <definedName name="therm_per_m2_to_kWh_per_ft2">2.72272131848122</definedName>
    <definedName name="therm_per_m2_to_MMBtu_per_Acre">404.68626697153</definedName>
    <definedName name="therm_per_m2_to_MMBtu_per_ft2">0.00929031299064466</definedName>
    <definedName name="therm_per_m2_to_MWh_per_Acre">118.601808947613</definedName>
    <definedName name="therm_per_m2_to_MWh_per_ft2">0.00272272131848122</definedName>
    <definedName name="therm_per_m3_to_Joules_per_CCF">298685.816388076</definedName>
    <definedName name="therm_per_m3_to_Joules_per_ft3">2986.85816388076</definedName>
    <definedName name="therm_per_m3_to_Joules_per_L">105.48</definedName>
    <definedName name="therm_per_m3_to_Joules_per_US_Gal">399.285314113532</definedName>
    <definedName name="therm_per_m3_to_kBtu_per_CCF">283.168199078571</definedName>
    <definedName name="therm_per_m3_to_kBtu_per_ft3">2.83168199078571</definedName>
    <definedName name="therm_per_m3_to_kBtu_per_L">0.1</definedName>
    <definedName name="therm_per_m3_to_kBtu_per_US_Gal">0.378541253425798</definedName>
    <definedName name="therm_per_m3_to_kWh_per_CCF">82.9883872721558</definedName>
    <definedName name="therm_per_m3_to_kWh_per_ft3">0.829883872721558</definedName>
    <definedName name="therm_per_m3_to_kWh_per_L">0.0293071</definedName>
    <definedName name="therm_per_m3_to_kWh_per_US_Gal">0.110939463682752</definedName>
    <definedName name="therm_per_m3_to_MMBtu_per_CCF">0.283168199078571</definedName>
    <definedName name="therm_per_m3_to_MMBtu_per_ft3">0.00283168199078571</definedName>
    <definedName name="therm_per_m3_to_MMBtu_per_L">0.0001</definedName>
    <definedName name="therm_per_m3_to_MMBtu_per_US_Gal">0.000378541253425798</definedName>
    <definedName name="therm_per_m3_to_MWh_per_CCF">0.0829883872721558</definedName>
    <definedName name="therm_per_m3_to_MWh_per_ft3">0.000829883872721558</definedName>
    <definedName name="therm_per_m3_to_MWh_per_L">0.0000293071</definedName>
    <definedName name="therm_per_m3_to_MWh_per_US_Gal">0.000110939463682752</definedName>
    <definedName name="therm_per_US_Gal_to_Joules_per_CCF">78904257.1494827</definedName>
    <definedName name="therm_per_US_Gal_to_Joules_per_ft3">789042.571494827</definedName>
    <definedName name="therm_per_US_Gal_to_Joules_per_L">27864.8812149807</definedName>
    <definedName name="therm_per_US_Gal_to_Joules_per_m3">27864881.2149807</definedName>
    <definedName name="therm_per_US_Gal_to_kBtu_per_CCF">74804.9461030363</definedName>
    <definedName name="therm_per_US_Gal_to_kBtu_per_ft3">748.049461030363</definedName>
    <definedName name="therm_per_US_Gal_to_kBtu_per_L">26.4172176857989</definedName>
    <definedName name="therm_per_US_Gal_to_kBtu_per_m3">26417.2176857989</definedName>
    <definedName name="therm_per_US_Gal_to_kWh_per_CCF">21923.160359363</definedName>
    <definedName name="therm_per_US_Gal_to_kWh_per_ft3">219.23160359363</definedName>
    <definedName name="therm_per_US_Gal_to_kWh_per_L">7.74212040439477</definedName>
    <definedName name="therm_per_US_Gal_to_kWh_per_m3">7742.12040439477</definedName>
    <definedName name="therm_per_US_Gal_to_MMBtu_per_CCF">74.8049461030363</definedName>
    <definedName name="therm_per_US_Gal_to_MMBtu_per_ft3">0.748049461030363</definedName>
    <definedName name="therm_per_US_Gal_to_MMBtu_per_L">0.0264172176857989</definedName>
    <definedName name="therm_per_US_Gal_to_MMBtu_per_m3">26.4172176857989</definedName>
    <definedName name="therm_per_US_Gal_to_MWh_per_CCF">21.923160359363</definedName>
    <definedName name="therm_per_US_Gal_to_MWh_per_ft3">0.21923160359363</definedName>
    <definedName name="therm_per_US_Gal_to_MWh_per_L">0.00774212040439477</definedName>
    <definedName name="therm_per_US_Gal_to_MWh_per_m3">7.74212040439477</definedName>
    <definedName name="therm_to_Joules">105480</definedName>
    <definedName name="therm_to_kBtu">100</definedName>
    <definedName name="therm_to_kWh">29.3071</definedName>
    <definedName name="therm_to_MMBtu">0.1</definedName>
    <definedName name="therm_to_MWh">0.0293071</definedName>
    <definedName name="US_Gal_to_CCF">0.00133681</definedName>
    <definedName name="US_Gal_to_ft3">0.133681</definedName>
    <definedName name="US_Gal_to_L">3.78541</definedName>
    <definedName name="US_Gal_to_m3">0.00378541</definedName>
    <definedName name="US_Ton_CO2e_per_year_to_kg_CO2e_per_year">907.185</definedName>
    <definedName name="US_Ton_CO2e_per_year_to_lbs_CO2e_per_year">2000</definedName>
    <definedName name="US_Ton_CO2e_per_year_to_Metric_Ton_CO2e_per_year">0.907185</definedName>
    <definedName name="US_Ton_per_Acre_to_kg_per_ft2">0.0208261019283747</definedName>
    <definedName name="US_Ton_per_Acre_to_kg_per_m2">0.224170097310013</definedName>
    <definedName name="US_Ton_per_Acre_to_lb_per_ft2">0.0459136822773186</definedName>
    <definedName name="US_Ton_per_Acre_to_lb_per_m2">0.494210326030552</definedName>
    <definedName name="US_Ton_per_Acre_to_Metric_Tonne_per_ft2">0.0000208261019283747</definedName>
    <definedName name="US_Ton_per_Acre_to_Metric_Tonne_per_m2">0.000224170097310013</definedName>
    <definedName name="US_Ton_per_CCF_to_kg_per_ft3">9.07185</definedName>
    <definedName name="US_Ton_per_CCF_to_kg_per_L">0.320369886427845</definedName>
    <definedName name="US_Ton_per_CCF_to_kg_per_m3">320.369886427845</definedName>
    <definedName name="US_Ton_per_CCF_to_kg_per_US_Gal">1.21272986369931</definedName>
    <definedName name="US_Ton_per_CCF_to_lb_per_ft3">20</definedName>
    <definedName name="US_Ton_per_CCF_to_lb_per_L">0.706294496553283</definedName>
    <definedName name="US_Ton_per_CCF_to_lb_per_m3">706.294496553283</definedName>
    <definedName name="US_Ton_per_CCF_to_lb_per_US_Gal">2.67361092544369</definedName>
    <definedName name="US_Ton_per_CCF_to_Metric_Tonne_per_ft3">0.00907185</definedName>
    <definedName name="US_Ton_per_CCF_to_Metric_Tonne_per_L">0.000320369886427845</definedName>
    <definedName name="US_Ton_per_CCF_to_Metric_Tonne_per_m3">0.320369886427845</definedName>
    <definedName name="US_Ton_per_CCF_to_Metric_Tonne_per_US_Gal">0.00121272986369932</definedName>
    <definedName name="US_Ton_per_ft2_to_kg_per_Acre">39517049.4145525</definedName>
    <definedName name="US_Ton_per_ft2_to_kg_per_m2">9764.86227570692</definedName>
    <definedName name="US_Ton_per_ft2_to_lb_per_Acre">87120156.1193198</definedName>
    <definedName name="US_Ton_per_ft2_to_lb_per_m2">21527.8301023648</definedName>
    <definedName name="US_Ton_per_ft2_to_Metric_Tonne_per_Acre">39517.0494145526</definedName>
    <definedName name="US_Ton_per_ft2_to_Metric_Tonne_per_m2">9.76486227570692</definedName>
    <definedName name="US_Ton_per_ft3_to_kg_per_CCF">90718.5</definedName>
    <definedName name="US_Ton_per_ft3_to_kg_per_L">32.0369886427845</definedName>
    <definedName name="US_Ton_per_ft3_to_kg_per_m3">32036.9886427845</definedName>
    <definedName name="US_Ton_per_ft3_to_kg_per_US_Gal">121.272986369931</definedName>
    <definedName name="US_Ton_per_ft3_to_lb_per_CCF">200000</definedName>
    <definedName name="US_Ton_per_ft3_to_lb_per_L">70.6294496553283</definedName>
    <definedName name="US_Ton_per_ft3_to_lb_per_m3">70629.4496553283</definedName>
    <definedName name="US_Ton_per_ft3_to_lb_per_US_Gal">267.361092544369</definedName>
    <definedName name="US_Ton_per_ft3_to_Metric_Tonne_per_CCF">90.7185</definedName>
    <definedName name="US_Ton_per_ft3_to_Metric_Tonne_per_L">0.0320369886427845</definedName>
    <definedName name="US_Ton_per_ft3_to_Metric_Tonne_per_m3">32.0369886427845</definedName>
    <definedName name="US_Ton_per_ft3_to_Metric_Tonne_per_US_Gal">0.121272986369932</definedName>
    <definedName name="US_Ton_per_Joules_to_kg_per_kBtu">957130.965154666</definedName>
    <definedName name="US_Ton_per_Joules_to_kg_per_kWh">3265863387.30929</definedName>
    <definedName name="US_Ton_per_Joules_to_kg_per_MMBtu">957130965.154666</definedName>
    <definedName name="US_Ton_per_Joules_to_kg_per_MWh">3265863387309.29</definedName>
    <definedName name="US_Ton_per_Joules_to_kg_per_therm">95690279.8712717</definedName>
    <definedName name="US_Ton_per_Joules_to_lb_per_kBtu">2110111.97309185</definedName>
    <definedName name="US_Ton_per_Joules_to_lb_per_kWh">7199994240.00461</definedName>
    <definedName name="US_Ton_per_Joules_to_lb_per_MMBtu">2110111973.09185</definedName>
    <definedName name="US_Ton_per_Joules_to_lb_per_MWh">7199994240004.61</definedName>
    <definedName name="US_Ton_per_Joules_to_lb_per_therm">210960895.233655</definedName>
    <definedName name="US_Ton_per_Joules_to_Metric_Tonne_per_kBtu">957.130965154666</definedName>
    <definedName name="US_Ton_per_Joules_to_Metric_Tonne_per_kWh">3265863.38730929</definedName>
    <definedName name="US_Ton_per_Joules_to_Metric_Tonne_per_MMBtu">957130.965154666</definedName>
    <definedName name="US_Ton_per_Joules_to_Metric_Tonne_per_MWh">3265863387.30929</definedName>
    <definedName name="US_Ton_per_Joules_to_Metric_Tonne_per_therm">95690.2798712717</definedName>
    <definedName name="US_Ton_per_kBtu_to_kg_per_Joules">0.859842094288476</definedName>
    <definedName name="US_Ton_per_kBtu_to_kg_per_kWh">3095.44444861484</definedName>
    <definedName name="US_Ton_per_kBtu_to_kg_per_MMBtu">907185</definedName>
    <definedName name="US_Ton_per_kBtu_to_kg_per_MWh">3095444.44861484</definedName>
    <definedName name="US_Ton_per_kBtu_to_kg_per_therm">90718.5</definedName>
    <definedName name="US_Ton_per_kBtu_to_lb_per_Joules">1.89562678899778</definedName>
    <definedName name="US_Ton_per_kBtu_to_lb_per_kWh">6824.28490024602</definedName>
    <definedName name="US_Ton_per_kBtu_to_lb_per_MMBtu">2000000</definedName>
    <definedName name="US_Ton_per_kBtu_to_lb_per_MWh">6824284.90024602</definedName>
    <definedName name="US_Ton_per_kBtu_to_lb_per_therm">200000</definedName>
    <definedName name="US_Ton_per_kBtu_to_Metric_Tonne_per_Joules">0.000859842094288477</definedName>
    <definedName name="US_Ton_per_kBtu_to_Metric_Tonne_per_kWh">3.09544444861484</definedName>
    <definedName name="US_Ton_per_kBtu_to_Metric_Tonne_per_MMBtu">907.185</definedName>
    <definedName name="US_Ton_per_kBtu_to_Metric_Tonne_per_MWh">3095.44444861484</definedName>
    <definedName name="US_Ton_per_kBtu_to_Metric_Tonne_per_therm">90.7185</definedName>
    <definedName name="US_Ton_per_kWh_to_kg_per_Joules">0.000251995833333333</definedName>
    <definedName name="US_Ton_per_kWh_to_kg_per_kBtu">265.869806045473</definedName>
    <definedName name="US_Ton_per_kWh_to_kg_per_MMBtu">265869.806045473</definedName>
    <definedName name="US_Ton_per_kWh_to_kg_per_MWh">907185</definedName>
    <definedName name="US_Ton_per_kWh_to_kg_per_therm">26586.9806045473</definedName>
    <definedName name="US_Ton_per_kWh_to_lb_per_Joules">0.000555555555555556</definedName>
    <definedName name="US_Ton_per_kWh_to_lb_per_kBtu">586.142420885427</definedName>
    <definedName name="US_Ton_per_kWh_to_lb_per_MMBtu">586142.420885427</definedName>
    <definedName name="US_Ton_per_kWh_to_lb_per_MWh">2000000</definedName>
    <definedName name="US_Ton_per_kWh_to_lb_per_therm">58614.2420885427</definedName>
    <definedName name="US_Ton_per_kWh_to_Metric_Tonne_per_Joules">2.51995833333333E-07</definedName>
    <definedName name="US_Ton_per_kWh_to_Metric_Tonne_per_kBtu">0.265869806045473</definedName>
    <definedName name="US_Ton_per_kWh_to_Metric_Tonne_per_MMBtu">265.869806045473</definedName>
    <definedName name="US_Ton_per_kWh_to_Metric_Tonne_per_MWh">907.185</definedName>
    <definedName name="US_Ton_per_kWh_to_Metric_Tonne_per_therm">26.5869806045473</definedName>
    <definedName name="US_Ton_per_L_to_kg_per_CCF">2568859.42681093</definedName>
    <definedName name="US_Ton_per_L_to_kg_per_ft3">25688.5942681093</definedName>
    <definedName name="US_Ton_per_L_to_kg_per_m3">907185</definedName>
    <definedName name="US_Ton_per_L_to_kg_per_US_Gal">3434.06946989083</definedName>
    <definedName name="US_Ton_per_L_to_lb_per_CCF">5663363.98157141</definedName>
    <definedName name="US_Ton_per_L_to_lb_per_ft3">56633.6398157141</definedName>
    <definedName name="US_Ton_per_L_to_lb_per_m3">2000000</definedName>
    <definedName name="US_Ton_per_L_to_lb_per_US_Gal">7570.82506851597</definedName>
    <definedName name="US_Ton_per_L_to_Metric_Tonne_per_CCF">2568.85942681093</definedName>
    <definedName name="US_Ton_per_L_to_Metric_Tonne_per_ft3">25.6885942681093</definedName>
    <definedName name="US_Ton_per_L_to_Metric_Tonne_per_m3">907.185</definedName>
    <definedName name="US_Ton_per_L_to_Metric_Tonne_per_US_Gal">3.43406946989083</definedName>
    <definedName name="US_Ton_per_m2_to_kg_per_Acre">3671253.11102568</definedName>
    <definedName name="US_Ton_per_m2_to_kg_per_ft2">84.2803259041797</definedName>
    <definedName name="US_Ton_per_m2_to_lb_per_Acre">8093725.33943061</definedName>
    <definedName name="US_Ton_per_m2_to_lb_per_ft2">185.806259812893</definedName>
    <definedName name="US_Ton_per_m2_to_Metric_Tonne_per_Acre">3671.25311102568</definedName>
    <definedName name="US_Ton_per_m2_to_Metric_Tonne_per_ft2">0.0842803259041797</definedName>
    <definedName name="US_Ton_per_m3_to_kg_per_CCF">2568.85942681093</definedName>
    <definedName name="US_Ton_per_m3_to_kg_per_ft3">25.6885942681093</definedName>
    <definedName name="US_Ton_per_m3_to_kg_per_L">0.907185</definedName>
    <definedName name="US_Ton_per_m3_to_kg_per_US_Gal">3.43406946989083</definedName>
    <definedName name="US_Ton_per_m3_to_lb_per_CCF">5663.36398157141</definedName>
    <definedName name="US_Ton_per_m3_to_lb_per_ft3">56.6336398157141</definedName>
    <definedName name="US_Ton_per_m3_to_lb_per_L">2</definedName>
    <definedName name="US_Ton_per_m3_to_lb_per_US_Gal">7.57082506851597</definedName>
    <definedName name="US_Ton_per_m3_to_Metric_Tonne_per_CCF">2.56885942681093</definedName>
    <definedName name="US_Ton_per_m3_to_Metric_Tonne_per_ft3">0.0256885942681093</definedName>
    <definedName name="US_Ton_per_m3_to_Metric_Tonne_per_L">0.000907185</definedName>
    <definedName name="US_Ton_per_m3_to_Metric_Tonne_per_US_Gal">0.00343406946989083</definedName>
    <definedName name="US_Ton_per_MMBtu_to_kg_per_Joules">8.59842094288476E-07</definedName>
    <definedName name="US_Ton_per_MMBtu_to_kg_per_kBtu">0.907185</definedName>
    <definedName name="US_Ton_per_MMBtu_to_kg_per_kWh">3.09544444861484</definedName>
    <definedName name="US_Ton_per_MMBtu_to_kg_per_MWh">3095.44444861484</definedName>
    <definedName name="US_Ton_per_MMBtu_to_kg_per_therm">90.7185</definedName>
    <definedName name="US_Ton_per_MMBtu_to_lb_per_Joules">1.89562678899778E-06</definedName>
    <definedName name="US_Ton_per_MMBtu_to_lb_per_kBtu">2</definedName>
    <definedName name="US_Ton_per_MMBtu_to_lb_per_kWh">6.82428490024602</definedName>
    <definedName name="US_Ton_per_MMBtu_to_lb_per_MWh">6824.28490024602</definedName>
    <definedName name="US_Ton_per_MMBtu_to_lb_per_therm">200</definedName>
    <definedName name="US_Ton_per_MMBtu_to_Metric_Tonne_per_Joules">8.59842094288477E-10</definedName>
    <definedName name="US_Ton_per_MMBtu_to_Metric_Tonne_per_kBtu">0.000907185</definedName>
    <definedName name="US_Ton_per_MMBtu_to_Metric_Tonne_per_kWh">0.00309544444861484</definedName>
    <definedName name="US_Ton_per_MMBtu_to_Metric_Tonne_per_MWh">3.09544444861484</definedName>
    <definedName name="US_Ton_per_MMBtu_to_Metric_Tonne_per_therm">0.0907185</definedName>
    <definedName name="US_Ton_per_MWh_to_kg_per_Joules">2.51995833333333E-07</definedName>
    <definedName name="US_Ton_per_MWh_to_kg_per_kBtu">0.265869806045473</definedName>
    <definedName name="US_Ton_per_MWh_to_kg_per_kWh">0.907185</definedName>
    <definedName name="US_Ton_per_MWh_to_kg_per_MMBtu">265.869806045473</definedName>
    <definedName name="US_Ton_per_MWh_to_kg_per_therm">26.5869806045473</definedName>
    <definedName name="US_Ton_per_MWh_to_lb_per_Joules">5.55555555555556E-07</definedName>
    <definedName name="US_Ton_per_MWh_to_lb_per_kBtu">0.586142420885427</definedName>
    <definedName name="US_Ton_per_MWh_to_lb_per_kWh">2</definedName>
    <definedName name="US_Ton_per_MWh_to_lb_per_MMBtu">586.142420885427</definedName>
    <definedName name="US_Ton_per_MWh_to_lb_per_therm">58.6142420885427</definedName>
    <definedName name="US_Ton_per_MWh_to_Metric_Tonne_per_Joules">2.51995833333333E-10</definedName>
    <definedName name="US_Ton_per_MWh_to_Metric_Tonne_per_kBtu">0.000265869806045473</definedName>
    <definedName name="US_Ton_per_MWh_to_Metric_Tonne_per_kWh">0.000907185</definedName>
    <definedName name="US_Ton_per_MWh_to_Metric_Tonne_per_MMBtu">0.265869806045473</definedName>
    <definedName name="US_Ton_per_MWh_to_Metric_Tonne_per_therm">0.0265869806045473</definedName>
    <definedName name="US_Ton_per_therm_to_kg_per_Joules">0.00860054038680319</definedName>
    <definedName name="US_Ton_per_therm_to_kg_per_kBtu">9.07185</definedName>
    <definedName name="US_Ton_per_therm_to_kg_per_kWh">30.9544444861484</definedName>
    <definedName name="US_Ton_per_therm_to_kg_per_MMBtu">9071.85</definedName>
    <definedName name="US_Ton_per_therm_to_kg_per_MWh">30954.4444861484</definedName>
    <definedName name="US_Ton_per_therm_to_lb_per_Joules">0.0189609404626469</definedName>
    <definedName name="US_Ton_per_therm_to_lb_per_kBtu">20</definedName>
    <definedName name="US_Ton_per_therm_to_lb_per_kWh">68.2428490024602</definedName>
    <definedName name="US_Ton_per_therm_to_lb_per_MMBtu">20000</definedName>
    <definedName name="US_Ton_per_therm_to_lb_per_MWh">68242.8490024602</definedName>
    <definedName name="US_Ton_per_therm_to_Metric_Tonne_per_Joules">8.60054038680319E-06</definedName>
    <definedName name="US_Ton_per_therm_to_Metric_Tonne_per_kBtu">0.00907185</definedName>
    <definedName name="US_Ton_per_therm_to_Metric_Tonne_per_kWh">0.0309544444861484</definedName>
    <definedName name="US_Ton_per_therm_to_Metric_Tonne_per_MMBtu">9.07185</definedName>
    <definedName name="US_Ton_per_therm_to_Metric_Tonne_per_MWh">30.9544444861484</definedName>
    <definedName name="US_Ton_per_US_Gal_to_kg_per_CCF">678619.25030483</definedName>
    <definedName name="US_Ton_per_US_Gal_to_kg_per_ft3">6786.1925030483</definedName>
    <definedName name="US_Ton_per_US_Gal_to_kg_per_L">239.653036262915</definedName>
    <definedName name="US_Ton_per_US_Gal_to_kg_per_m3">239653.036262915</definedName>
    <definedName name="US_Ton_per_US_Gal_to_lb_per_CCF">1496098.92206073</definedName>
    <definedName name="US_Ton_per_US_Gal_to_lb_per_ft3">14960.9892206073</definedName>
    <definedName name="US_Ton_per_US_Gal_to_lb_per_L">528.344353715978</definedName>
    <definedName name="US_Ton_per_US_Gal_to_lb_per_m3">528344.353715978</definedName>
    <definedName name="US_Ton_per_US_Gal_to_Metric_Tonne_per_CCF">678.61925030483</definedName>
    <definedName name="US_Ton_per_US_Gal_to_Metric_Tonne_per_ft3">6.7861925030483</definedName>
    <definedName name="US_Ton_per_US_Gal_to_Metric_Tonne_per_L">0.239653036262915</definedName>
    <definedName name="US_Ton_per_US_Gal_to_Metric_Tonne_per_m3">239.653036262915</definedName>
    <definedName name="US_Ton_to_kg">907.185</definedName>
    <definedName name="US_Ton_to_lb">2000</definedName>
    <definedName name="US_Ton_to_Metric_Tonne">0.907185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1" i="2" l="1"/>
  <c r="D1521" i="2"/>
  <c r="E1520" i="2"/>
  <c r="D1520" i="2"/>
  <c r="E1519" i="2"/>
  <c r="D1519" i="2"/>
  <c r="E1518" i="2"/>
  <c r="D1518" i="2"/>
  <c r="E1515" i="2"/>
  <c r="E1514" i="2"/>
  <c r="E1511" i="2"/>
  <c r="D1511" i="2"/>
  <c r="E1510" i="2"/>
  <c r="E1509" i="2"/>
  <c r="E1508" i="2"/>
  <c r="E1507" i="2"/>
  <c r="E1506" i="2"/>
  <c r="E1505" i="2"/>
  <c r="E1504" i="2"/>
  <c r="E1503" i="2"/>
  <c r="E1502" i="2"/>
  <c r="E1501" i="2"/>
  <c r="D1501" i="2"/>
  <c r="E1500" i="2"/>
  <c r="E1499" i="2"/>
  <c r="E1498" i="2"/>
  <c r="E1497" i="2"/>
  <c r="E1496" i="2"/>
  <c r="E1495" i="2"/>
  <c r="E1494" i="2"/>
  <c r="E1491" i="2"/>
  <c r="D1491" i="2"/>
  <c r="E1490" i="2"/>
  <c r="E1488" i="2"/>
  <c r="E1487" i="2"/>
  <c r="E1486" i="2"/>
  <c r="E1485" i="2"/>
  <c r="E1484" i="2"/>
  <c r="E1483" i="2"/>
  <c r="E1482" i="2"/>
  <c r="D1482" i="2"/>
  <c r="E1480" i="2"/>
  <c r="E1478" i="2"/>
  <c r="E1476" i="2"/>
  <c r="E1474" i="2"/>
  <c r="E1473" i="2"/>
  <c r="E1472" i="2"/>
  <c r="D1472" i="2"/>
  <c r="E1471" i="2"/>
  <c r="E1470" i="2"/>
  <c r="E1468" i="2"/>
  <c r="E1466" i="2"/>
  <c r="E1464" i="2"/>
  <c r="D1462" i="2"/>
  <c r="E1460" i="2"/>
  <c r="E1459" i="2"/>
  <c r="E1456" i="2"/>
  <c r="E1455" i="2"/>
  <c r="E1452" i="2"/>
  <c r="D1452" i="2"/>
  <c r="E1451" i="2"/>
  <c r="E1450" i="2"/>
  <c r="E1449" i="2"/>
  <c r="E1448" i="2"/>
  <c r="E1447" i="2"/>
  <c r="E1446" i="2"/>
  <c r="E1445" i="2"/>
  <c r="E1444" i="2"/>
  <c r="E1443" i="2"/>
  <c r="E1442" i="2"/>
  <c r="D1442" i="2"/>
  <c r="E1441" i="2"/>
  <c r="E1440" i="2"/>
  <c r="E1439" i="2"/>
  <c r="E1436" i="2"/>
  <c r="E1435" i="2"/>
  <c r="E1432" i="2"/>
  <c r="D1432" i="2"/>
  <c r="E1431" i="2"/>
  <c r="E1428" i="2"/>
  <c r="D1428" i="2"/>
  <c r="E1427" i="2"/>
  <c r="D1427" i="2"/>
  <c r="E1426" i="2"/>
  <c r="D1426" i="2"/>
  <c r="D1425" i="2"/>
  <c r="E1424" i="2"/>
  <c r="D1424" i="2"/>
  <c r="D1423" i="2"/>
  <c r="E1422" i="2"/>
  <c r="D1422" i="2"/>
  <c r="D1421" i="2"/>
  <c r="E1420" i="2"/>
  <c r="D1420" i="2"/>
  <c r="D1419" i="2"/>
  <c r="E1418" i="2"/>
  <c r="E1416" i="2"/>
  <c r="E1414" i="2"/>
  <c r="E1412" i="2"/>
  <c r="D1412" i="2"/>
  <c r="E1410" i="2"/>
  <c r="E1408" i="2"/>
  <c r="E1406" i="2"/>
  <c r="E1404" i="2"/>
  <c r="E1402" i="2"/>
  <c r="D1402" i="2"/>
  <c r="E1401" i="2"/>
  <c r="E1400" i="2"/>
  <c r="E1399" i="2"/>
  <c r="E1396" i="2"/>
  <c r="E1395" i="2"/>
  <c r="E1394" i="2"/>
  <c r="E1393" i="2"/>
  <c r="E1392" i="2"/>
  <c r="D1392" i="2"/>
  <c r="E1391" i="2"/>
  <c r="E1390" i="2"/>
  <c r="E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D1374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D1361" i="2"/>
  <c r="E1360" i="2"/>
  <c r="D1360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D1349" i="2"/>
  <c r="E1348" i="2"/>
  <c r="D1348" i="2"/>
  <c r="D1347" i="2"/>
  <c r="E1346" i="2"/>
  <c r="D1346" i="2"/>
  <c r="E1345" i="2"/>
  <c r="D1345" i="2"/>
  <c r="E1344" i="2"/>
  <c r="D1344" i="2"/>
  <c r="E1343" i="2"/>
  <c r="D1343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D1335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D1319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D1311" i="2"/>
  <c r="D1310" i="2"/>
  <c r="E1309" i="2"/>
  <c r="D1309" i="2"/>
  <c r="E1308" i="2"/>
  <c r="D1308" i="2"/>
  <c r="E1307" i="2"/>
  <c r="D1307" i="2"/>
  <c r="D1306" i="2"/>
  <c r="E1305" i="2"/>
  <c r="D1305" i="2"/>
  <c r="D1304" i="2"/>
  <c r="E1303" i="2"/>
  <c r="D1303" i="2"/>
  <c r="E1302" i="2"/>
  <c r="D1302" i="2"/>
  <c r="E1301" i="2"/>
  <c r="D1301" i="2"/>
  <c r="E1300" i="2"/>
  <c r="D1300" i="2"/>
  <c r="E1299" i="2"/>
  <c r="D1299" i="2"/>
  <c r="D1298" i="2"/>
  <c r="E1297" i="2"/>
  <c r="D1297" i="2"/>
  <c r="D1296" i="2"/>
  <c r="E1295" i="2"/>
  <c r="D1295" i="2"/>
  <c r="D1294" i="2"/>
  <c r="E1293" i="2"/>
  <c r="D1293" i="2"/>
  <c r="D1292" i="2"/>
  <c r="E1291" i="2"/>
  <c r="D1291" i="2"/>
  <c r="E1290" i="2"/>
  <c r="D1290" i="2"/>
  <c r="E1289" i="2"/>
  <c r="E1288" i="2"/>
  <c r="E1287" i="2"/>
  <c r="E1285" i="2"/>
  <c r="D1283" i="2"/>
  <c r="E1281" i="2"/>
  <c r="E1280" i="2"/>
  <c r="E1277" i="2"/>
  <c r="E1276" i="2"/>
  <c r="E1275" i="2"/>
  <c r="E1274" i="2"/>
  <c r="E1273" i="2"/>
  <c r="D1273" i="2"/>
  <c r="E1272" i="2"/>
  <c r="E1271" i="2"/>
  <c r="E1270" i="2"/>
  <c r="E1269" i="2"/>
  <c r="E1268" i="2"/>
  <c r="E1265" i="2"/>
  <c r="E1264" i="2"/>
  <c r="E1263" i="2"/>
  <c r="D1263" i="2"/>
  <c r="E1262" i="2"/>
  <c r="E1261" i="2"/>
  <c r="E1260" i="2"/>
  <c r="E1259" i="2"/>
  <c r="E1258" i="2"/>
  <c r="E1257" i="2"/>
  <c r="E1256" i="2"/>
  <c r="E1255" i="2"/>
  <c r="E1254" i="2"/>
  <c r="E1253" i="2"/>
  <c r="D1253" i="2"/>
  <c r="E1252" i="2"/>
  <c r="E1251" i="2"/>
  <c r="E1250" i="2"/>
  <c r="E1249" i="2"/>
  <c r="E1248" i="2"/>
  <c r="E1247" i="2"/>
  <c r="E1246" i="2"/>
  <c r="E1245" i="2"/>
  <c r="E1244" i="2"/>
  <c r="D1243" i="2"/>
  <c r="E1241" i="2"/>
  <c r="E1240" i="2"/>
  <c r="E1237" i="2"/>
  <c r="E1236" i="2"/>
  <c r="E1235" i="2"/>
  <c r="E1234" i="2"/>
  <c r="E1233" i="2"/>
  <c r="D1233" i="2"/>
  <c r="E1232" i="2"/>
  <c r="E1231" i="2"/>
  <c r="E1230" i="2"/>
  <c r="E1229" i="2"/>
  <c r="D1229" i="2"/>
  <c r="E1228" i="2"/>
  <c r="D1228" i="2"/>
  <c r="D1227" i="2"/>
  <c r="D1226" i="2"/>
  <c r="E1225" i="2"/>
  <c r="D1225" i="2"/>
  <c r="E1224" i="2"/>
  <c r="D1224" i="2"/>
  <c r="E1223" i="2"/>
  <c r="D1223" i="2"/>
  <c r="D1222" i="2"/>
  <c r="E1221" i="2"/>
  <c r="D1221" i="2"/>
  <c r="D1220" i="2"/>
  <c r="E1219" i="2"/>
  <c r="E1217" i="2"/>
  <c r="E1216" i="2"/>
  <c r="E1215" i="2"/>
  <c r="E1214" i="2"/>
  <c r="D1214" i="2"/>
  <c r="E1213" i="2"/>
  <c r="E1212" i="2"/>
  <c r="E1211" i="2"/>
  <c r="E1210" i="2"/>
  <c r="E1209" i="2"/>
  <c r="E1208" i="2"/>
  <c r="E1206" i="2"/>
  <c r="E1204" i="2"/>
  <c r="D1204" i="2"/>
  <c r="E1202" i="2"/>
  <c r="E1200" i="2"/>
  <c r="E1198" i="2"/>
  <c r="E1196" i="2"/>
  <c r="E1195" i="2"/>
  <c r="E1194" i="2"/>
  <c r="D1194" i="2"/>
  <c r="E1193" i="2"/>
  <c r="E1192" i="2"/>
  <c r="E1191" i="2"/>
  <c r="E1190" i="2"/>
  <c r="E1189" i="2"/>
  <c r="E1188" i="2"/>
  <c r="E1186" i="2"/>
  <c r="D1184" i="2"/>
  <c r="E1182" i="2"/>
  <c r="E1181" i="2"/>
  <c r="E1178" i="2"/>
  <c r="E1177" i="2"/>
  <c r="E1176" i="2"/>
  <c r="E1175" i="2"/>
  <c r="E1174" i="2"/>
  <c r="D1174" i="2"/>
  <c r="E1173" i="2"/>
  <c r="E1172" i="2"/>
  <c r="E1171" i="2"/>
  <c r="E1170" i="2"/>
  <c r="E1169" i="2"/>
  <c r="E1166" i="2"/>
  <c r="E1165" i="2"/>
  <c r="E1164" i="2"/>
  <c r="D1164" i="2"/>
  <c r="E1163" i="2"/>
  <c r="E1162" i="2"/>
  <c r="E1161" i="2"/>
  <c r="E1160" i="2"/>
  <c r="E1159" i="2"/>
  <c r="E1158" i="2"/>
  <c r="E1157" i="2"/>
  <c r="E1156" i="2"/>
  <c r="E1155" i="2"/>
  <c r="E1154" i="2"/>
  <c r="D1154" i="2"/>
  <c r="E1153" i="2"/>
  <c r="E1152" i="2"/>
  <c r="E1151" i="2"/>
  <c r="E1150" i="2"/>
  <c r="E1149" i="2"/>
  <c r="E1148" i="2"/>
  <c r="E1147" i="2"/>
  <c r="E1146" i="2"/>
  <c r="E1145" i="2"/>
  <c r="D1144" i="2"/>
  <c r="E1142" i="2"/>
  <c r="E1141" i="2"/>
  <c r="E1139" i="2"/>
  <c r="E1138" i="2"/>
  <c r="E1137" i="2"/>
  <c r="E1136" i="2"/>
  <c r="E1135" i="2"/>
  <c r="D1135" i="2"/>
  <c r="E1134" i="2"/>
  <c r="E1133" i="2"/>
  <c r="E1132" i="2"/>
  <c r="E1131" i="2"/>
  <c r="D1131" i="2"/>
  <c r="E1130" i="2"/>
  <c r="D1130" i="2"/>
  <c r="D1129" i="2"/>
  <c r="D1128" i="2"/>
  <c r="E1127" i="2"/>
  <c r="D1127" i="2"/>
  <c r="E1126" i="2"/>
  <c r="D1126" i="2"/>
  <c r="E1125" i="2"/>
  <c r="D1125" i="2"/>
  <c r="D1124" i="2"/>
  <c r="E1123" i="2"/>
  <c r="D1123" i="2"/>
  <c r="D1122" i="2"/>
  <c r="E1121" i="2"/>
  <c r="E1119" i="2"/>
  <c r="E1117" i="2"/>
  <c r="E1116" i="2"/>
  <c r="E1115" i="2"/>
  <c r="D1115" i="2"/>
  <c r="E1114" i="2"/>
  <c r="E1113" i="2"/>
  <c r="E1112" i="2"/>
  <c r="E1111" i="2"/>
  <c r="E1110" i="2"/>
  <c r="E1109" i="2"/>
  <c r="E1107" i="2"/>
  <c r="E1105" i="2"/>
  <c r="D1105" i="2"/>
  <c r="E1103" i="2"/>
  <c r="E1101" i="2"/>
  <c r="E1099" i="2"/>
  <c r="E1097" i="2"/>
  <c r="E1096" i="2"/>
  <c r="E1095" i="2"/>
  <c r="D1095" i="2"/>
  <c r="E1094" i="2"/>
  <c r="E1093" i="2"/>
  <c r="E1092" i="2"/>
  <c r="E1091" i="2"/>
  <c r="E1090" i="2"/>
  <c r="E1089" i="2"/>
  <c r="E1087" i="2"/>
  <c r="D1085" i="2"/>
  <c r="E1083" i="2"/>
  <c r="E1082" i="2"/>
  <c r="E1080" i="2"/>
  <c r="E1079" i="2"/>
  <c r="E1078" i="2"/>
  <c r="E1077" i="2"/>
  <c r="E1076" i="2"/>
  <c r="D1076" i="2"/>
  <c r="E1075" i="2"/>
  <c r="E1074" i="2"/>
  <c r="E1073" i="2"/>
  <c r="E1072" i="2"/>
  <c r="E1071" i="2"/>
  <c r="E1068" i="2"/>
  <c r="E1067" i="2"/>
  <c r="E1066" i="2"/>
  <c r="D1066" i="2"/>
  <c r="E1065" i="2"/>
  <c r="E1064" i="2"/>
  <c r="E1063" i="2"/>
  <c r="E1062" i="2"/>
  <c r="E1061" i="2"/>
  <c r="E1060" i="2"/>
  <c r="E1059" i="2"/>
  <c r="E1058" i="2"/>
  <c r="E1057" i="2"/>
  <c r="E1056" i="2"/>
  <c r="D1056" i="2"/>
  <c r="E1055" i="2"/>
  <c r="E1054" i="2"/>
  <c r="E1053" i="2"/>
  <c r="E1052" i="2"/>
  <c r="E1051" i="2"/>
  <c r="E1050" i="2"/>
  <c r="E1049" i="2"/>
  <c r="E1048" i="2"/>
  <c r="E1047" i="2"/>
  <c r="D1046" i="2"/>
  <c r="E1044" i="2"/>
  <c r="E1043" i="2"/>
  <c r="E1040" i="2"/>
  <c r="E1039" i="2"/>
  <c r="E1038" i="2"/>
  <c r="E1037" i="2"/>
  <c r="E1036" i="2"/>
  <c r="D1036" i="2"/>
  <c r="E1035" i="2"/>
  <c r="E1034" i="2"/>
  <c r="E1033" i="2"/>
  <c r="E1032" i="2"/>
  <c r="D1032" i="2"/>
  <c r="E1031" i="2"/>
  <c r="D1031" i="2"/>
  <c r="D1030" i="2"/>
  <c r="D1029" i="2"/>
  <c r="E1028" i="2"/>
  <c r="D1028" i="2"/>
  <c r="E1027" i="2"/>
  <c r="D1027" i="2"/>
  <c r="E1026" i="2"/>
  <c r="D1026" i="2"/>
  <c r="D1025" i="2"/>
  <c r="E1024" i="2"/>
  <c r="D1024" i="2"/>
  <c r="D1023" i="2"/>
  <c r="E1022" i="2"/>
  <c r="E1020" i="2"/>
  <c r="E1018" i="2"/>
  <c r="E1017" i="2"/>
  <c r="E1016" i="2"/>
  <c r="D1016" i="2"/>
  <c r="E1015" i="2"/>
  <c r="E1014" i="2"/>
  <c r="E1013" i="2"/>
  <c r="E1012" i="2"/>
  <c r="E1011" i="2"/>
  <c r="E1010" i="2"/>
  <c r="E1008" i="2"/>
  <c r="E1006" i="2"/>
  <c r="D1006" i="2"/>
  <c r="E1004" i="2"/>
  <c r="E1003" i="2"/>
  <c r="E1001" i="2"/>
  <c r="E999" i="2"/>
  <c r="E998" i="2"/>
  <c r="E997" i="2"/>
  <c r="D997" i="2"/>
  <c r="E996" i="2"/>
  <c r="E995" i="2"/>
  <c r="E994" i="2"/>
  <c r="E993" i="2"/>
  <c r="E992" i="2"/>
  <c r="E991" i="2"/>
  <c r="E989" i="2"/>
  <c r="E987" i="2"/>
  <c r="D987" i="2"/>
  <c r="E986" i="2"/>
  <c r="E985" i="2"/>
  <c r="E984" i="2"/>
  <c r="E983" i="2"/>
  <c r="E982" i="2"/>
  <c r="E981" i="2"/>
  <c r="E980" i="2"/>
  <c r="E979" i="2"/>
  <c r="E978" i="2"/>
  <c r="E977" i="2"/>
  <c r="D977" i="2"/>
  <c r="E976" i="2"/>
  <c r="E973" i="2"/>
  <c r="E972" i="2"/>
  <c r="E971" i="2"/>
  <c r="E970" i="2"/>
  <c r="E969" i="2"/>
  <c r="E968" i="2"/>
  <c r="E967" i="2"/>
  <c r="D967" i="2"/>
  <c r="E966" i="2"/>
  <c r="E965" i="2"/>
  <c r="E964" i="2"/>
  <c r="E963" i="2"/>
  <c r="E962" i="2"/>
  <c r="E961" i="2"/>
  <c r="E960" i="2"/>
  <c r="E959" i="2"/>
  <c r="E958" i="2"/>
  <c r="E957" i="2"/>
  <c r="D957" i="2"/>
  <c r="E956" i="2"/>
  <c r="E955" i="2"/>
  <c r="E954" i="2"/>
  <c r="E953" i="2"/>
  <c r="E952" i="2"/>
  <c r="E951" i="2"/>
  <c r="E950" i="2"/>
  <c r="E949" i="2"/>
  <c r="E948" i="2"/>
  <c r="E947" i="2"/>
  <c r="D947" i="2"/>
  <c r="E946" i="2"/>
  <c r="E945" i="2"/>
  <c r="E944" i="2"/>
  <c r="E943" i="2"/>
  <c r="E942" i="2"/>
  <c r="E941" i="2"/>
  <c r="E940" i="2"/>
  <c r="E939" i="2"/>
  <c r="E938" i="2"/>
  <c r="E937" i="2"/>
  <c r="D937" i="2"/>
  <c r="E936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E923" i="2"/>
  <c r="E922" i="2"/>
  <c r="E921" i="2"/>
  <c r="E920" i="2"/>
  <c r="E919" i="2"/>
  <c r="E918" i="2"/>
  <c r="D918" i="2"/>
  <c r="E917" i="2"/>
  <c r="E916" i="2"/>
  <c r="E914" i="2"/>
  <c r="E912" i="2"/>
  <c r="E911" i="2"/>
  <c r="E910" i="2"/>
  <c r="E909" i="2"/>
  <c r="E908" i="2"/>
  <c r="D908" i="2"/>
  <c r="E907" i="2"/>
  <c r="E906" i="2"/>
  <c r="E905" i="2"/>
  <c r="E904" i="2"/>
  <c r="E903" i="2"/>
  <c r="E902" i="2"/>
  <c r="E901" i="2"/>
  <c r="E900" i="2"/>
  <c r="E899" i="2"/>
  <c r="E898" i="2"/>
  <c r="D898" i="2"/>
  <c r="E897" i="2"/>
  <c r="E896" i="2"/>
  <c r="E894" i="2"/>
  <c r="E892" i="2"/>
  <c r="E891" i="2"/>
  <c r="E890" i="2"/>
  <c r="E889" i="2"/>
  <c r="E888" i="2"/>
  <c r="D888" i="2"/>
  <c r="E887" i="2"/>
  <c r="E886" i="2"/>
  <c r="E885" i="2"/>
  <c r="E884" i="2"/>
  <c r="E883" i="2"/>
  <c r="E882" i="2"/>
  <c r="E881" i="2"/>
  <c r="E880" i="2"/>
  <c r="E879" i="2"/>
  <c r="E878" i="2"/>
  <c r="D878" i="2"/>
  <c r="E877" i="2"/>
  <c r="E875" i="2"/>
  <c r="E874" i="2"/>
  <c r="E873" i="2"/>
  <c r="E872" i="2"/>
  <c r="E871" i="2"/>
  <c r="E870" i="2"/>
  <c r="E869" i="2"/>
  <c r="D869" i="2"/>
  <c r="E868" i="2"/>
  <c r="E867" i="2"/>
  <c r="E866" i="2"/>
  <c r="E865" i="2"/>
  <c r="E864" i="2"/>
  <c r="E863" i="2"/>
  <c r="E862" i="2"/>
  <c r="E861" i="2"/>
  <c r="E860" i="2"/>
  <c r="E859" i="2"/>
  <c r="D859" i="2"/>
  <c r="E858" i="2"/>
  <c r="E857" i="2"/>
  <c r="E856" i="2"/>
  <c r="E855" i="2"/>
  <c r="E854" i="2"/>
  <c r="E853" i="2"/>
  <c r="E852" i="2"/>
  <c r="E851" i="2"/>
  <c r="E850" i="2"/>
  <c r="E849" i="2"/>
  <c r="D849" i="2"/>
  <c r="E848" i="2"/>
  <c r="E847" i="2"/>
  <c r="E846" i="2"/>
  <c r="E845" i="2"/>
  <c r="E844" i="2"/>
  <c r="E843" i="2"/>
  <c r="E842" i="2"/>
  <c r="E841" i="2"/>
  <c r="E840" i="2"/>
  <c r="E839" i="2"/>
  <c r="D839" i="2"/>
  <c r="E838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E824" i="2"/>
  <c r="E823" i="2"/>
  <c r="E822" i="2"/>
  <c r="E821" i="2"/>
  <c r="E820" i="2"/>
  <c r="E819" i="2"/>
  <c r="D819" i="2"/>
  <c r="E818" i="2"/>
  <c r="E817" i="2"/>
  <c r="E815" i="2"/>
  <c r="E813" i="2"/>
  <c r="E812" i="2"/>
  <c r="E811" i="2"/>
  <c r="E810" i="2"/>
  <c r="E809" i="2"/>
  <c r="D809" i="2"/>
  <c r="E808" i="2"/>
  <c r="E807" i="2"/>
  <c r="E806" i="2"/>
  <c r="E805" i="2"/>
  <c r="E804" i="2"/>
  <c r="E803" i="2"/>
  <c r="E802" i="2"/>
  <c r="E801" i="2"/>
  <c r="E800" i="2"/>
  <c r="E799" i="2"/>
  <c r="D799" i="2"/>
  <c r="E798" i="2"/>
  <c r="E797" i="2"/>
  <c r="E795" i="2"/>
  <c r="E793" i="2"/>
  <c r="E792" i="2"/>
  <c r="E791" i="2"/>
  <c r="E790" i="2"/>
  <c r="E789" i="2"/>
  <c r="D789" i="2"/>
  <c r="E788" i="2"/>
  <c r="E787" i="2"/>
  <c r="E786" i="2"/>
  <c r="E783" i="2"/>
  <c r="E782" i="2"/>
  <c r="E779" i="2"/>
  <c r="D779" i="2"/>
  <c r="E778" i="2"/>
  <c r="E775" i="2"/>
  <c r="E774" i="2"/>
  <c r="E771" i="2"/>
  <c r="E770" i="2"/>
  <c r="E769" i="2"/>
  <c r="D769" i="2"/>
  <c r="E768" i="2"/>
  <c r="E767" i="2"/>
  <c r="E766" i="2"/>
  <c r="E765" i="2"/>
  <c r="E764" i="2"/>
  <c r="E763" i="2"/>
  <c r="E762" i="2"/>
  <c r="E761" i="2"/>
  <c r="E760" i="2"/>
  <c r="E759" i="2"/>
  <c r="D759" i="2"/>
  <c r="E758" i="2"/>
  <c r="E757" i="2"/>
  <c r="E756" i="2"/>
  <c r="E755" i="2"/>
  <c r="E754" i="2"/>
  <c r="E753" i="2"/>
  <c r="E752" i="2"/>
  <c r="E751" i="2"/>
  <c r="E750" i="2"/>
  <c r="E749" i="2"/>
  <c r="D749" i="2"/>
  <c r="E748" i="2"/>
  <c r="E747" i="2"/>
  <c r="E746" i="2"/>
  <c r="E743" i="2"/>
  <c r="E742" i="2"/>
  <c r="E739" i="2"/>
  <c r="D739" i="2"/>
  <c r="E738" i="2"/>
  <c r="E735" i="2"/>
  <c r="D735" i="2"/>
  <c r="E734" i="2"/>
  <c r="D734" i="2"/>
  <c r="D733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E723" i="2"/>
  <c r="E721" i="2"/>
  <c r="E719" i="2"/>
  <c r="D719" i="2"/>
  <c r="E717" i="2"/>
  <c r="E715" i="2"/>
  <c r="E713" i="2"/>
  <c r="E711" i="2"/>
  <c r="E709" i="2"/>
  <c r="D709" i="2"/>
  <c r="E708" i="2"/>
  <c r="E707" i="2"/>
  <c r="E706" i="2"/>
  <c r="E705" i="2"/>
  <c r="E703" i="2"/>
  <c r="E701" i="2"/>
  <c r="E699" i="2"/>
  <c r="D699" i="2"/>
  <c r="E697" i="2"/>
  <c r="E695" i="2"/>
  <c r="E693" i="2"/>
  <c r="E691" i="2"/>
  <c r="E689" i="2"/>
  <c r="D689" i="2"/>
  <c r="E688" i="2"/>
  <c r="E687" i="2"/>
  <c r="E686" i="2"/>
  <c r="E685" i="2"/>
  <c r="E682" i="2"/>
  <c r="E681" i="2"/>
  <c r="D679" i="2"/>
  <c r="E677" i="2"/>
  <c r="E676" i="2"/>
  <c r="E674" i="2"/>
  <c r="E673" i="2"/>
  <c r="E672" i="2"/>
  <c r="E671" i="2"/>
  <c r="E670" i="2"/>
  <c r="D669" i="2"/>
  <c r="E667" i="2"/>
  <c r="E666" i="2"/>
  <c r="E663" i="2"/>
  <c r="E662" i="2"/>
  <c r="E660" i="2"/>
  <c r="D660" i="2"/>
  <c r="E659" i="2"/>
  <c r="E658" i="2"/>
  <c r="E657" i="2"/>
  <c r="E656" i="2"/>
  <c r="E653" i="2"/>
  <c r="E652" i="2"/>
  <c r="D650" i="2"/>
  <c r="E648" i="2"/>
  <c r="E647" i="2"/>
  <c r="E645" i="2"/>
  <c r="E644" i="2"/>
  <c r="E643" i="2"/>
  <c r="E642" i="2"/>
  <c r="E641" i="2"/>
  <c r="E640" i="2"/>
  <c r="D640" i="2"/>
  <c r="E639" i="2"/>
  <c r="E638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E626" i="2"/>
  <c r="E625" i="2"/>
  <c r="E624" i="2"/>
  <c r="E622" i="2"/>
  <c r="E621" i="2"/>
  <c r="D621" i="2"/>
  <c r="E620" i="2"/>
  <c r="E619" i="2"/>
  <c r="E617" i="2"/>
  <c r="E616" i="2"/>
  <c r="E615" i="2"/>
  <c r="E614" i="2"/>
  <c r="E613" i="2"/>
  <c r="E612" i="2"/>
  <c r="E611" i="2"/>
  <c r="D611" i="2"/>
  <c r="E606" i="2"/>
  <c r="D601" i="2"/>
  <c r="E599" i="2"/>
  <c r="E598" i="2"/>
  <c r="E594" i="2"/>
  <c r="E593" i="2"/>
  <c r="D591" i="2"/>
  <c r="E589" i="2"/>
  <c r="E588" i="2"/>
  <c r="E584" i="2"/>
  <c r="E583" i="2"/>
  <c r="D581" i="2"/>
  <c r="E579" i="2"/>
  <c r="E578" i="2"/>
  <c r="E574" i="2"/>
  <c r="E573" i="2"/>
  <c r="D571" i="2"/>
  <c r="E569" i="2"/>
  <c r="E568" i="2"/>
  <c r="E564" i="2"/>
  <c r="E563" i="2"/>
  <c r="D561" i="2"/>
  <c r="E559" i="2"/>
  <c r="E558" i="2"/>
  <c r="E556" i="2"/>
  <c r="E555" i="2"/>
  <c r="E554" i="2"/>
  <c r="E552" i="2"/>
  <c r="E551" i="2"/>
  <c r="D551" i="2"/>
  <c r="E550" i="2"/>
  <c r="E549" i="2"/>
  <c r="E547" i="2"/>
  <c r="E546" i="2"/>
  <c r="E545" i="2"/>
  <c r="E544" i="2"/>
  <c r="E542" i="2"/>
  <c r="E541" i="2"/>
  <c r="D541" i="2"/>
  <c r="E540" i="2"/>
  <c r="E539" i="2"/>
  <c r="E537" i="2"/>
  <c r="D537" i="2"/>
  <c r="E536" i="2"/>
  <c r="D536" i="2"/>
  <c r="E535" i="2"/>
  <c r="D535" i="2"/>
  <c r="E534" i="2"/>
  <c r="D534" i="2"/>
  <c r="D533" i="2"/>
  <c r="E532" i="2"/>
  <c r="D532" i="2"/>
  <c r="E531" i="2"/>
  <c r="D531" i="2"/>
  <c r="E530" i="2"/>
  <c r="D530" i="2"/>
  <c r="E529" i="2"/>
  <c r="D529" i="2"/>
  <c r="D528" i="2"/>
  <c r="E527" i="2"/>
  <c r="E526" i="2"/>
  <c r="E521" i="2"/>
  <c r="D521" i="2"/>
  <c r="E516" i="2"/>
  <c r="E511" i="2"/>
  <c r="D511" i="2"/>
  <c r="E510" i="2"/>
  <c r="E509" i="2"/>
  <c r="E508" i="2"/>
  <c r="E507" i="2"/>
  <c r="E504" i="2"/>
  <c r="E503" i="2"/>
  <c r="E501" i="2"/>
  <c r="D501" i="2"/>
  <c r="E500" i="2"/>
  <c r="E499" i="2"/>
  <c r="E498" i="2"/>
  <c r="E497" i="2"/>
  <c r="E496" i="2"/>
  <c r="E495" i="2"/>
  <c r="E494" i="2"/>
  <c r="E493" i="2"/>
  <c r="E492" i="2"/>
  <c r="D491" i="2"/>
  <c r="E489" i="2"/>
  <c r="E488" i="2"/>
  <c r="E486" i="2"/>
  <c r="E485" i="2"/>
  <c r="E484" i="2"/>
  <c r="E483" i="2"/>
  <c r="E482" i="2"/>
  <c r="E481" i="2"/>
  <c r="D481" i="2"/>
  <c r="E480" i="2"/>
  <c r="E479" i="2"/>
  <c r="E478" i="2"/>
  <c r="E477" i="2"/>
  <c r="E474" i="2"/>
  <c r="E473" i="2"/>
  <c r="E471" i="2"/>
  <c r="D471" i="2"/>
  <c r="E470" i="2"/>
  <c r="E469" i="2"/>
  <c r="E468" i="2"/>
  <c r="E467" i="2"/>
  <c r="E466" i="2"/>
  <c r="E465" i="2"/>
  <c r="E464" i="2"/>
  <c r="E463" i="2"/>
  <c r="E462" i="2"/>
  <c r="E461" i="2"/>
  <c r="D461" i="2"/>
  <c r="E460" i="2"/>
  <c r="E459" i="2"/>
  <c r="E457" i="2"/>
  <c r="E456" i="2"/>
  <c r="E455" i="2"/>
  <c r="E454" i="2"/>
  <c r="E453" i="2"/>
  <c r="E452" i="2"/>
  <c r="E451" i="2"/>
  <c r="D451" i="2"/>
  <c r="E450" i="2"/>
  <c r="E449" i="2"/>
  <c r="E448" i="2"/>
  <c r="E447" i="2"/>
  <c r="E446" i="2"/>
  <c r="E445" i="2"/>
  <c r="E444" i="2"/>
  <c r="E442" i="2"/>
  <c r="E441" i="2"/>
  <c r="D441" i="2"/>
  <c r="E440" i="2"/>
  <c r="E439" i="2"/>
  <c r="E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D430" i="2"/>
  <c r="D429" i="2"/>
  <c r="D428" i="2"/>
  <c r="E426" i="2"/>
  <c r="E425" i="2"/>
  <c r="E424" i="2"/>
  <c r="E423" i="2"/>
  <c r="E422" i="2"/>
  <c r="D421" i="2"/>
  <c r="E419" i="2"/>
  <c r="E418" i="2"/>
  <c r="E416" i="2"/>
  <c r="E415" i="2"/>
  <c r="E414" i="2"/>
  <c r="E413" i="2"/>
  <c r="E412" i="2"/>
  <c r="D411" i="2"/>
  <c r="E409" i="2"/>
  <c r="E408" i="2"/>
  <c r="E404" i="2"/>
  <c r="E403" i="2"/>
  <c r="E401" i="2"/>
  <c r="D401" i="2"/>
  <c r="E400" i="2"/>
  <c r="E399" i="2"/>
  <c r="E398" i="2"/>
  <c r="E397" i="2"/>
  <c r="D397" i="2"/>
  <c r="D396" i="2"/>
  <c r="D395" i="2"/>
  <c r="E394" i="2"/>
  <c r="D394" i="2"/>
  <c r="E393" i="2"/>
  <c r="D393" i="2"/>
  <c r="D392" i="2"/>
  <c r="D391" i="2"/>
  <c r="E390" i="2"/>
  <c r="D390" i="2"/>
  <c r="E389" i="2"/>
  <c r="D389" i="2"/>
  <c r="D388" i="2"/>
  <c r="E387" i="2"/>
  <c r="D387" i="2"/>
  <c r="E386" i="2"/>
  <c r="D386" i="2"/>
  <c r="E385" i="2"/>
  <c r="D385" i="2"/>
  <c r="E384" i="2"/>
  <c r="D384" i="2"/>
  <c r="E383" i="2"/>
  <c r="D383" i="2"/>
  <c r="D382" i="2"/>
  <c r="D381" i="2"/>
  <c r="E380" i="2"/>
  <c r="D380" i="2"/>
  <c r="E379" i="2"/>
  <c r="D379" i="2"/>
  <c r="D378" i="2"/>
  <c r="E377" i="2"/>
  <c r="D377" i="2"/>
  <c r="E376" i="2"/>
  <c r="D376" i="2"/>
  <c r="E375" i="2"/>
  <c r="D375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D350" i="2"/>
  <c r="E349" i="2"/>
  <c r="D349" i="2"/>
  <c r="E348" i="2"/>
  <c r="D348" i="2"/>
  <c r="D347" i="2"/>
  <c r="D346" i="2"/>
  <c r="D345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D337" i="2"/>
  <c r="D336" i="2"/>
  <c r="D335" i="2"/>
  <c r="D334" i="2"/>
  <c r="E333" i="2"/>
  <c r="D333" i="2"/>
  <c r="D332" i="2"/>
  <c r="E331" i="2"/>
  <c r="D331" i="2"/>
  <c r="D330" i="2"/>
  <c r="E329" i="2"/>
  <c r="D329" i="2"/>
  <c r="E328" i="2"/>
  <c r="D328" i="2"/>
  <c r="E327" i="2"/>
  <c r="D327" i="2"/>
  <c r="E326" i="2"/>
  <c r="D326" i="2"/>
  <c r="E325" i="2"/>
  <c r="D325" i="2"/>
  <c r="D324" i="2"/>
  <c r="D323" i="2"/>
  <c r="E322" i="2"/>
  <c r="D322" i="2"/>
  <c r="D321" i="2"/>
  <c r="E320" i="2"/>
  <c r="D320" i="2"/>
  <c r="E319" i="2"/>
  <c r="D319" i="2"/>
  <c r="E318" i="2"/>
  <c r="D318" i="2"/>
  <c r="E317" i="2"/>
  <c r="D317" i="2"/>
  <c r="E316" i="2"/>
  <c r="D316" i="2"/>
  <c r="D315" i="2"/>
  <c r="E314" i="2"/>
  <c r="D314" i="2"/>
  <c r="D313" i="2"/>
  <c r="E312" i="2"/>
  <c r="D312" i="2"/>
  <c r="D311" i="2"/>
  <c r="E310" i="2"/>
  <c r="D310" i="2"/>
  <c r="E309" i="2"/>
  <c r="D309" i="2"/>
  <c r="E308" i="2"/>
  <c r="D308" i="2"/>
  <c r="E307" i="2"/>
  <c r="D307" i="2"/>
  <c r="E306" i="2"/>
  <c r="D306" i="2"/>
  <c r="D305" i="2"/>
  <c r="E304" i="2"/>
  <c r="D304" i="2"/>
  <c r="E303" i="2"/>
  <c r="D303" i="2"/>
  <c r="D302" i="2"/>
  <c r="E301" i="2"/>
  <c r="D301" i="2"/>
  <c r="D300" i="2"/>
  <c r="E299" i="2"/>
  <c r="E298" i="2"/>
  <c r="E297" i="2"/>
  <c r="E296" i="2"/>
  <c r="E295" i="2"/>
  <c r="D293" i="2"/>
  <c r="E292" i="2"/>
  <c r="E290" i="2"/>
  <c r="E289" i="2"/>
  <c r="E288" i="2"/>
  <c r="E287" i="2"/>
  <c r="E286" i="2"/>
  <c r="E284" i="2"/>
  <c r="D283" i="2"/>
  <c r="E282" i="2"/>
  <c r="E280" i="2"/>
  <c r="E279" i="2"/>
  <c r="E278" i="2"/>
  <c r="E277" i="2"/>
  <c r="E276" i="2"/>
  <c r="E274" i="2"/>
  <c r="E273" i="2"/>
  <c r="D273" i="2"/>
  <c r="E271" i="2"/>
  <c r="E269" i="2"/>
  <c r="E268" i="2"/>
  <c r="E267" i="2"/>
  <c r="E266" i="2"/>
  <c r="E265" i="2"/>
  <c r="D263" i="2"/>
  <c r="E262" i="2"/>
  <c r="E260" i="2"/>
  <c r="E259" i="2"/>
  <c r="E258" i="2"/>
  <c r="E257" i="2"/>
  <c r="E256" i="2"/>
  <c r="E254" i="2"/>
  <c r="D253" i="2"/>
  <c r="E252" i="2"/>
  <c r="E250" i="2"/>
  <c r="E249" i="2"/>
  <c r="E248" i="2"/>
  <c r="E247" i="2"/>
  <c r="E246" i="2"/>
  <c r="E244" i="2"/>
  <c r="E243" i="2"/>
  <c r="D243" i="2"/>
  <c r="E242" i="2"/>
  <c r="E241" i="2"/>
  <c r="E240" i="2"/>
  <c r="E239" i="2"/>
  <c r="D239" i="2"/>
  <c r="E238" i="2"/>
  <c r="D238" i="2"/>
  <c r="E237" i="2"/>
  <c r="D237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E228" i="2"/>
  <c r="E226" i="2"/>
  <c r="E225" i="2"/>
  <c r="E224" i="2"/>
  <c r="E223" i="2"/>
  <c r="D223" i="2"/>
  <c r="E222" i="2"/>
  <c r="E221" i="2"/>
  <c r="E220" i="2"/>
  <c r="E219" i="2"/>
  <c r="E218" i="2"/>
  <c r="E216" i="2"/>
  <c r="E215" i="2"/>
  <c r="E214" i="2"/>
  <c r="E213" i="2"/>
  <c r="D213" i="2"/>
  <c r="E212" i="2"/>
  <c r="E211" i="2"/>
  <c r="E210" i="2"/>
  <c r="E209" i="2"/>
  <c r="E208" i="2"/>
  <c r="E207" i="2"/>
  <c r="E205" i="2"/>
  <c r="E204" i="2"/>
  <c r="E203" i="2"/>
  <c r="D203" i="2"/>
  <c r="E202" i="2"/>
  <c r="E201" i="2"/>
  <c r="E200" i="2"/>
  <c r="E199" i="2"/>
  <c r="E198" i="2"/>
  <c r="E196" i="2"/>
  <c r="E195" i="2"/>
  <c r="E194" i="2"/>
  <c r="E193" i="2"/>
  <c r="D193" i="2"/>
  <c r="E192" i="2"/>
  <c r="E191" i="2"/>
  <c r="E190" i="2"/>
  <c r="E189" i="2"/>
  <c r="E188" i="2"/>
  <c r="E186" i="2"/>
  <c r="E185" i="2"/>
  <c r="E184" i="2"/>
  <c r="E183" i="2"/>
  <c r="D183" i="2"/>
  <c r="E182" i="2"/>
  <c r="E181" i="2"/>
  <c r="E179" i="2"/>
  <c r="E177" i="2"/>
  <c r="E175" i="2"/>
  <c r="E173" i="2"/>
  <c r="D173" i="2"/>
  <c r="E172" i="2"/>
  <c r="E170" i="2"/>
  <c r="E168" i="2"/>
  <c r="E166" i="2"/>
  <c r="E164" i="2"/>
  <c r="E163" i="2"/>
  <c r="D163" i="2"/>
  <c r="E162" i="2"/>
  <c r="E160" i="2"/>
  <c r="E158" i="2"/>
  <c r="E156" i="2"/>
  <c r="E154" i="2"/>
  <c r="E153" i="2"/>
  <c r="D153" i="2"/>
  <c r="E152" i="2"/>
  <c r="E151" i="2"/>
  <c r="E149" i="2"/>
  <c r="E147" i="2"/>
  <c r="E146" i="2"/>
  <c r="E144" i="2"/>
  <c r="D143" i="2"/>
  <c r="E142" i="2"/>
  <c r="E141" i="2"/>
  <c r="E140" i="2"/>
  <c r="D139" i="2"/>
  <c r="E138" i="2"/>
  <c r="D138" i="2"/>
  <c r="D137" i="2"/>
  <c r="E136" i="2"/>
  <c r="D136" i="2"/>
  <c r="E135" i="2"/>
  <c r="D135" i="2"/>
  <c r="D134" i="2"/>
  <c r="E133" i="2"/>
  <c r="D133" i="2"/>
  <c r="D132" i="2"/>
  <c r="E131" i="2"/>
  <c r="D131" i="2"/>
  <c r="D130" i="2"/>
  <c r="E128" i="2"/>
  <c r="E126" i="2"/>
  <c r="E124" i="2"/>
  <c r="D123" i="2"/>
  <c r="E122" i="2"/>
  <c r="E120" i="2"/>
  <c r="E118" i="2"/>
  <c r="E117" i="2"/>
  <c r="E116" i="2"/>
  <c r="E115" i="2"/>
  <c r="E113" i="2"/>
  <c r="D113" i="2"/>
  <c r="E112" i="2"/>
  <c r="E111" i="2"/>
  <c r="E110" i="2"/>
  <c r="E108" i="2"/>
  <c r="E107" i="2"/>
  <c r="E106" i="2"/>
  <c r="E105" i="2"/>
  <c r="E104" i="2"/>
  <c r="D103" i="2"/>
  <c r="E102" i="2"/>
  <c r="E101" i="2"/>
  <c r="E100" i="2"/>
  <c r="E99" i="2"/>
  <c r="E97" i="2"/>
  <c r="E96" i="2"/>
  <c r="E95" i="2"/>
  <c r="D93" i="2"/>
  <c r="E92" i="2"/>
  <c r="E91" i="2"/>
  <c r="E90" i="2"/>
  <c r="E88" i="2"/>
  <c r="E86" i="2"/>
  <c r="E85" i="2"/>
  <c r="E84" i="2"/>
  <c r="D83" i="2"/>
  <c r="E82" i="2"/>
  <c r="D73" i="2"/>
  <c r="D63" i="2"/>
  <c r="D53" i="2"/>
  <c r="D43" i="2"/>
  <c r="D39" i="2"/>
  <c r="D38" i="2"/>
  <c r="D37" i="2"/>
  <c r="D36" i="2"/>
  <c r="D35" i="2"/>
  <c r="D34" i="2"/>
  <c r="D33" i="2"/>
  <c r="D32" i="2"/>
  <c r="D31" i="2"/>
  <c r="D30" i="2"/>
  <c r="D23" i="2"/>
  <c r="D13" i="2"/>
  <c r="D3" i="2"/>
  <c r="E1517" i="2"/>
  <c r="D1517" i="2"/>
  <c r="E1516" i="2"/>
  <c r="D1516" i="2"/>
  <c r="D1515" i="2"/>
  <c r="D1514" i="2"/>
  <c r="E1513" i="2"/>
  <c r="D1513" i="2"/>
  <c r="D1512" i="2"/>
  <c r="D1510" i="2"/>
  <c r="D1509" i="2"/>
  <c r="D1508" i="2"/>
  <c r="D1500" i="2"/>
  <c r="E1493" i="2"/>
  <c r="E1492" i="2"/>
  <c r="D1490" i="2"/>
  <c r="E1489" i="2"/>
  <c r="E1481" i="2"/>
  <c r="D1481" i="2"/>
  <c r="E1479" i="2"/>
  <c r="E1477" i="2"/>
  <c r="D1471" i="2"/>
  <c r="E1469" i="2"/>
  <c r="E1467" i="2"/>
  <c r="E1465" i="2"/>
  <c r="E1462" i="2"/>
  <c r="D1461" i="2"/>
  <c r="E1458" i="2"/>
  <c r="E1457" i="2"/>
  <c r="E1454" i="2"/>
  <c r="D1451" i="2"/>
  <c r="D1441" i="2"/>
  <c r="E1437" i="2"/>
  <c r="E1434" i="2"/>
  <c r="E1433" i="2"/>
  <c r="D1431" i="2"/>
  <c r="E1429" i="2"/>
  <c r="E1425" i="2"/>
  <c r="E1421" i="2"/>
  <c r="E1419" i="2"/>
  <c r="D1418" i="2"/>
  <c r="E1417" i="2"/>
  <c r="D1417" i="2"/>
  <c r="D1416" i="2"/>
  <c r="D1415" i="2"/>
  <c r="D1414" i="2"/>
  <c r="E1413" i="2"/>
  <c r="D1413" i="2"/>
  <c r="D1411" i="2"/>
  <c r="D1410" i="2"/>
  <c r="E1409" i="2"/>
  <c r="D1409" i="2"/>
  <c r="E1407" i="2"/>
  <c r="E1405" i="2"/>
  <c r="D1401" i="2"/>
  <c r="E1398" i="2"/>
  <c r="D1391" i="2"/>
  <c r="E1373" i="2"/>
  <c r="E1361" i="2"/>
  <c r="E1349" i="2"/>
  <c r="E1342" i="2"/>
  <c r="E1335" i="2"/>
  <c r="E1334" i="2"/>
  <c r="E1318" i="2"/>
  <c r="E1311" i="2"/>
  <c r="E1310" i="2"/>
  <c r="E1306" i="2"/>
  <c r="E1298" i="2"/>
  <c r="E1296" i="2"/>
  <c r="E1294" i="2"/>
  <c r="D1289" i="2"/>
  <c r="D1288" i="2"/>
  <c r="D1287" i="2"/>
  <c r="E1286" i="2"/>
  <c r="D1286" i="2"/>
  <c r="D1285" i="2"/>
  <c r="E1284" i="2"/>
  <c r="D1284" i="2"/>
  <c r="E1283" i="2"/>
  <c r="D1282" i="2"/>
  <c r="D1281" i="2"/>
  <c r="D1280" i="2"/>
  <c r="E1279" i="2"/>
  <c r="D1279" i="2"/>
  <c r="D1278" i="2"/>
  <c r="D1277" i="2"/>
  <c r="D1276" i="2"/>
  <c r="D1275" i="2"/>
  <c r="D1274" i="2"/>
  <c r="D1272" i="2"/>
  <c r="D1271" i="2"/>
  <c r="D1270" i="2"/>
  <c r="D1269" i="2"/>
  <c r="D1268" i="2"/>
  <c r="E1267" i="2"/>
  <c r="D1267" i="2"/>
  <c r="D1266" i="2"/>
  <c r="D1265" i="2"/>
  <c r="D1264" i="2"/>
  <c r="D1262" i="2"/>
  <c r="D1261" i="2"/>
  <c r="D1260" i="2"/>
  <c r="D1259" i="2"/>
  <c r="D1258" i="2"/>
  <c r="D1257" i="2"/>
  <c r="D1256" i="2"/>
  <c r="D1255" i="2"/>
  <c r="D1254" i="2"/>
  <c r="D1252" i="2"/>
  <c r="D1251" i="2"/>
  <c r="D1250" i="2"/>
  <c r="D1249" i="2"/>
  <c r="D1248" i="2"/>
  <c r="D1247" i="2"/>
  <c r="D1246" i="2"/>
  <c r="D1245" i="2"/>
  <c r="D1244" i="2"/>
  <c r="E1242" i="2"/>
  <c r="D1242" i="2"/>
  <c r="D1241" i="2"/>
  <c r="D1240" i="2"/>
  <c r="D1239" i="2"/>
  <c r="E1238" i="2"/>
  <c r="D1238" i="2"/>
  <c r="D1237" i="2"/>
  <c r="D1236" i="2"/>
  <c r="D1235" i="2"/>
  <c r="D1234" i="2"/>
  <c r="D1232" i="2"/>
  <c r="D1231" i="2"/>
  <c r="D1230" i="2"/>
  <c r="E1226" i="2"/>
  <c r="E1222" i="2"/>
  <c r="D1219" i="2"/>
  <c r="E1218" i="2"/>
  <c r="D1218" i="2"/>
  <c r="D1217" i="2"/>
  <c r="D1216" i="2"/>
  <c r="D1215" i="2"/>
  <c r="D1213" i="2"/>
  <c r="D1212" i="2"/>
  <c r="D1211" i="2"/>
  <c r="D1210" i="2"/>
  <c r="D1209" i="2"/>
  <c r="D1208" i="2"/>
  <c r="E1207" i="2"/>
  <c r="D1207" i="2"/>
  <c r="D1206" i="2"/>
  <c r="D1205" i="2"/>
  <c r="E1203" i="2"/>
  <c r="D1203" i="2"/>
  <c r="D1202" i="2"/>
  <c r="D1201" i="2"/>
  <c r="D1200" i="2"/>
  <c r="E1199" i="2"/>
  <c r="D1199" i="2"/>
  <c r="D1198" i="2"/>
  <c r="D1197" i="2"/>
  <c r="D1196" i="2"/>
  <c r="D1195" i="2"/>
  <c r="D1193" i="2"/>
  <c r="D1192" i="2"/>
  <c r="D1191" i="2"/>
  <c r="E1187" i="2"/>
  <c r="E1184" i="2"/>
  <c r="D1183" i="2"/>
  <c r="E1180" i="2"/>
  <c r="D1173" i="2"/>
  <c r="E1168" i="2"/>
  <c r="D1163" i="2"/>
  <c r="D1153" i="2"/>
  <c r="E1143" i="2"/>
  <c r="D1143" i="2"/>
  <c r="E1140" i="2"/>
  <c r="D1134" i="2"/>
  <c r="E1128" i="2"/>
  <c r="E1124" i="2"/>
  <c r="D1121" i="2"/>
  <c r="E1120" i="2"/>
  <c r="D1120" i="2"/>
  <c r="D1119" i="2"/>
  <c r="D1118" i="2"/>
  <c r="D1117" i="2"/>
  <c r="D1116" i="2"/>
  <c r="D1114" i="2"/>
  <c r="D1113" i="2"/>
  <c r="D1112" i="2"/>
  <c r="E1108" i="2"/>
  <c r="E1104" i="2"/>
  <c r="D1104" i="2"/>
  <c r="E1100" i="2"/>
  <c r="D1094" i="2"/>
  <c r="E1088" i="2"/>
  <c r="E1085" i="2"/>
  <c r="D1084" i="2"/>
  <c r="E1081" i="2"/>
  <c r="D1075" i="2"/>
  <c r="E1070" i="2"/>
  <c r="D1065" i="2"/>
  <c r="D1055" i="2"/>
  <c r="E1045" i="2"/>
  <c r="D1045" i="2"/>
  <c r="E1041" i="2"/>
  <c r="D1035" i="2"/>
  <c r="E1029" i="2"/>
  <c r="E1025" i="2"/>
  <c r="D1022" i="2"/>
  <c r="E1021" i="2"/>
  <c r="D1021" i="2"/>
  <c r="D1020" i="2"/>
  <c r="D1019" i="2"/>
  <c r="D1018" i="2"/>
  <c r="D1017" i="2"/>
  <c r="D1015" i="2"/>
  <c r="D1014" i="2"/>
  <c r="D1013" i="2"/>
  <c r="E1009" i="2"/>
  <c r="E1005" i="2"/>
  <c r="D1005" i="2"/>
  <c r="E1002" i="2"/>
  <c r="D996" i="2"/>
  <c r="E990" i="2"/>
  <c r="D986" i="2"/>
  <c r="D976" i="2"/>
  <c r="E975" i="2"/>
  <c r="D966" i="2"/>
  <c r="D956" i="2"/>
  <c r="D946" i="2"/>
  <c r="D936" i="2"/>
  <c r="E935" i="2"/>
  <c r="D924" i="2"/>
  <c r="D923" i="2"/>
  <c r="D922" i="2"/>
  <c r="D921" i="2"/>
  <c r="D920" i="2"/>
  <c r="D919" i="2"/>
  <c r="D917" i="2"/>
  <c r="D916" i="2"/>
  <c r="E915" i="2"/>
  <c r="D915" i="2"/>
  <c r="D907" i="2"/>
  <c r="D897" i="2"/>
  <c r="E895" i="2"/>
  <c r="D887" i="2"/>
  <c r="D877" i="2"/>
  <c r="E876" i="2"/>
  <c r="D868" i="2"/>
  <c r="D858" i="2"/>
  <c r="D848" i="2"/>
  <c r="D838" i="2"/>
  <c r="E836" i="2"/>
  <c r="D825" i="2"/>
  <c r="D824" i="2"/>
  <c r="D823" i="2"/>
  <c r="D822" i="2"/>
  <c r="D821" i="2"/>
  <c r="D820" i="2"/>
  <c r="D818" i="2"/>
  <c r="D817" i="2"/>
  <c r="E816" i="2"/>
  <c r="D816" i="2"/>
  <c r="D808" i="2"/>
  <c r="D798" i="2"/>
  <c r="E796" i="2"/>
  <c r="D788" i="2"/>
  <c r="E785" i="2"/>
  <c r="E781" i="2"/>
  <c r="D778" i="2"/>
  <c r="E777" i="2"/>
  <c r="E776" i="2"/>
  <c r="E773" i="2"/>
  <c r="E772" i="2"/>
  <c r="D768" i="2"/>
  <c r="D758" i="2"/>
  <c r="D748" i="2"/>
  <c r="E744" i="2"/>
  <c r="E740" i="2"/>
  <c r="D738" i="2"/>
  <c r="E737" i="2"/>
  <c r="E736" i="2"/>
  <c r="E733" i="2"/>
  <c r="E732" i="2"/>
  <c r="D725" i="2"/>
  <c r="E724" i="2"/>
  <c r="D724" i="2"/>
  <c r="D723" i="2"/>
  <c r="D722" i="2"/>
  <c r="D721" i="2"/>
  <c r="E720" i="2"/>
  <c r="D720" i="2"/>
  <c r="D718" i="2"/>
  <c r="D717" i="2"/>
  <c r="E716" i="2"/>
  <c r="D716" i="2"/>
  <c r="E714" i="2"/>
  <c r="E712" i="2"/>
  <c r="E710" i="2"/>
  <c r="D708" i="2"/>
  <c r="E704" i="2"/>
  <c r="E700" i="2"/>
  <c r="D698" i="2"/>
  <c r="E696" i="2"/>
  <c r="E694" i="2"/>
  <c r="E692" i="2"/>
  <c r="E690" i="2"/>
  <c r="D688" i="2"/>
  <c r="E684" i="2"/>
  <c r="E683" i="2"/>
  <c r="E680" i="2"/>
  <c r="D678" i="2"/>
  <c r="E669" i="2"/>
  <c r="E668" i="2"/>
  <c r="D668" i="2"/>
  <c r="E665" i="2"/>
  <c r="D659" i="2"/>
  <c r="E655" i="2"/>
  <c r="E654" i="2"/>
  <c r="E651" i="2"/>
  <c r="D649" i="2"/>
  <c r="D639" i="2"/>
  <c r="E637" i="2"/>
  <c r="D627" i="2"/>
  <c r="D626" i="2"/>
  <c r="D625" i="2"/>
  <c r="D624" i="2"/>
  <c r="E623" i="2"/>
  <c r="D623" i="2"/>
  <c r="D622" i="2"/>
  <c r="D620" i="2"/>
  <c r="D619" i="2"/>
  <c r="D618" i="2"/>
  <c r="E610" i="2"/>
  <c r="D610" i="2"/>
  <c r="E609" i="2"/>
  <c r="E608" i="2"/>
  <c r="E607" i="2"/>
  <c r="E603" i="2"/>
  <c r="E602" i="2"/>
  <c r="D600" i="2"/>
  <c r="E596" i="2"/>
  <c r="E595" i="2"/>
  <c r="E592" i="2"/>
  <c r="D590" i="2"/>
  <c r="E581" i="2"/>
  <c r="E580" i="2"/>
  <c r="D580" i="2"/>
  <c r="E577" i="2"/>
  <c r="D570" i="2"/>
  <c r="E566" i="2"/>
  <c r="E565" i="2"/>
  <c r="E562" i="2"/>
  <c r="D560" i="2"/>
  <c r="D550" i="2"/>
  <c r="E548" i="2"/>
  <c r="D540" i="2"/>
  <c r="E533" i="2"/>
  <c r="D527" i="2"/>
  <c r="D526" i="2"/>
  <c r="D525" i="2"/>
  <c r="D524" i="2"/>
  <c r="E523" i="2"/>
  <c r="D523" i="2"/>
  <c r="E522" i="2"/>
  <c r="D522" i="2"/>
  <c r="E520" i="2"/>
  <c r="D520" i="2"/>
  <c r="E519" i="2"/>
  <c r="D519" i="2"/>
  <c r="E518" i="2"/>
  <c r="D518" i="2"/>
  <c r="E517" i="2"/>
  <c r="E513" i="2"/>
  <c r="E512" i="2"/>
  <c r="D510" i="2"/>
  <c r="D500" i="2"/>
  <c r="D490" i="2"/>
  <c r="D480" i="2"/>
  <c r="D470" i="2"/>
  <c r="D460" i="2"/>
  <c r="D450" i="2"/>
  <c r="D440" i="2"/>
  <c r="E428" i="2"/>
  <c r="E427" i="2"/>
  <c r="D427" i="2"/>
  <c r="D426" i="2"/>
  <c r="D425" i="2"/>
  <c r="D424" i="2"/>
  <c r="D423" i="2"/>
  <c r="D422" i="2"/>
  <c r="D420" i="2"/>
  <c r="D419" i="2"/>
  <c r="D418" i="2"/>
  <c r="E411" i="2"/>
  <c r="E410" i="2"/>
  <c r="D410" i="2"/>
  <c r="E407" i="2"/>
  <c r="D400" i="2"/>
  <c r="E396" i="2"/>
  <c r="E395" i="2"/>
  <c r="E392" i="2"/>
  <c r="E382" i="2"/>
  <c r="E381" i="2"/>
  <c r="E378" i="2"/>
  <c r="E364" i="2"/>
  <c r="E350" i="2"/>
  <c r="E345" i="2"/>
  <c r="E344" i="2"/>
  <c r="E337" i="2"/>
  <c r="E336" i="2"/>
  <c r="E335" i="2"/>
  <c r="E334" i="2"/>
  <c r="E323" i="2"/>
  <c r="E321" i="2"/>
  <c r="E315" i="2"/>
  <c r="E313" i="2"/>
  <c r="E311" i="2"/>
  <c r="E305" i="2"/>
  <c r="D299" i="2"/>
  <c r="D298" i="2"/>
  <c r="D297" i="2"/>
  <c r="D296" i="2"/>
  <c r="D295" i="2"/>
  <c r="D294" i="2"/>
  <c r="E293" i="2"/>
  <c r="D292" i="2"/>
  <c r="E291" i="2"/>
  <c r="D291" i="2"/>
  <c r="D290" i="2"/>
  <c r="D289" i="2"/>
  <c r="D288" i="2"/>
  <c r="D287" i="2"/>
  <c r="D286" i="2"/>
  <c r="E285" i="2"/>
  <c r="D285" i="2"/>
  <c r="D284" i="2"/>
  <c r="E283" i="2"/>
  <c r="D282" i="2"/>
  <c r="E281" i="2"/>
  <c r="D281" i="2"/>
  <c r="D280" i="2"/>
  <c r="D279" i="2"/>
  <c r="D278" i="2"/>
  <c r="D277" i="2"/>
  <c r="D276" i="2"/>
  <c r="E275" i="2"/>
  <c r="D275" i="2"/>
  <c r="D274" i="2"/>
  <c r="D272" i="2"/>
  <c r="D271" i="2"/>
  <c r="D270" i="2"/>
  <c r="D269" i="2"/>
  <c r="D268" i="2"/>
  <c r="D267" i="2"/>
  <c r="D266" i="2"/>
  <c r="D265" i="2"/>
  <c r="D264" i="2"/>
  <c r="E263" i="2"/>
  <c r="D262" i="2"/>
  <c r="E261" i="2"/>
  <c r="D261" i="2"/>
  <c r="D260" i="2"/>
  <c r="D259" i="2"/>
  <c r="D258" i="2"/>
  <c r="D257" i="2"/>
  <c r="D256" i="2"/>
  <c r="E255" i="2"/>
  <c r="D255" i="2"/>
  <c r="D254" i="2"/>
  <c r="E253" i="2"/>
  <c r="D252" i="2"/>
  <c r="E251" i="2"/>
  <c r="D251" i="2"/>
  <c r="D250" i="2"/>
  <c r="D249" i="2"/>
  <c r="D248" i="2"/>
  <c r="D247" i="2"/>
  <c r="D246" i="2"/>
  <c r="E245" i="2"/>
  <c r="D245" i="2"/>
  <c r="D244" i="2"/>
  <c r="D242" i="2"/>
  <c r="D241" i="2"/>
  <c r="D240" i="2"/>
  <c r="D229" i="2"/>
  <c r="D228" i="2"/>
  <c r="E227" i="2"/>
  <c r="D227" i="2"/>
  <c r="D226" i="2"/>
  <c r="D225" i="2"/>
  <c r="D224" i="2"/>
  <c r="D222" i="2"/>
  <c r="D221" i="2"/>
  <c r="D220" i="2"/>
  <c r="D219" i="2"/>
  <c r="D218" i="2"/>
  <c r="E217" i="2"/>
  <c r="D217" i="2"/>
  <c r="D216" i="2"/>
  <c r="D215" i="2"/>
  <c r="D214" i="2"/>
  <c r="D212" i="2"/>
  <c r="D211" i="2"/>
  <c r="D210" i="2"/>
  <c r="D209" i="2"/>
  <c r="D208" i="2"/>
  <c r="D207" i="2"/>
  <c r="D206" i="2"/>
  <c r="D205" i="2"/>
  <c r="D204" i="2"/>
  <c r="D202" i="2"/>
  <c r="D201" i="2"/>
  <c r="D200" i="2"/>
  <c r="E197" i="2"/>
  <c r="D192" i="2"/>
  <c r="E187" i="2"/>
  <c r="D182" i="2"/>
  <c r="E176" i="2"/>
  <c r="E174" i="2"/>
  <c r="D172" i="2"/>
  <c r="E171" i="2"/>
  <c r="E169" i="2"/>
  <c r="E167" i="2"/>
  <c r="E165" i="2"/>
  <c r="D162" i="2"/>
  <c r="E161" i="2"/>
  <c r="E159" i="2"/>
  <c r="E157" i="2"/>
  <c r="E155" i="2"/>
  <c r="D152" i="2"/>
  <c r="E150" i="2"/>
  <c r="E145" i="2"/>
  <c r="E143" i="2"/>
  <c r="D142" i="2"/>
  <c r="E139" i="2"/>
  <c r="E137" i="2"/>
  <c r="E132" i="2"/>
  <c r="E129" i="2"/>
  <c r="D129" i="2"/>
  <c r="D128" i="2"/>
  <c r="E127" i="2"/>
  <c r="D127" i="2"/>
  <c r="D126" i="2"/>
  <c r="E125" i="2"/>
  <c r="D125" i="2"/>
  <c r="D124" i="2"/>
  <c r="E123" i="2"/>
  <c r="D122" i="2"/>
  <c r="E121" i="2"/>
  <c r="D121" i="2"/>
  <c r="D120" i="2"/>
  <c r="E119" i="2"/>
  <c r="D112" i="2"/>
  <c r="E109" i="2"/>
  <c r="E103" i="2"/>
  <c r="D102" i="2"/>
  <c r="E94" i="2"/>
  <c r="E93" i="2"/>
  <c r="D92" i="2"/>
  <c r="E89" i="2"/>
  <c r="E87" i="2"/>
  <c r="E83" i="2"/>
  <c r="D82" i="2"/>
  <c r="D72" i="2"/>
  <c r="D62" i="2"/>
  <c r="D52" i="2"/>
  <c r="D42" i="2"/>
  <c r="D29" i="2"/>
  <c r="D28" i="2"/>
  <c r="D27" i="2"/>
  <c r="D26" i="2"/>
  <c r="D25" i="2"/>
  <c r="D24" i="2"/>
  <c r="D22" i="2"/>
  <c r="D21" i="2"/>
  <c r="D20" i="2"/>
  <c r="D12" i="2"/>
  <c r="D2" i="2"/>
  <c r="D439" i="2"/>
  <c r="D86" i="2"/>
  <c r="D4" i="2"/>
  <c r="D5" i="2"/>
  <c r="D6" i="2"/>
  <c r="D7" i="2"/>
  <c r="D8" i="2"/>
  <c r="D9" i="2"/>
  <c r="D10" i="2"/>
  <c r="D11" i="2"/>
  <c r="D14" i="2"/>
  <c r="D15" i="2"/>
  <c r="D16" i="2"/>
  <c r="D17" i="2"/>
  <c r="D18" i="2"/>
  <c r="D19" i="2"/>
  <c r="D40" i="2"/>
  <c r="D41" i="2"/>
  <c r="D44" i="2"/>
  <c r="D45" i="2"/>
  <c r="D46" i="2"/>
  <c r="D47" i="2"/>
  <c r="D48" i="2"/>
  <c r="D49" i="2"/>
  <c r="D50" i="2"/>
  <c r="D51" i="2"/>
  <c r="D54" i="2"/>
  <c r="D55" i="2"/>
  <c r="D56" i="2"/>
  <c r="D57" i="2"/>
  <c r="D58" i="2"/>
  <c r="D59" i="2"/>
  <c r="D60" i="2"/>
  <c r="D61" i="2"/>
  <c r="D64" i="2"/>
  <c r="D65" i="2"/>
  <c r="D66" i="2"/>
  <c r="D67" i="2"/>
  <c r="D68" i="2"/>
  <c r="D69" i="2"/>
  <c r="D70" i="2"/>
  <c r="D71" i="2"/>
  <c r="D74" i="2"/>
  <c r="D75" i="2"/>
  <c r="D76" i="2"/>
  <c r="D77" i="2"/>
  <c r="D78" i="2"/>
  <c r="D79" i="2"/>
  <c r="D80" i="2"/>
  <c r="D81" i="2"/>
  <c r="D84" i="2"/>
  <c r="D85" i="2"/>
  <c r="D87" i="2"/>
  <c r="D88" i="2"/>
  <c r="D89" i="2"/>
  <c r="D90" i="2"/>
  <c r="D91" i="2"/>
  <c r="D94" i="2"/>
  <c r="D95" i="2"/>
  <c r="D96" i="2"/>
  <c r="D97" i="2"/>
  <c r="D98" i="2"/>
  <c r="D99" i="2"/>
  <c r="D100" i="2"/>
  <c r="D101" i="2"/>
  <c r="D104" i="2"/>
  <c r="D105" i="2"/>
  <c r="D106" i="2"/>
  <c r="D107" i="2"/>
  <c r="D108" i="2"/>
  <c r="D109" i="2"/>
  <c r="D110" i="2"/>
  <c r="D111" i="2"/>
  <c r="D114" i="2"/>
  <c r="D115" i="2"/>
  <c r="D116" i="2"/>
  <c r="D117" i="2"/>
  <c r="D118" i="2"/>
  <c r="D119" i="2"/>
  <c r="D140" i="2"/>
  <c r="D141" i="2"/>
  <c r="D144" i="2"/>
  <c r="D145" i="2"/>
  <c r="D146" i="2"/>
  <c r="D147" i="2"/>
  <c r="D148" i="2"/>
  <c r="D149" i="2"/>
  <c r="D150" i="2"/>
  <c r="D151" i="2"/>
  <c r="D154" i="2"/>
  <c r="D155" i="2"/>
  <c r="D156" i="2"/>
  <c r="D157" i="2"/>
  <c r="D158" i="2"/>
  <c r="D159" i="2"/>
  <c r="D160" i="2"/>
  <c r="D161" i="2"/>
  <c r="D164" i="2"/>
  <c r="D165" i="2"/>
  <c r="D166" i="2"/>
  <c r="D167" i="2"/>
  <c r="D168" i="2"/>
  <c r="D169" i="2"/>
  <c r="D170" i="2"/>
  <c r="D171" i="2"/>
  <c r="D174" i="2"/>
  <c r="D175" i="2"/>
  <c r="D176" i="2"/>
  <c r="D177" i="2"/>
  <c r="D178" i="2"/>
  <c r="D179" i="2"/>
  <c r="D180" i="2"/>
  <c r="D181" i="2"/>
  <c r="D184" i="2"/>
  <c r="D185" i="2"/>
  <c r="D186" i="2"/>
  <c r="D187" i="2"/>
  <c r="D188" i="2"/>
  <c r="D189" i="2"/>
  <c r="D190" i="2"/>
  <c r="D191" i="2"/>
  <c r="D194" i="2"/>
  <c r="D195" i="2"/>
  <c r="D196" i="2"/>
  <c r="D197" i="2"/>
  <c r="D198" i="2"/>
  <c r="D199" i="2"/>
  <c r="D398" i="2"/>
  <c r="D399" i="2"/>
  <c r="D402" i="2"/>
  <c r="D403" i="2"/>
  <c r="D404" i="2"/>
  <c r="D405" i="2"/>
  <c r="D406" i="2"/>
  <c r="D407" i="2"/>
  <c r="D408" i="2"/>
  <c r="D409" i="2"/>
  <c r="D412" i="2"/>
  <c r="D413" i="2"/>
  <c r="D414" i="2"/>
  <c r="D415" i="2"/>
  <c r="D416" i="2"/>
  <c r="D417" i="2"/>
  <c r="D438" i="2"/>
  <c r="D442" i="2"/>
  <c r="D443" i="2"/>
  <c r="D444" i="2"/>
  <c r="D445" i="2"/>
  <c r="D446" i="2"/>
  <c r="D447" i="2"/>
  <c r="D448" i="2"/>
  <c r="D449" i="2"/>
  <c r="D452" i="2"/>
  <c r="D453" i="2"/>
  <c r="D454" i="2"/>
  <c r="D455" i="2"/>
  <c r="D456" i="2"/>
  <c r="D457" i="2"/>
  <c r="D458" i="2"/>
  <c r="D459" i="2"/>
  <c r="D462" i="2"/>
  <c r="D463" i="2"/>
  <c r="D464" i="2"/>
  <c r="D465" i="2"/>
  <c r="D466" i="2"/>
  <c r="D467" i="2"/>
  <c r="D468" i="2"/>
  <c r="D469" i="2"/>
  <c r="D472" i="2"/>
  <c r="D473" i="2"/>
  <c r="D474" i="2"/>
  <c r="D475" i="2"/>
  <c r="D476" i="2"/>
  <c r="D477" i="2"/>
  <c r="D478" i="2"/>
  <c r="D479" i="2"/>
  <c r="D482" i="2"/>
  <c r="D483" i="2"/>
  <c r="D484" i="2"/>
  <c r="D485" i="2"/>
  <c r="D486" i="2"/>
  <c r="D487" i="2"/>
  <c r="D488" i="2"/>
  <c r="D489" i="2"/>
  <c r="D492" i="2"/>
  <c r="D493" i="2"/>
  <c r="D494" i="2"/>
  <c r="D495" i="2"/>
  <c r="D496" i="2"/>
  <c r="D497" i="2"/>
  <c r="D498" i="2"/>
  <c r="D499" i="2"/>
  <c r="D502" i="2"/>
  <c r="D503" i="2"/>
  <c r="D504" i="2"/>
  <c r="D505" i="2"/>
  <c r="D506" i="2"/>
  <c r="D507" i="2"/>
  <c r="D508" i="2"/>
  <c r="D509" i="2"/>
  <c r="D512" i="2"/>
  <c r="D513" i="2"/>
  <c r="D514" i="2"/>
  <c r="D515" i="2"/>
  <c r="D516" i="2"/>
  <c r="D517" i="2"/>
  <c r="D538" i="2"/>
  <c r="D539" i="2"/>
  <c r="D542" i="2"/>
  <c r="D543" i="2"/>
  <c r="D544" i="2"/>
  <c r="D545" i="2"/>
  <c r="D546" i="2"/>
  <c r="D547" i="2"/>
  <c r="D548" i="2"/>
  <c r="D549" i="2"/>
  <c r="D552" i="2"/>
  <c r="D553" i="2"/>
  <c r="D554" i="2"/>
  <c r="D555" i="2"/>
  <c r="D556" i="2"/>
  <c r="D557" i="2"/>
  <c r="D558" i="2"/>
  <c r="D559" i="2"/>
  <c r="D562" i="2"/>
  <c r="D563" i="2"/>
  <c r="D564" i="2"/>
  <c r="D565" i="2"/>
  <c r="D566" i="2"/>
  <c r="D567" i="2"/>
  <c r="D568" i="2"/>
  <c r="D569" i="2"/>
  <c r="D572" i="2"/>
  <c r="D573" i="2"/>
  <c r="D574" i="2"/>
  <c r="D575" i="2"/>
  <c r="D576" i="2"/>
  <c r="D577" i="2"/>
  <c r="D578" i="2"/>
  <c r="D579" i="2"/>
  <c r="D582" i="2"/>
  <c r="D583" i="2"/>
  <c r="D584" i="2"/>
  <c r="D585" i="2"/>
  <c r="D586" i="2"/>
  <c r="D587" i="2"/>
  <c r="D588" i="2"/>
  <c r="D589" i="2"/>
  <c r="D592" i="2"/>
  <c r="D593" i="2"/>
  <c r="D594" i="2"/>
  <c r="D595" i="2"/>
  <c r="D596" i="2"/>
  <c r="D597" i="2"/>
  <c r="D598" i="2"/>
  <c r="D599" i="2"/>
  <c r="D602" i="2"/>
  <c r="D603" i="2"/>
  <c r="D604" i="2"/>
  <c r="D605" i="2"/>
  <c r="D606" i="2"/>
  <c r="D607" i="2"/>
  <c r="D608" i="2"/>
  <c r="D609" i="2"/>
  <c r="D612" i="2"/>
  <c r="D613" i="2"/>
  <c r="D614" i="2"/>
  <c r="D615" i="2"/>
  <c r="D616" i="2"/>
  <c r="D617" i="2"/>
  <c r="D637" i="2"/>
  <c r="D638" i="2"/>
  <c r="D641" i="2"/>
  <c r="D642" i="2"/>
  <c r="D643" i="2"/>
  <c r="D644" i="2"/>
  <c r="D645" i="2"/>
  <c r="D646" i="2"/>
  <c r="D647" i="2"/>
  <c r="D648" i="2"/>
  <c r="D651" i="2"/>
  <c r="D652" i="2"/>
  <c r="D653" i="2"/>
  <c r="D654" i="2"/>
  <c r="D655" i="2"/>
  <c r="D656" i="2"/>
  <c r="D657" i="2"/>
  <c r="D658" i="2"/>
  <c r="D661" i="2"/>
  <c r="D662" i="2"/>
  <c r="D663" i="2"/>
  <c r="D664" i="2"/>
  <c r="D665" i="2"/>
  <c r="D666" i="2"/>
  <c r="D667" i="2"/>
  <c r="D670" i="2"/>
  <c r="D671" i="2"/>
  <c r="D672" i="2"/>
  <c r="D673" i="2"/>
  <c r="D674" i="2"/>
  <c r="D675" i="2"/>
  <c r="D676" i="2"/>
  <c r="D677" i="2"/>
  <c r="D680" i="2"/>
  <c r="D681" i="2"/>
  <c r="D682" i="2"/>
  <c r="D683" i="2"/>
  <c r="D684" i="2"/>
  <c r="D685" i="2"/>
  <c r="D686" i="2"/>
  <c r="D687" i="2"/>
  <c r="D690" i="2"/>
  <c r="D691" i="2"/>
  <c r="D692" i="2"/>
  <c r="D693" i="2"/>
  <c r="D694" i="2"/>
  <c r="D695" i="2"/>
  <c r="D696" i="2"/>
  <c r="D697" i="2"/>
  <c r="D700" i="2"/>
  <c r="D701" i="2"/>
  <c r="D702" i="2"/>
  <c r="D703" i="2"/>
  <c r="D704" i="2"/>
  <c r="D705" i="2"/>
  <c r="D706" i="2"/>
  <c r="D707" i="2"/>
  <c r="D710" i="2"/>
  <c r="D711" i="2"/>
  <c r="D712" i="2"/>
  <c r="D713" i="2"/>
  <c r="D714" i="2"/>
  <c r="D715" i="2"/>
  <c r="D736" i="2"/>
  <c r="D737" i="2"/>
  <c r="D740" i="2"/>
  <c r="D741" i="2"/>
  <c r="D742" i="2"/>
  <c r="D743" i="2"/>
  <c r="D744" i="2"/>
  <c r="D745" i="2"/>
  <c r="D746" i="2"/>
  <c r="D747" i="2"/>
  <c r="D750" i="2"/>
  <c r="D751" i="2"/>
  <c r="D752" i="2"/>
  <c r="D753" i="2"/>
  <c r="D754" i="2"/>
  <c r="D755" i="2"/>
  <c r="D756" i="2"/>
  <c r="D757" i="2"/>
  <c r="D760" i="2"/>
  <c r="D761" i="2"/>
  <c r="D762" i="2"/>
  <c r="D763" i="2"/>
  <c r="D764" i="2"/>
  <c r="D765" i="2"/>
  <c r="D766" i="2"/>
  <c r="D767" i="2"/>
  <c r="D770" i="2"/>
  <c r="D771" i="2"/>
  <c r="D772" i="2"/>
  <c r="D773" i="2"/>
  <c r="D774" i="2"/>
  <c r="D775" i="2"/>
  <c r="D776" i="2"/>
  <c r="D777" i="2"/>
  <c r="D780" i="2"/>
  <c r="D781" i="2"/>
  <c r="D782" i="2"/>
  <c r="D783" i="2"/>
  <c r="D784" i="2"/>
  <c r="D785" i="2"/>
  <c r="D786" i="2"/>
  <c r="D787" i="2"/>
  <c r="D790" i="2"/>
  <c r="D791" i="2"/>
  <c r="D792" i="2"/>
  <c r="D793" i="2"/>
  <c r="D794" i="2"/>
  <c r="D795" i="2"/>
  <c r="D796" i="2"/>
  <c r="D797" i="2"/>
  <c r="D800" i="2"/>
  <c r="D801" i="2"/>
  <c r="D802" i="2"/>
  <c r="D803" i="2"/>
  <c r="D804" i="2"/>
  <c r="D805" i="2"/>
  <c r="D806" i="2"/>
  <c r="D807" i="2"/>
  <c r="D810" i="2"/>
  <c r="D811" i="2"/>
  <c r="D812" i="2"/>
  <c r="D813" i="2"/>
  <c r="D814" i="2"/>
  <c r="D815" i="2"/>
  <c r="D836" i="2"/>
  <c r="D837" i="2"/>
  <c r="D840" i="2"/>
  <c r="D841" i="2"/>
  <c r="D842" i="2"/>
  <c r="D843" i="2"/>
  <c r="D844" i="2"/>
  <c r="D845" i="2"/>
  <c r="D846" i="2"/>
  <c r="D847" i="2"/>
  <c r="D850" i="2"/>
  <c r="D851" i="2"/>
  <c r="D852" i="2"/>
  <c r="D853" i="2"/>
  <c r="D854" i="2"/>
  <c r="D855" i="2"/>
  <c r="D856" i="2"/>
  <c r="D857" i="2"/>
  <c r="D860" i="2"/>
  <c r="D861" i="2"/>
  <c r="D862" i="2"/>
  <c r="D863" i="2"/>
  <c r="D864" i="2"/>
  <c r="D865" i="2"/>
  <c r="D866" i="2"/>
  <c r="D867" i="2"/>
  <c r="D870" i="2"/>
  <c r="D871" i="2"/>
  <c r="D872" i="2"/>
  <c r="D873" i="2"/>
  <c r="D874" i="2"/>
  <c r="D875" i="2"/>
  <c r="D876" i="2"/>
  <c r="D879" i="2"/>
  <c r="D880" i="2"/>
  <c r="D881" i="2"/>
  <c r="D882" i="2"/>
  <c r="D883" i="2"/>
  <c r="D884" i="2"/>
  <c r="D885" i="2"/>
  <c r="D886" i="2"/>
  <c r="D889" i="2"/>
  <c r="D890" i="2"/>
  <c r="D891" i="2"/>
  <c r="D892" i="2"/>
  <c r="D893" i="2"/>
  <c r="D894" i="2"/>
  <c r="D895" i="2"/>
  <c r="D896" i="2"/>
  <c r="D899" i="2"/>
  <c r="D900" i="2"/>
  <c r="D901" i="2"/>
  <c r="D902" i="2"/>
  <c r="D903" i="2"/>
  <c r="D904" i="2"/>
  <c r="D905" i="2"/>
  <c r="D906" i="2"/>
  <c r="D909" i="2"/>
  <c r="D910" i="2"/>
  <c r="D911" i="2"/>
  <c r="D912" i="2"/>
  <c r="D913" i="2"/>
  <c r="D914" i="2"/>
  <c r="D935" i="2"/>
  <c r="D938" i="2"/>
  <c r="D939" i="2"/>
  <c r="D940" i="2"/>
  <c r="D941" i="2"/>
  <c r="D942" i="2"/>
  <c r="D943" i="2"/>
  <c r="D944" i="2"/>
  <c r="D945" i="2"/>
  <c r="D948" i="2"/>
  <c r="D949" i="2"/>
  <c r="D950" i="2"/>
  <c r="D951" i="2"/>
  <c r="D952" i="2"/>
  <c r="D953" i="2"/>
  <c r="D954" i="2"/>
  <c r="D955" i="2"/>
  <c r="D958" i="2"/>
  <c r="D959" i="2"/>
  <c r="D960" i="2"/>
  <c r="D961" i="2"/>
  <c r="D962" i="2"/>
  <c r="D963" i="2"/>
  <c r="D964" i="2"/>
  <c r="D965" i="2"/>
  <c r="D968" i="2"/>
  <c r="D969" i="2"/>
  <c r="D970" i="2"/>
  <c r="D971" i="2"/>
  <c r="D972" i="2"/>
  <c r="D973" i="2"/>
  <c r="D974" i="2"/>
  <c r="D975" i="2"/>
  <c r="D978" i="2"/>
  <c r="D979" i="2"/>
  <c r="D980" i="2"/>
  <c r="D981" i="2"/>
  <c r="D982" i="2"/>
  <c r="D983" i="2"/>
  <c r="D984" i="2"/>
  <c r="D985" i="2"/>
  <c r="D988" i="2"/>
  <c r="D989" i="2"/>
  <c r="D990" i="2"/>
  <c r="D991" i="2"/>
  <c r="D992" i="2"/>
  <c r="D993" i="2"/>
  <c r="D994" i="2"/>
  <c r="D995" i="2"/>
  <c r="D998" i="2"/>
  <c r="D999" i="2"/>
  <c r="D1000" i="2"/>
  <c r="D1001" i="2"/>
  <c r="D1002" i="2"/>
  <c r="D1003" i="2"/>
  <c r="D1004" i="2"/>
  <c r="D1007" i="2"/>
  <c r="D1008" i="2"/>
  <c r="D1009" i="2"/>
  <c r="D1010" i="2"/>
  <c r="D1011" i="2"/>
  <c r="D1012" i="2"/>
  <c r="D1033" i="2"/>
  <c r="D1034" i="2"/>
  <c r="D1037" i="2"/>
  <c r="D1038" i="2"/>
  <c r="D1039" i="2"/>
  <c r="D1040" i="2"/>
  <c r="D1041" i="2"/>
  <c r="D1042" i="2"/>
  <c r="D1043" i="2"/>
  <c r="D1044" i="2"/>
  <c r="D1047" i="2"/>
  <c r="D1048" i="2"/>
  <c r="D1049" i="2"/>
  <c r="D1050" i="2"/>
  <c r="D1051" i="2"/>
  <c r="D1052" i="2"/>
  <c r="D1053" i="2"/>
  <c r="D1054" i="2"/>
  <c r="D1057" i="2"/>
  <c r="D1058" i="2"/>
  <c r="D1059" i="2"/>
  <c r="D1060" i="2"/>
  <c r="D1061" i="2"/>
  <c r="D1062" i="2"/>
  <c r="D1063" i="2"/>
  <c r="D1064" i="2"/>
  <c r="D1067" i="2"/>
  <c r="D1068" i="2"/>
  <c r="D1069" i="2"/>
  <c r="D1070" i="2"/>
  <c r="D1071" i="2"/>
  <c r="D1072" i="2"/>
  <c r="D1073" i="2"/>
  <c r="D1074" i="2"/>
  <c r="D1077" i="2"/>
  <c r="D1078" i="2"/>
  <c r="D1079" i="2"/>
  <c r="D1080" i="2"/>
  <c r="D1081" i="2"/>
  <c r="D1082" i="2"/>
  <c r="D1083" i="2"/>
  <c r="D1086" i="2"/>
  <c r="D1087" i="2"/>
  <c r="D1088" i="2"/>
  <c r="D1089" i="2"/>
  <c r="D1090" i="2"/>
  <c r="D1091" i="2"/>
  <c r="D1092" i="2"/>
  <c r="D1093" i="2"/>
  <c r="D1096" i="2"/>
  <c r="D1097" i="2"/>
  <c r="D1098" i="2"/>
  <c r="D1099" i="2"/>
  <c r="D1100" i="2"/>
  <c r="D1101" i="2"/>
  <c r="D1102" i="2"/>
  <c r="D1103" i="2"/>
  <c r="D1106" i="2"/>
  <c r="D1107" i="2"/>
  <c r="D1108" i="2"/>
  <c r="D1109" i="2"/>
  <c r="D1110" i="2"/>
  <c r="D1111" i="2"/>
  <c r="D1132" i="2"/>
  <c r="D1133" i="2"/>
  <c r="D1136" i="2"/>
  <c r="D1137" i="2"/>
  <c r="D1138" i="2"/>
  <c r="D1139" i="2"/>
  <c r="D1140" i="2"/>
  <c r="D1141" i="2"/>
  <c r="D1142" i="2"/>
  <c r="D1145" i="2"/>
  <c r="D1146" i="2"/>
  <c r="D1147" i="2"/>
  <c r="D1148" i="2"/>
  <c r="D1149" i="2"/>
  <c r="D1150" i="2"/>
  <c r="D1151" i="2"/>
  <c r="D1152" i="2"/>
  <c r="D1155" i="2"/>
  <c r="D1156" i="2"/>
  <c r="D1157" i="2"/>
  <c r="D1158" i="2"/>
  <c r="D1159" i="2"/>
  <c r="D1160" i="2"/>
  <c r="D1161" i="2"/>
  <c r="D1162" i="2"/>
  <c r="D1165" i="2"/>
  <c r="D1166" i="2"/>
  <c r="D1167" i="2"/>
  <c r="D1168" i="2"/>
  <c r="D1169" i="2"/>
  <c r="D1170" i="2"/>
  <c r="D1171" i="2"/>
  <c r="D1172" i="2"/>
  <c r="D1175" i="2"/>
  <c r="D1176" i="2"/>
  <c r="D1177" i="2"/>
  <c r="D1178" i="2"/>
  <c r="D1179" i="2"/>
  <c r="D1180" i="2"/>
  <c r="D1181" i="2"/>
  <c r="D1182" i="2"/>
  <c r="D1185" i="2"/>
  <c r="D1186" i="2"/>
  <c r="D1187" i="2"/>
  <c r="D1188" i="2"/>
  <c r="D1189" i="2"/>
  <c r="D1190" i="2"/>
  <c r="D1389" i="2"/>
  <c r="D1390" i="2"/>
  <c r="D1393" i="2"/>
  <c r="D1394" i="2"/>
  <c r="D1395" i="2"/>
  <c r="D1396" i="2"/>
  <c r="D1397" i="2"/>
  <c r="D1398" i="2"/>
  <c r="D1399" i="2"/>
  <c r="D1400" i="2"/>
  <c r="D1403" i="2"/>
  <c r="D1404" i="2"/>
  <c r="D1405" i="2"/>
  <c r="D1406" i="2"/>
  <c r="D1407" i="2"/>
  <c r="D1408" i="2"/>
  <c r="D1429" i="2"/>
  <c r="D1430" i="2"/>
  <c r="D1433" i="2"/>
  <c r="D1434" i="2"/>
  <c r="D1435" i="2"/>
  <c r="D1436" i="2"/>
  <c r="D1437" i="2"/>
  <c r="D1438" i="2"/>
  <c r="D1439" i="2"/>
  <c r="D1440" i="2"/>
  <c r="D1443" i="2"/>
  <c r="D1444" i="2"/>
  <c r="D1445" i="2"/>
  <c r="D1446" i="2"/>
  <c r="D1447" i="2"/>
  <c r="D1448" i="2"/>
  <c r="D1449" i="2"/>
  <c r="D1450" i="2"/>
  <c r="D1453" i="2"/>
  <c r="D1454" i="2"/>
  <c r="D1455" i="2"/>
  <c r="D1456" i="2"/>
  <c r="D1457" i="2"/>
  <c r="D1458" i="2"/>
  <c r="D1459" i="2"/>
  <c r="D1460" i="2"/>
  <c r="D1463" i="2"/>
  <c r="D1464" i="2"/>
  <c r="D1465" i="2"/>
  <c r="D1466" i="2"/>
  <c r="D1467" i="2"/>
  <c r="D1468" i="2"/>
  <c r="D1469" i="2"/>
  <c r="D1470" i="2"/>
  <c r="D1473" i="2"/>
  <c r="D1474" i="2"/>
  <c r="D1475" i="2"/>
  <c r="D1476" i="2"/>
  <c r="D1477" i="2"/>
  <c r="D1478" i="2"/>
  <c r="D1479" i="2"/>
  <c r="D1480" i="2"/>
  <c r="D1483" i="2"/>
  <c r="D1484" i="2"/>
  <c r="D1485" i="2"/>
  <c r="D1486" i="2"/>
  <c r="D1487" i="2"/>
  <c r="D1488" i="2"/>
  <c r="D1489" i="2"/>
  <c r="D1492" i="2"/>
  <c r="D1493" i="2"/>
  <c r="D1494" i="2"/>
  <c r="D1495" i="2"/>
  <c r="D1496" i="2"/>
  <c r="D1497" i="2"/>
  <c r="D1498" i="2"/>
  <c r="D1499" i="2"/>
  <c r="D1502" i="2"/>
  <c r="D1503" i="2"/>
  <c r="D1504" i="2"/>
  <c r="D1505" i="2"/>
  <c r="D1506" i="2"/>
  <c r="D1507" i="2"/>
  <c r="E698" i="2"/>
  <c r="E702" i="2"/>
  <c r="E718" i="2"/>
  <c r="E722" i="2"/>
  <c r="E741" i="2"/>
  <c r="E745" i="2"/>
  <c r="E780" i="2"/>
  <c r="E784" i="2"/>
  <c r="E794" i="2"/>
  <c r="E814" i="2"/>
  <c r="E837" i="2"/>
  <c r="E893" i="2"/>
  <c r="E913" i="2"/>
  <c r="E974" i="2"/>
  <c r="E988" i="2"/>
  <c r="E1000" i="2"/>
  <c r="E1007" i="2"/>
  <c r="E1019" i="2"/>
  <c r="E1023" i="2"/>
  <c r="E1030" i="2"/>
  <c r="E1042" i="2"/>
  <c r="E1046" i="2"/>
  <c r="E1069" i="2"/>
  <c r="E1084" i="2"/>
  <c r="E1086" i="2"/>
  <c r="E1098" i="2"/>
  <c r="E1102" i="2"/>
  <c r="E1106" i="2"/>
  <c r="E1118" i="2"/>
  <c r="E1122" i="2"/>
  <c r="E1129" i="2"/>
  <c r="E1144" i="2"/>
  <c r="E1167" i="2"/>
  <c r="E1179" i="2"/>
  <c r="E1183" i="2"/>
  <c r="E1185" i="2"/>
  <c r="E1197" i="2"/>
  <c r="E1201" i="2"/>
  <c r="E1205" i="2"/>
  <c r="E1220" i="2"/>
  <c r="E1227" i="2"/>
  <c r="E1239" i="2"/>
  <c r="E1243" i="2"/>
  <c r="E1266" i="2"/>
  <c r="E1278" i="2"/>
  <c r="E1282" i="2"/>
  <c r="E1292" i="2"/>
  <c r="E1304" i="2"/>
  <c r="E1319" i="2"/>
  <c r="E1347" i="2"/>
  <c r="E1359" i="2"/>
  <c r="E1374" i="2"/>
  <c r="E1397" i="2"/>
  <c r="E1403" i="2"/>
  <c r="E1411" i="2"/>
  <c r="E1415" i="2"/>
  <c r="E1423" i="2"/>
  <c r="E1430" i="2"/>
  <c r="E1438" i="2"/>
  <c r="E1453" i="2"/>
  <c r="E1461" i="2"/>
  <c r="E1463" i="2"/>
  <c r="E1475" i="2"/>
  <c r="E1512" i="2"/>
  <c r="E679" i="2"/>
  <c r="E678" i="2"/>
  <c r="E675" i="2"/>
  <c r="E664" i="2"/>
  <c r="E661" i="2"/>
  <c r="E650" i="2"/>
  <c r="E649" i="2"/>
  <c r="E646" i="2"/>
  <c r="E618" i="2"/>
  <c r="E605" i="2"/>
  <c r="E604" i="2"/>
  <c r="E601" i="2"/>
  <c r="E600" i="2"/>
  <c r="E597" i="2"/>
  <c r="E591" i="2"/>
  <c r="E590" i="2"/>
  <c r="E587" i="2"/>
  <c r="E586" i="2"/>
  <c r="E585" i="2"/>
  <c r="E582" i="2"/>
  <c r="E576" i="2"/>
  <c r="E575" i="2"/>
  <c r="E572" i="2"/>
  <c r="E571" i="2"/>
  <c r="E570" i="2"/>
  <c r="E567" i="2"/>
  <c r="E561" i="2"/>
  <c r="E560" i="2"/>
  <c r="E557" i="2"/>
  <c r="E553" i="2"/>
  <c r="E543" i="2"/>
  <c r="E538" i="2"/>
  <c r="E528" i="2"/>
  <c r="E525" i="2"/>
  <c r="E524" i="2"/>
  <c r="E515" i="2"/>
  <c r="E514" i="2"/>
  <c r="E506" i="2"/>
  <c r="E505" i="2"/>
  <c r="E502" i="2"/>
  <c r="E491" i="2"/>
  <c r="E490" i="2"/>
  <c r="E487" i="2"/>
  <c r="E476" i="2"/>
  <c r="E475" i="2"/>
  <c r="E472" i="2"/>
  <c r="E458" i="2"/>
  <c r="E443" i="2"/>
  <c r="E430" i="2"/>
  <c r="E429" i="2"/>
  <c r="E421" i="2"/>
  <c r="E420" i="2"/>
  <c r="E417" i="2"/>
  <c r="E406" i="2"/>
  <c r="E405" i="2"/>
  <c r="E402" i="2"/>
  <c r="E391" i="2"/>
  <c r="E388" i="2"/>
  <c r="E374" i="2"/>
  <c r="E347" i="2"/>
  <c r="E346" i="2"/>
  <c r="E332" i="2"/>
  <c r="E330" i="2"/>
  <c r="E324" i="2"/>
  <c r="E302" i="2"/>
  <c r="E300" i="2"/>
  <c r="E294" i="2"/>
  <c r="E272" i="2"/>
  <c r="E270" i="2"/>
  <c r="E264" i="2"/>
  <c r="E236" i="2"/>
  <c r="E206" i="2"/>
  <c r="E180" i="2"/>
  <c r="E178" i="2"/>
  <c r="E148" i="2"/>
  <c r="E134" i="2"/>
  <c r="E130" i="2"/>
  <c r="E114" i="2"/>
  <c r="E98" i="2"/>
</calcChain>
</file>

<file path=xl/sharedStrings.xml><?xml version="1.0" encoding="utf-8"?>
<sst xmlns="http://schemas.openxmlformats.org/spreadsheetml/2006/main" count="4579" uniqueCount="154">
  <si>
    <t>Metric</t>
  </si>
  <si>
    <t>GHGI</t>
  </si>
  <si>
    <t>EUI</t>
  </si>
  <si>
    <t>Carbon Emission Factor</t>
  </si>
  <si>
    <t>Area</t>
  </si>
  <si>
    <t>Acre</t>
  </si>
  <si>
    <t>Mass</t>
  </si>
  <si>
    <t>kg</t>
  </si>
  <si>
    <t>lb</t>
  </si>
  <si>
    <t>Energy</t>
  </si>
  <si>
    <t>Joules</t>
  </si>
  <si>
    <t>kWh</t>
  </si>
  <si>
    <t>MWh</t>
  </si>
  <si>
    <t>kBtu</t>
  </si>
  <si>
    <t>MMBtu</t>
  </si>
  <si>
    <t>therm</t>
  </si>
  <si>
    <t>Volume</t>
  </si>
  <si>
    <t>CCF</t>
  </si>
  <si>
    <t>L</t>
  </si>
  <si>
    <t>GHG</t>
  </si>
  <si>
    <t>Fuel</t>
  </si>
  <si>
    <t>Gas</t>
  </si>
  <si>
    <t>Propane</t>
  </si>
  <si>
    <t>Diesel</t>
  </si>
  <si>
    <t>https://portfoliomanager.energystar.gov/pdf/reference/Thermal%20Conversions.pdf?_gl=1*1ypmilw*_ga*MTY2NjEyNjc1NC4xNjk5MzkxNjE5*_ga_S0KJTVVLQ6*MTY5OTM5MTYxOC4xLjAuMTY5OTM5MTYyNC4wLjAuMA..</t>
  </si>
  <si>
    <t>https://portfoliomanager.energystar.gov/pdf/reference/Emissions.pdf</t>
  </si>
  <si>
    <t>Fuel Energy Content</t>
  </si>
  <si>
    <t>CO2 Emission Intensity</t>
  </si>
  <si>
    <t>Source</t>
  </si>
  <si>
    <t>Multiplication of the two sources to the righ and left</t>
  </si>
  <si>
    <t>lb_per_Acre</t>
  </si>
  <si>
    <t>kg_per_Acre</t>
  </si>
  <si>
    <t>kWh_per_Acre</t>
  </si>
  <si>
    <t>MWh_per_Acre</t>
  </si>
  <si>
    <t>kBtu_per_Acre</t>
  </si>
  <si>
    <t>MMBtu_per_Acre</t>
  </si>
  <si>
    <t>therm_per_Acre</t>
  </si>
  <si>
    <t>Joules_per_Acre</t>
  </si>
  <si>
    <t>kg_per_Joules</t>
  </si>
  <si>
    <t>lb_per_kWh</t>
  </si>
  <si>
    <t>lb_per_MWh</t>
  </si>
  <si>
    <t>lb_per_kBtu</t>
  </si>
  <si>
    <t>lb_per_MMBtu</t>
  </si>
  <si>
    <t>lb_per_therm</t>
  </si>
  <si>
    <t>kg_per_kWh</t>
  </si>
  <si>
    <t>lb_per_Joules</t>
  </si>
  <si>
    <t>kg_per_MWh</t>
  </si>
  <si>
    <t>kg_per_kBtu</t>
  </si>
  <si>
    <t>kg_per_MMBtu</t>
  </si>
  <si>
    <t>kg_per_therm</t>
  </si>
  <si>
    <t>kWh_per_CCF</t>
  </si>
  <si>
    <t>kWh_per_L</t>
  </si>
  <si>
    <t>MWh_per_CCF</t>
  </si>
  <si>
    <t>MWh_per_L</t>
  </si>
  <si>
    <t>kBtu_per_CCF</t>
  </si>
  <si>
    <t>kBtu_per_L</t>
  </si>
  <si>
    <t>MMBtu_per_CCF</t>
  </si>
  <si>
    <t>MMBtu_per_L</t>
  </si>
  <si>
    <t>therm_per_CCF</t>
  </si>
  <si>
    <t>therm_per_L</t>
  </si>
  <si>
    <t>Joules_per_CCF</t>
  </si>
  <si>
    <t>Joules_per_L</t>
  </si>
  <si>
    <t>lb_per_CCF</t>
  </si>
  <si>
    <t>lb_per_L</t>
  </si>
  <si>
    <t>kg_per_CCF</t>
  </si>
  <si>
    <t>kg_per_L</t>
  </si>
  <si>
    <t>m2</t>
  </si>
  <si>
    <t>ft2</t>
  </si>
  <si>
    <t>kg_per_m2</t>
  </si>
  <si>
    <t>lb_per_ft2</t>
  </si>
  <si>
    <t>kg_per_ft2</t>
  </si>
  <si>
    <t>lb_per_m2</t>
  </si>
  <si>
    <t>Joules_per_m2</t>
  </si>
  <si>
    <t>kWh_per_ft2</t>
  </si>
  <si>
    <t>MWh_per_ft2</t>
  </si>
  <si>
    <t>kBtu_per_ft2</t>
  </si>
  <si>
    <t>MMBtu_per_ft2</t>
  </si>
  <si>
    <t>therm_per_ft2</t>
  </si>
  <si>
    <t>Joules_per_ft2</t>
  </si>
  <si>
    <t>kWh_per_m2</t>
  </si>
  <si>
    <t>MWh_per_m2</t>
  </si>
  <si>
    <t>kBtu_per_m2</t>
  </si>
  <si>
    <t>MMBtu_per_m2</t>
  </si>
  <si>
    <t>therm_per_m2</t>
  </si>
  <si>
    <t>ft3</t>
  </si>
  <si>
    <t>m3</t>
  </si>
  <si>
    <t>Joules_per_ft3</t>
  </si>
  <si>
    <t>kWh_per_m3</t>
  </si>
  <si>
    <t>MWh_per_m3</t>
  </si>
  <si>
    <t>kBtu_per_m3</t>
  </si>
  <si>
    <t>MMBtu_per_m3</t>
  </si>
  <si>
    <t>therm_per_m3</t>
  </si>
  <si>
    <t>kWh_per_ft3</t>
  </si>
  <si>
    <t>MWh_per_ft3</t>
  </si>
  <si>
    <t>kBtu_per_ft3</t>
  </si>
  <si>
    <t>MMBtu_per_ft3</t>
  </si>
  <si>
    <t>therm_per_ft3</t>
  </si>
  <si>
    <t>Joules_per_m3</t>
  </si>
  <si>
    <t>kg_per_ft3</t>
  </si>
  <si>
    <t>lb_per_m3</t>
  </si>
  <si>
    <t>lb_per_ft3</t>
  </si>
  <si>
    <t>kg_per_m3</t>
  </si>
  <si>
    <t>Unit_to_Convert_From</t>
  </si>
  <si>
    <t>Unit_to_Convert_To</t>
  </si>
  <si>
    <t>Conversion_Name</t>
  </si>
  <si>
    <t>Conversion_Formula</t>
  </si>
  <si>
    <t>US_Ton</t>
  </si>
  <si>
    <t>Metric_Tonne</t>
  </si>
  <si>
    <t>US_Gal</t>
  </si>
  <si>
    <t>kg_CO2e_per_year</t>
  </si>
  <si>
    <t>lbs_CO2e_per_year</t>
  </si>
  <si>
    <t>Metric_Ton_CO2e_per_year</t>
  </si>
  <si>
    <t>US_Ton_CO2e_per_year</t>
  </si>
  <si>
    <t>US_Ton_per_Acre</t>
  </si>
  <si>
    <t>Metric_Tonne_per_Acre</t>
  </si>
  <si>
    <t>US_Ton_per_kWh</t>
  </si>
  <si>
    <t>US_Ton_per_MWh</t>
  </si>
  <si>
    <t>US_Ton_per_kBtu</t>
  </si>
  <si>
    <t>US_Ton_per_MMBtu</t>
  </si>
  <si>
    <t>US_Ton_per_therm</t>
  </si>
  <si>
    <t>Metric_Tonne_per_kWh</t>
  </si>
  <si>
    <t>Metric_Tonne_per_MWh</t>
  </si>
  <si>
    <t>Metric_Tonne_per_kBtu</t>
  </si>
  <si>
    <t>Metric_Tonne_per_MMBtu</t>
  </si>
  <si>
    <t>Metric_Tonne_per_therm</t>
  </si>
  <si>
    <t>US_Ton_per_Joules</t>
  </si>
  <si>
    <t>Metric_Tonne_per_Joules</t>
  </si>
  <si>
    <t>kWh_per_US_Gal</t>
  </si>
  <si>
    <t>MWh_per_US_Gal</t>
  </si>
  <si>
    <t>kBtu_per_US_Gal</t>
  </si>
  <si>
    <t>MMBtu_per_US_Gal</t>
  </si>
  <si>
    <t>therm_per_US_Gal</t>
  </si>
  <si>
    <t>Joules_per_US_Gal</t>
  </si>
  <si>
    <t>lb_per_US_Gal</t>
  </si>
  <si>
    <t>US_Ton_per_CCF</t>
  </si>
  <si>
    <t>US_Ton_per_US_Gal</t>
  </si>
  <si>
    <t>US_Ton_per_L</t>
  </si>
  <si>
    <t>Metric_Tonne_per_CCF</t>
  </si>
  <si>
    <t>Metric_Tonne_per_US_Gal</t>
  </si>
  <si>
    <t>Metric_Tonne_per_L</t>
  </si>
  <si>
    <t>kg_per_US_Gal</t>
  </si>
  <si>
    <t>US_Ton_per_ft2</t>
  </si>
  <si>
    <t>Metric_Tonne_per_ft2</t>
  </si>
  <si>
    <t>US_Ton_per_m2</t>
  </si>
  <si>
    <t>Metric_Tonne_per_m2</t>
  </si>
  <si>
    <t>US_Ton_per_m3</t>
  </si>
  <si>
    <t>Metric_Tonne_per_m3</t>
  </si>
  <si>
    <t>US_Ton_per_ft3</t>
  </si>
  <si>
    <t>Metric_Tonne_per_ft3</t>
  </si>
  <si>
    <t>kg_CO2_per_US_Gal</t>
  </si>
  <si>
    <t>kg_CO2_per_kBtu</t>
  </si>
  <si>
    <t>Fuel_Oil_(No.1)</t>
  </si>
  <si>
    <t>Fuel_Oil_(No.2)</t>
  </si>
  <si>
    <t>Fuel_Oil_(No.4)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</si>
</sst>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9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5" fillId="3" borderId="10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15A39-A0D2-8045-9075-0D417431A3B9}" name="Table1" displayName="Table1" ref="A1:E1521" totalsRowShown="0" headerRowDxfId="0" dataDxfId="1">
  <autoFilter ref="A1:E1521" xr:uid="{20D15A39-A0D2-8045-9075-0D417431A3B9}"/>
  <tableColumns count="5">
    <tableColumn id="1" xr3:uid="{65C6DB48-0695-6748-A145-9B1CCAF29D31}" name="Metric" dataDxfId="6"/>
    <tableColumn id="2" xr3:uid="{B8EC0EB1-D179-054D-8AE0-A306C1796B6A}" name="Unit_to_Convert_From" dataDxfId="5"/>
    <tableColumn id="3" xr3:uid="{D6C3C4E7-FF50-9B46-A564-473710AA06D8}" name="Unit_to_Convert_To" dataDxfId="4"/>
    <tableColumn id="4" xr3:uid="{DAD33932-760F-974B-BE03-5EBB3A13CE79}" name="Conversion_Name" dataDxfId="3">
      <calculatedColumnFormula>B2 &amp; "_to_" &amp; C2</calculatedColumnFormula>
    </tableColumn>
    <tableColumn id="5" xr3:uid="{CB68C687-08BC-E34A-A83E-7AC270381988}" name="Conversion_Formul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3969-294D-4947-924F-23C7AF38437E}">
  <sheetPr codeName="Sheet1"/>
  <dimension ref="A1:I1521"/>
  <sheetViews>
    <sheetView tabSelected="1" workbookViewId="0">
      <selection activeCell="F9" sqref="F9"/>
    </sheetView>
  </sheetViews>
  <sheetFormatPr baseColWidth="10" defaultRowHeight="16" x14ac:dyDescent="0.2"/>
  <cols>
    <col min="1" max="1" width="39.1640625" customWidth="1"/>
    <col min="2" max="2" width="38.83203125" customWidth="1"/>
    <col min="3" max="3" width="19.33203125" customWidth="1"/>
    <col min="4" max="4" width="50.1640625" customWidth="1"/>
    <col min="5" max="5" width="20" customWidth="1"/>
    <col min="6" max="6" width="52.83203125" customWidth="1"/>
    <col min="9" max="9" width="17.1640625" bestFit="1" customWidth="1"/>
  </cols>
  <sheetData>
    <row r="1" spans="1:5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</row>
    <row r="2" spans="1:5" x14ac:dyDescent="0.2">
      <c r="A2" s="1" t="s">
        <v>4</v>
      </c>
      <c r="B2" s="2" t="s">
        <v>66</v>
      </c>
      <c r="C2" s="2" t="s">
        <v>67</v>
      </c>
      <c r="D2" s="2" t="str">
        <f>B2 &amp; "_to_" &amp; C2</f>
        <v>m2_to_ft2</v>
      </c>
      <c r="E2" s="3">
        <v>10.7639</v>
      </c>
    </row>
    <row r="3" spans="1:5" x14ac:dyDescent="0.2">
      <c r="A3" s="1" t="s">
        <v>4</v>
      </c>
      <c r="B3" s="2" t="s">
        <v>67</v>
      </c>
      <c r="C3" s="2" t="s">
        <v>66</v>
      </c>
      <c r="D3" s="2" t="str">
        <f>B3 &amp; "_to_" &amp; C3</f>
        <v>ft2_to_m2</v>
      </c>
      <c r="E3" s="3">
        <v>9.2902999999999999E-2</v>
      </c>
    </row>
    <row r="4" spans="1:5" x14ac:dyDescent="0.2">
      <c r="A4" s="1" t="s">
        <v>4</v>
      </c>
      <c r="B4" s="2" t="s">
        <v>66</v>
      </c>
      <c r="C4" s="2" t="s">
        <v>5</v>
      </c>
      <c r="D4" s="2" t="str">
        <f t="shared" ref="D4:D66" si="0">B4 &amp; "_to_" &amp; C4</f>
        <v>m2_to_Acre</v>
      </c>
      <c r="E4" s="3">
        <v>2.4710500000000001E-4</v>
      </c>
    </row>
    <row r="5" spans="1:5" x14ac:dyDescent="0.2">
      <c r="A5" s="1" t="s">
        <v>4</v>
      </c>
      <c r="B5" s="2" t="s">
        <v>5</v>
      </c>
      <c r="C5" s="2" t="s">
        <v>66</v>
      </c>
      <c r="D5" s="2" t="str">
        <f t="shared" si="0"/>
        <v>Acre_to_m2</v>
      </c>
      <c r="E5" s="3">
        <v>4046.86</v>
      </c>
    </row>
    <row r="6" spans="1:5" x14ac:dyDescent="0.2">
      <c r="A6" s="1" t="s">
        <v>4</v>
      </c>
      <c r="B6" s="2" t="s">
        <v>67</v>
      </c>
      <c r="C6" s="2" t="s">
        <v>5</v>
      </c>
      <c r="D6" s="2" t="str">
        <f t="shared" si="0"/>
        <v>ft2_to_Acre</v>
      </c>
      <c r="E6" s="3">
        <v>2.29568E-5</v>
      </c>
    </row>
    <row r="7" spans="1:5" x14ac:dyDescent="0.2">
      <c r="A7" s="1" t="s">
        <v>4</v>
      </c>
      <c r="B7" s="2" t="s">
        <v>5</v>
      </c>
      <c r="C7" s="2" t="s">
        <v>67</v>
      </c>
      <c r="D7" s="2" t="str">
        <f t="shared" si="0"/>
        <v>Acre_to_ft2</v>
      </c>
      <c r="E7" s="3">
        <v>43560</v>
      </c>
    </row>
    <row r="8" spans="1:5" x14ac:dyDescent="0.2">
      <c r="A8" s="1" t="s">
        <v>6</v>
      </c>
      <c r="B8" s="2" t="s">
        <v>7</v>
      </c>
      <c r="C8" s="2" t="s">
        <v>8</v>
      </c>
      <c r="D8" s="2" t="str">
        <f t="shared" si="0"/>
        <v>kg_to_lb</v>
      </c>
      <c r="E8" s="3">
        <v>2.2046199999999998</v>
      </c>
    </row>
    <row r="9" spans="1:5" x14ac:dyDescent="0.2">
      <c r="A9" s="1" t="s">
        <v>6</v>
      </c>
      <c r="B9" s="2" t="s">
        <v>8</v>
      </c>
      <c r="C9" s="2" t="s">
        <v>7</v>
      </c>
      <c r="D9" s="2" t="str">
        <f t="shared" si="0"/>
        <v>lb_to_kg</v>
      </c>
      <c r="E9" s="3">
        <v>0.453592</v>
      </c>
    </row>
    <row r="10" spans="1:5" x14ac:dyDescent="0.2">
      <c r="A10" s="1" t="s">
        <v>6</v>
      </c>
      <c r="B10" s="2" t="s">
        <v>7</v>
      </c>
      <c r="C10" s="2" t="s">
        <v>106</v>
      </c>
      <c r="D10" s="2" t="str">
        <f t="shared" si="0"/>
        <v>kg_to_US_Ton</v>
      </c>
      <c r="E10" s="3">
        <v>1.10231E-3</v>
      </c>
    </row>
    <row r="11" spans="1:5" x14ac:dyDescent="0.2">
      <c r="A11" s="1" t="s">
        <v>6</v>
      </c>
      <c r="B11" s="2" t="s">
        <v>106</v>
      </c>
      <c r="C11" s="2" t="s">
        <v>7</v>
      </c>
      <c r="D11" s="2" t="str">
        <f t="shared" si="0"/>
        <v>US_Ton_to_kg</v>
      </c>
      <c r="E11" s="3">
        <v>907.18499999999995</v>
      </c>
    </row>
    <row r="12" spans="1:5" x14ac:dyDescent="0.2">
      <c r="A12" s="1" t="s">
        <v>6</v>
      </c>
      <c r="B12" s="2" t="s">
        <v>7</v>
      </c>
      <c r="C12" s="2" t="s">
        <v>107</v>
      </c>
      <c r="D12" s="2" t="str">
        <f>B12 &amp; "_to_" &amp; C12</f>
        <v>kg_to_Metric_Tonne</v>
      </c>
      <c r="E12" s="3">
        <v>1E-3</v>
      </c>
    </row>
    <row r="13" spans="1:5" x14ac:dyDescent="0.2">
      <c r="A13" s="1" t="s">
        <v>6</v>
      </c>
      <c r="B13" s="2" t="s">
        <v>107</v>
      </c>
      <c r="C13" s="2" t="s">
        <v>7</v>
      </c>
      <c r="D13" s="2" t="str">
        <f>B13 &amp; "_to_" &amp; C13</f>
        <v>Metric_Tonne_to_kg</v>
      </c>
      <c r="E13" s="3">
        <v>1000</v>
      </c>
    </row>
    <row r="14" spans="1:5" x14ac:dyDescent="0.2">
      <c r="A14" s="1" t="s">
        <v>6</v>
      </c>
      <c r="B14" s="2" t="s">
        <v>8</v>
      </c>
      <c r="C14" s="2" t="s">
        <v>106</v>
      </c>
      <c r="D14" s="2" t="str">
        <f t="shared" si="0"/>
        <v>lb_to_US_Ton</v>
      </c>
      <c r="E14" s="3">
        <v>5.0000000000000001E-4</v>
      </c>
    </row>
    <row r="15" spans="1:5" x14ac:dyDescent="0.2">
      <c r="A15" s="1" t="s">
        <v>6</v>
      </c>
      <c r="B15" s="2" t="s">
        <v>106</v>
      </c>
      <c r="C15" s="2" t="s">
        <v>8</v>
      </c>
      <c r="D15" s="2" t="str">
        <f t="shared" si="0"/>
        <v>US_Ton_to_lb</v>
      </c>
      <c r="E15" s="3">
        <v>2000</v>
      </c>
    </row>
    <row r="16" spans="1:5" x14ac:dyDescent="0.2">
      <c r="A16" s="1" t="s">
        <v>6</v>
      </c>
      <c r="B16" s="2" t="s">
        <v>8</v>
      </c>
      <c r="C16" s="2" t="s">
        <v>107</v>
      </c>
      <c r="D16" s="2" t="str">
        <f t="shared" si="0"/>
        <v>lb_to_Metric_Tonne</v>
      </c>
      <c r="E16" s="3">
        <v>4.53592E-4</v>
      </c>
    </row>
    <row r="17" spans="1:5" x14ac:dyDescent="0.2">
      <c r="A17" s="1" t="s">
        <v>6</v>
      </c>
      <c r="B17" s="2" t="s">
        <v>107</v>
      </c>
      <c r="C17" s="2" t="s">
        <v>8</v>
      </c>
      <c r="D17" s="2" t="str">
        <f t="shared" si="0"/>
        <v>Metric_Tonne_to_lb</v>
      </c>
      <c r="E17" s="3">
        <v>2204.62</v>
      </c>
    </row>
    <row r="18" spans="1:5" x14ac:dyDescent="0.2">
      <c r="A18" s="1" t="s">
        <v>6</v>
      </c>
      <c r="B18" s="2" t="s">
        <v>106</v>
      </c>
      <c r="C18" s="2" t="s">
        <v>107</v>
      </c>
      <c r="D18" s="2" t="str">
        <f t="shared" si="0"/>
        <v>US_Ton_to_Metric_Tonne</v>
      </c>
      <c r="E18" s="3">
        <v>0.90718500000000002</v>
      </c>
    </row>
    <row r="19" spans="1:5" x14ac:dyDescent="0.2">
      <c r="A19" s="1" t="s">
        <v>6</v>
      </c>
      <c r="B19" s="2" t="s">
        <v>107</v>
      </c>
      <c r="C19" s="2" t="s">
        <v>106</v>
      </c>
      <c r="D19" s="2" t="str">
        <f t="shared" si="0"/>
        <v>Metric_Tonne_to_US_Ton</v>
      </c>
      <c r="E19" s="3">
        <v>1.1023099999999999</v>
      </c>
    </row>
    <row r="20" spans="1:5" x14ac:dyDescent="0.2">
      <c r="A20" s="1" t="s">
        <v>9</v>
      </c>
      <c r="B20" s="2" t="s">
        <v>10</v>
      </c>
      <c r="C20" s="2" t="s">
        <v>11</v>
      </c>
      <c r="D20" s="2" t="str">
        <f t="shared" ref="D20:D39" si="1">B20 &amp; "_to_" &amp; C20</f>
        <v>Joules_to_kWh</v>
      </c>
      <c r="E20" s="3">
        <v>2.7777799999999999E-7</v>
      </c>
    </row>
    <row r="21" spans="1:5" x14ac:dyDescent="0.2">
      <c r="A21" s="1" t="s">
        <v>9</v>
      </c>
      <c r="B21" s="2" t="s">
        <v>11</v>
      </c>
      <c r="C21" s="2" t="s">
        <v>10</v>
      </c>
      <c r="D21" s="2" t="str">
        <f t="shared" si="1"/>
        <v>kWh_to_Joules</v>
      </c>
      <c r="E21" s="3">
        <v>3600000</v>
      </c>
    </row>
    <row r="22" spans="1:5" x14ac:dyDescent="0.2">
      <c r="A22" s="1" t="s">
        <v>9</v>
      </c>
      <c r="B22" s="2" t="s">
        <v>10</v>
      </c>
      <c r="C22" s="2" t="s">
        <v>12</v>
      </c>
      <c r="D22" s="2" t="str">
        <f t="shared" si="1"/>
        <v>Joules_to_MWh</v>
      </c>
      <c r="E22" s="3">
        <v>2.7777799999999998E-10</v>
      </c>
    </row>
    <row r="23" spans="1:5" x14ac:dyDescent="0.2">
      <c r="A23" s="1" t="s">
        <v>9</v>
      </c>
      <c r="B23" s="2" t="s">
        <v>12</v>
      </c>
      <c r="C23" s="2" t="s">
        <v>10</v>
      </c>
      <c r="D23" s="2" t="str">
        <f t="shared" si="1"/>
        <v>MWh_to_Joules</v>
      </c>
      <c r="E23" s="3">
        <v>3600000000</v>
      </c>
    </row>
    <row r="24" spans="1:5" x14ac:dyDescent="0.2">
      <c r="A24" s="1" t="s">
        <v>9</v>
      </c>
      <c r="B24" s="2" t="s">
        <v>10</v>
      </c>
      <c r="C24" s="2" t="s">
        <v>13</v>
      </c>
      <c r="D24" s="2" t="str">
        <f t="shared" si="1"/>
        <v>Joules_to_kBtu</v>
      </c>
      <c r="E24" s="3">
        <v>9.47817E-4</v>
      </c>
    </row>
    <row r="25" spans="1:5" x14ac:dyDescent="0.2">
      <c r="A25" s="1" t="s">
        <v>9</v>
      </c>
      <c r="B25" s="2" t="s">
        <v>13</v>
      </c>
      <c r="C25" s="2" t="s">
        <v>10</v>
      </c>
      <c r="D25" s="2" t="str">
        <f t="shared" si="1"/>
        <v>kBtu_to_Joules</v>
      </c>
      <c r="E25" s="3">
        <v>1055.06</v>
      </c>
    </row>
    <row r="26" spans="1:5" x14ac:dyDescent="0.2">
      <c r="A26" s="1" t="s">
        <v>9</v>
      </c>
      <c r="B26" s="2" t="s">
        <v>10</v>
      </c>
      <c r="C26" s="2" t="s">
        <v>14</v>
      </c>
      <c r="D26" s="2" t="str">
        <f t="shared" si="1"/>
        <v>Joules_to_MMBtu</v>
      </c>
      <c r="E26" s="3">
        <v>9.47817E-7</v>
      </c>
    </row>
    <row r="27" spans="1:5" x14ac:dyDescent="0.2">
      <c r="A27" s="1" t="s">
        <v>9</v>
      </c>
      <c r="B27" s="2" t="s">
        <v>14</v>
      </c>
      <c r="C27" s="2" t="s">
        <v>10</v>
      </c>
      <c r="D27" s="2" t="str">
        <f t="shared" si="1"/>
        <v>MMBtu_to_Joules</v>
      </c>
      <c r="E27" s="3">
        <v>1055060000</v>
      </c>
    </row>
    <row r="28" spans="1:5" x14ac:dyDescent="0.2">
      <c r="A28" s="1" t="s">
        <v>9</v>
      </c>
      <c r="B28" s="2" t="s">
        <v>10</v>
      </c>
      <c r="C28" s="2" t="s">
        <v>15</v>
      </c>
      <c r="D28" s="2" t="str">
        <f t="shared" si="1"/>
        <v>Joules_to_therm</v>
      </c>
      <c r="E28" s="3">
        <v>9.4804300000000003E-6</v>
      </c>
    </row>
    <row r="29" spans="1:5" x14ac:dyDescent="0.2">
      <c r="A29" s="1" t="s">
        <v>9</v>
      </c>
      <c r="B29" s="2" t="s">
        <v>15</v>
      </c>
      <c r="C29" s="2" t="s">
        <v>10</v>
      </c>
      <c r="D29" s="2" t="str">
        <f t="shared" si="1"/>
        <v>therm_to_Joules</v>
      </c>
      <c r="E29" s="3">
        <v>105480</v>
      </c>
    </row>
    <row r="30" spans="1:5" x14ac:dyDescent="0.2">
      <c r="A30" s="1" t="s">
        <v>9</v>
      </c>
      <c r="B30" s="2" t="s">
        <v>11</v>
      </c>
      <c r="C30" s="2" t="s">
        <v>12</v>
      </c>
      <c r="D30" s="2" t="str">
        <f t="shared" si="1"/>
        <v>kWh_to_MWh</v>
      </c>
      <c r="E30" s="3">
        <v>1E-3</v>
      </c>
    </row>
    <row r="31" spans="1:5" x14ac:dyDescent="0.2">
      <c r="A31" s="1" t="s">
        <v>9</v>
      </c>
      <c r="B31" s="2" t="s">
        <v>12</v>
      </c>
      <c r="C31" s="2" t="s">
        <v>11</v>
      </c>
      <c r="D31" s="2" t="str">
        <f t="shared" si="1"/>
        <v>MWh_to_kWh</v>
      </c>
      <c r="E31" s="3">
        <v>1000</v>
      </c>
    </row>
    <row r="32" spans="1:5" x14ac:dyDescent="0.2">
      <c r="A32" s="1" t="s">
        <v>9</v>
      </c>
      <c r="B32" s="2" t="s">
        <v>11</v>
      </c>
      <c r="C32" s="2" t="s">
        <v>13</v>
      </c>
      <c r="D32" s="2" t="str">
        <f t="shared" si="1"/>
        <v>kWh_to_kBtu</v>
      </c>
      <c r="E32" s="3">
        <v>3.41214</v>
      </c>
    </row>
    <row r="33" spans="1:5" x14ac:dyDescent="0.2">
      <c r="A33" s="1" t="s">
        <v>9</v>
      </c>
      <c r="B33" s="2" t="s">
        <v>13</v>
      </c>
      <c r="C33" s="2" t="s">
        <v>11</v>
      </c>
      <c r="D33" s="2" t="str">
        <f t="shared" si="1"/>
        <v>kBtu_to_kWh</v>
      </c>
      <c r="E33" s="3">
        <v>0.29307100000000003</v>
      </c>
    </row>
    <row r="34" spans="1:5" x14ac:dyDescent="0.2">
      <c r="A34" s="1" t="s">
        <v>9</v>
      </c>
      <c r="B34" s="2" t="s">
        <v>11</v>
      </c>
      <c r="C34" s="2" t="s">
        <v>14</v>
      </c>
      <c r="D34" s="2" t="str">
        <f t="shared" si="1"/>
        <v>kWh_to_MMBtu</v>
      </c>
      <c r="E34" s="3">
        <v>3.4121400000000001E-3</v>
      </c>
    </row>
    <row r="35" spans="1:5" x14ac:dyDescent="0.2">
      <c r="A35" s="1" t="s">
        <v>9</v>
      </c>
      <c r="B35" s="2" t="s">
        <v>14</v>
      </c>
      <c r="C35" s="2" t="s">
        <v>11</v>
      </c>
      <c r="D35" s="2" t="str">
        <f t="shared" si="1"/>
        <v>MMBtu_to_kWh</v>
      </c>
      <c r="E35" s="3">
        <v>293.07100000000003</v>
      </c>
    </row>
    <row r="36" spans="1:5" x14ac:dyDescent="0.2">
      <c r="A36" s="1" t="s">
        <v>9</v>
      </c>
      <c r="B36" s="2" t="s">
        <v>11</v>
      </c>
      <c r="C36" s="2" t="s">
        <v>15</v>
      </c>
      <c r="D36" s="2" t="str">
        <f t="shared" si="1"/>
        <v>kWh_to_therm</v>
      </c>
      <c r="E36" s="3">
        <v>3.4121400000000003E-2</v>
      </c>
    </row>
    <row r="37" spans="1:5" x14ac:dyDescent="0.2">
      <c r="A37" s="1" t="s">
        <v>9</v>
      </c>
      <c r="B37" s="2" t="s">
        <v>15</v>
      </c>
      <c r="C37" s="2" t="s">
        <v>11</v>
      </c>
      <c r="D37" s="2" t="str">
        <f t="shared" si="1"/>
        <v>therm_to_kWh</v>
      </c>
      <c r="E37" s="3">
        <v>29.307099999999998</v>
      </c>
    </row>
    <row r="38" spans="1:5" x14ac:dyDescent="0.2">
      <c r="A38" s="1" t="s">
        <v>9</v>
      </c>
      <c r="B38" s="2" t="s">
        <v>12</v>
      </c>
      <c r="C38" s="2" t="s">
        <v>13</v>
      </c>
      <c r="D38" s="2" t="str">
        <f t="shared" si="1"/>
        <v>MWh_to_kBtu</v>
      </c>
      <c r="E38" s="3">
        <v>3412.14</v>
      </c>
    </row>
    <row r="39" spans="1:5" x14ac:dyDescent="0.2">
      <c r="A39" s="1" t="s">
        <v>9</v>
      </c>
      <c r="B39" s="2" t="s">
        <v>13</v>
      </c>
      <c r="C39" s="2" t="s">
        <v>12</v>
      </c>
      <c r="D39" s="2" t="str">
        <f t="shared" si="1"/>
        <v>kBtu_to_MWh</v>
      </c>
      <c r="E39" s="3">
        <v>2.93071E-4</v>
      </c>
    </row>
    <row r="40" spans="1:5" x14ac:dyDescent="0.2">
      <c r="A40" s="1" t="s">
        <v>9</v>
      </c>
      <c r="B40" s="2" t="s">
        <v>12</v>
      </c>
      <c r="C40" s="2" t="s">
        <v>14</v>
      </c>
      <c r="D40" s="2" t="str">
        <f t="shared" si="0"/>
        <v>MWh_to_MMBtu</v>
      </c>
      <c r="E40" s="3">
        <v>3.41214</v>
      </c>
    </row>
    <row r="41" spans="1:5" x14ac:dyDescent="0.2">
      <c r="A41" s="1" t="s">
        <v>9</v>
      </c>
      <c r="B41" s="2" t="s">
        <v>14</v>
      </c>
      <c r="C41" s="2" t="s">
        <v>12</v>
      </c>
      <c r="D41" s="2" t="str">
        <f t="shared" si="0"/>
        <v>MMBtu_to_MWh</v>
      </c>
      <c r="E41" s="3">
        <v>0.29307100000000003</v>
      </c>
    </row>
    <row r="42" spans="1:5" x14ac:dyDescent="0.2">
      <c r="A42" s="1" t="s">
        <v>9</v>
      </c>
      <c r="B42" s="2" t="s">
        <v>12</v>
      </c>
      <c r="C42" s="2" t="s">
        <v>15</v>
      </c>
      <c r="D42" s="2" t="str">
        <f>B42 &amp; "_to_" &amp; C42</f>
        <v>MWh_to_therm</v>
      </c>
      <c r="E42" s="3">
        <v>34.121400000000001</v>
      </c>
    </row>
    <row r="43" spans="1:5" x14ac:dyDescent="0.2">
      <c r="A43" s="1" t="s">
        <v>9</v>
      </c>
      <c r="B43" s="2" t="s">
        <v>15</v>
      </c>
      <c r="C43" s="2" t="s">
        <v>12</v>
      </c>
      <c r="D43" s="2" t="str">
        <f>B43 &amp; "_to_" &amp; C43</f>
        <v>therm_to_MWh</v>
      </c>
      <c r="E43" s="3">
        <v>2.9307099999999999E-2</v>
      </c>
    </row>
    <row r="44" spans="1:5" x14ac:dyDescent="0.2">
      <c r="A44" s="1" t="s">
        <v>9</v>
      </c>
      <c r="B44" s="2" t="s">
        <v>13</v>
      </c>
      <c r="C44" s="2" t="s">
        <v>14</v>
      </c>
      <c r="D44" s="2" t="str">
        <f t="shared" si="0"/>
        <v>kBtu_to_MMBtu</v>
      </c>
      <c r="E44" s="3">
        <v>1E-3</v>
      </c>
    </row>
    <row r="45" spans="1:5" x14ac:dyDescent="0.2">
      <c r="A45" s="1" t="s">
        <v>9</v>
      </c>
      <c r="B45" s="2" t="s">
        <v>14</v>
      </c>
      <c r="C45" s="2" t="s">
        <v>13</v>
      </c>
      <c r="D45" s="2" t="str">
        <f t="shared" si="0"/>
        <v>MMBtu_to_kBtu</v>
      </c>
      <c r="E45" s="3">
        <v>1000</v>
      </c>
    </row>
    <row r="46" spans="1:5" x14ac:dyDescent="0.2">
      <c r="A46" s="1" t="s">
        <v>9</v>
      </c>
      <c r="B46" s="2" t="s">
        <v>13</v>
      </c>
      <c r="C46" s="2" t="s">
        <v>15</v>
      </c>
      <c r="D46" s="2" t="str">
        <f t="shared" si="0"/>
        <v>kBtu_to_therm</v>
      </c>
      <c r="E46" s="3">
        <v>0.01</v>
      </c>
    </row>
    <row r="47" spans="1:5" x14ac:dyDescent="0.2">
      <c r="A47" s="1" t="s">
        <v>9</v>
      </c>
      <c r="B47" s="2" t="s">
        <v>15</v>
      </c>
      <c r="C47" s="2" t="s">
        <v>13</v>
      </c>
      <c r="D47" s="2" t="str">
        <f t="shared" si="0"/>
        <v>therm_to_kBtu</v>
      </c>
      <c r="E47" s="3">
        <v>100</v>
      </c>
    </row>
    <row r="48" spans="1:5" x14ac:dyDescent="0.2">
      <c r="A48" s="1" t="s">
        <v>9</v>
      </c>
      <c r="B48" s="2" t="s">
        <v>14</v>
      </c>
      <c r="C48" s="2" t="s">
        <v>15</v>
      </c>
      <c r="D48" s="2" t="str">
        <f t="shared" si="0"/>
        <v>MMBtu_to_therm</v>
      </c>
      <c r="E48" s="3">
        <v>10</v>
      </c>
    </row>
    <row r="49" spans="1:5" x14ac:dyDescent="0.2">
      <c r="A49" s="1" t="s">
        <v>9</v>
      </c>
      <c r="B49" s="2" t="s">
        <v>15</v>
      </c>
      <c r="C49" s="2" t="s">
        <v>14</v>
      </c>
      <c r="D49" s="2" t="str">
        <f t="shared" si="0"/>
        <v>therm_to_MMBtu</v>
      </c>
      <c r="E49" s="3">
        <v>0.1</v>
      </c>
    </row>
    <row r="50" spans="1:5" x14ac:dyDescent="0.2">
      <c r="A50" s="1" t="s">
        <v>16</v>
      </c>
      <c r="B50" s="2" t="s">
        <v>84</v>
      </c>
      <c r="C50" s="2" t="s">
        <v>17</v>
      </c>
      <c r="D50" s="2" t="str">
        <f t="shared" si="0"/>
        <v>ft3_to_CCF</v>
      </c>
      <c r="E50" s="3">
        <v>0.01</v>
      </c>
    </row>
    <row r="51" spans="1:5" x14ac:dyDescent="0.2">
      <c r="A51" s="1" t="s">
        <v>16</v>
      </c>
      <c r="B51" s="2" t="s">
        <v>17</v>
      </c>
      <c r="C51" s="2" t="s">
        <v>84</v>
      </c>
      <c r="D51" s="2" t="str">
        <f t="shared" si="0"/>
        <v>CCF_to_ft3</v>
      </c>
      <c r="E51" s="3">
        <v>100</v>
      </c>
    </row>
    <row r="52" spans="1:5" x14ac:dyDescent="0.2">
      <c r="A52" s="1" t="s">
        <v>16</v>
      </c>
      <c r="B52" s="2" t="s">
        <v>84</v>
      </c>
      <c r="C52" s="2" t="s">
        <v>85</v>
      </c>
      <c r="D52" s="2" t="str">
        <f>B52 &amp; "_to_" &amp; C52</f>
        <v>ft3_to_m3</v>
      </c>
      <c r="E52" s="3">
        <v>2.83168E-2</v>
      </c>
    </row>
    <row r="53" spans="1:5" x14ac:dyDescent="0.2">
      <c r="A53" s="1" t="s">
        <v>16</v>
      </c>
      <c r="B53" s="2" t="s">
        <v>85</v>
      </c>
      <c r="C53" s="2" t="s">
        <v>84</v>
      </c>
      <c r="D53" s="2" t="str">
        <f>B53 &amp; "_to_" &amp; C53</f>
        <v>m3_to_ft3</v>
      </c>
      <c r="E53" s="3">
        <v>35.314700000000002</v>
      </c>
    </row>
    <row r="54" spans="1:5" x14ac:dyDescent="0.2">
      <c r="A54" s="1" t="s">
        <v>16</v>
      </c>
      <c r="B54" s="2" t="s">
        <v>84</v>
      </c>
      <c r="C54" s="2" t="s">
        <v>108</v>
      </c>
      <c r="D54" s="2" t="str">
        <f t="shared" si="0"/>
        <v>ft3_to_US_Gal</v>
      </c>
      <c r="E54" s="3">
        <v>7.4805200000000003</v>
      </c>
    </row>
    <row r="55" spans="1:5" x14ac:dyDescent="0.2">
      <c r="A55" s="1" t="s">
        <v>16</v>
      </c>
      <c r="B55" s="2" t="s">
        <v>108</v>
      </c>
      <c r="C55" s="2" t="s">
        <v>84</v>
      </c>
      <c r="D55" s="2" t="str">
        <f t="shared" si="0"/>
        <v>US_Gal_to_ft3</v>
      </c>
      <c r="E55" s="3">
        <v>0.13368099999999999</v>
      </c>
    </row>
    <row r="56" spans="1:5" x14ac:dyDescent="0.2">
      <c r="A56" s="1" t="s">
        <v>16</v>
      </c>
      <c r="B56" s="2" t="s">
        <v>84</v>
      </c>
      <c r="C56" s="2" t="s">
        <v>18</v>
      </c>
      <c r="D56" s="2" t="str">
        <f t="shared" si="0"/>
        <v>ft3_to_L</v>
      </c>
      <c r="E56" s="3">
        <v>28.316800000000001</v>
      </c>
    </row>
    <row r="57" spans="1:5" x14ac:dyDescent="0.2">
      <c r="A57" s="1" t="s">
        <v>16</v>
      </c>
      <c r="B57" s="2" t="s">
        <v>18</v>
      </c>
      <c r="C57" s="2" t="s">
        <v>84</v>
      </c>
      <c r="D57" s="2" t="str">
        <f t="shared" si="0"/>
        <v>L_to_ft3</v>
      </c>
      <c r="E57" s="3">
        <v>3.5314699999999997E-2</v>
      </c>
    </row>
    <row r="58" spans="1:5" x14ac:dyDescent="0.2">
      <c r="A58" s="1" t="s">
        <v>16</v>
      </c>
      <c r="B58" s="2" t="s">
        <v>17</v>
      </c>
      <c r="C58" s="2" t="s">
        <v>85</v>
      </c>
      <c r="D58" s="2" t="str">
        <f t="shared" si="0"/>
        <v>CCF_to_m3</v>
      </c>
      <c r="E58" s="3">
        <v>2.83168</v>
      </c>
    </row>
    <row r="59" spans="1:5" x14ac:dyDescent="0.2">
      <c r="A59" s="1" t="s">
        <v>16</v>
      </c>
      <c r="B59" s="2" t="s">
        <v>85</v>
      </c>
      <c r="C59" s="2" t="s">
        <v>17</v>
      </c>
      <c r="D59" s="2" t="str">
        <f t="shared" si="0"/>
        <v>m3_to_CCF</v>
      </c>
      <c r="E59" s="3">
        <v>0.35314699999999999</v>
      </c>
    </row>
    <row r="60" spans="1:5" x14ac:dyDescent="0.2">
      <c r="A60" s="1" t="s">
        <v>16</v>
      </c>
      <c r="B60" s="2" t="s">
        <v>17</v>
      </c>
      <c r="C60" s="2" t="s">
        <v>108</v>
      </c>
      <c r="D60" s="2" t="str">
        <f t="shared" si="0"/>
        <v>CCF_to_US_Gal</v>
      </c>
      <c r="E60" s="3">
        <v>748.05200000000002</v>
      </c>
    </row>
    <row r="61" spans="1:5" x14ac:dyDescent="0.2">
      <c r="A61" s="1" t="s">
        <v>16</v>
      </c>
      <c r="B61" s="2" t="s">
        <v>108</v>
      </c>
      <c r="C61" s="2" t="s">
        <v>17</v>
      </c>
      <c r="D61" s="2" t="str">
        <f t="shared" si="0"/>
        <v>US_Gal_to_CCF</v>
      </c>
      <c r="E61" s="3">
        <v>1.3368099999999999E-3</v>
      </c>
    </row>
    <row r="62" spans="1:5" x14ac:dyDescent="0.2">
      <c r="A62" s="1" t="s">
        <v>16</v>
      </c>
      <c r="B62" s="2" t="s">
        <v>17</v>
      </c>
      <c r="C62" s="2" t="s">
        <v>18</v>
      </c>
      <c r="D62" s="2" t="str">
        <f>B62 &amp; "_to_" &amp; C62</f>
        <v>CCF_to_L</v>
      </c>
      <c r="E62" s="3">
        <v>2831.68</v>
      </c>
    </row>
    <row r="63" spans="1:5" x14ac:dyDescent="0.2">
      <c r="A63" s="1" t="s">
        <v>16</v>
      </c>
      <c r="B63" s="2" t="s">
        <v>18</v>
      </c>
      <c r="C63" s="2" t="s">
        <v>17</v>
      </c>
      <c r="D63" s="2" t="str">
        <f>B63 &amp; "_to_" &amp; C63</f>
        <v>L_to_CCF</v>
      </c>
      <c r="E63" s="3">
        <v>3.53147E-4</v>
      </c>
    </row>
    <row r="64" spans="1:5" x14ac:dyDescent="0.2">
      <c r="A64" s="1" t="s">
        <v>16</v>
      </c>
      <c r="B64" s="2" t="s">
        <v>85</v>
      </c>
      <c r="C64" s="2" t="s">
        <v>108</v>
      </c>
      <c r="D64" s="2" t="str">
        <f t="shared" si="0"/>
        <v>m3_to_US_Gal</v>
      </c>
      <c r="E64" s="3">
        <v>264.17200000000003</v>
      </c>
    </row>
    <row r="65" spans="1:5" x14ac:dyDescent="0.2">
      <c r="A65" s="1" t="s">
        <v>16</v>
      </c>
      <c r="B65" s="2" t="s">
        <v>108</v>
      </c>
      <c r="C65" s="2" t="s">
        <v>85</v>
      </c>
      <c r="D65" s="2" t="str">
        <f t="shared" si="0"/>
        <v>US_Gal_to_m3</v>
      </c>
      <c r="E65" s="3">
        <v>3.7854099999999999E-3</v>
      </c>
    </row>
    <row r="66" spans="1:5" x14ac:dyDescent="0.2">
      <c r="A66" s="1" t="s">
        <v>16</v>
      </c>
      <c r="B66" s="2" t="s">
        <v>85</v>
      </c>
      <c r="C66" s="2" t="s">
        <v>18</v>
      </c>
      <c r="D66" s="2" t="str">
        <f t="shared" si="0"/>
        <v>m3_to_L</v>
      </c>
      <c r="E66" s="3">
        <v>1000</v>
      </c>
    </row>
    <row r="67" spans="1:5" x14ac:dyDescent="0.2">
      <c r="A67" s="1" t="s">
        <v>16</v>
      </c>
      <c r="B67" s="2" t="s">
        <v>18</v>
      </c>
      <c r="C67" s="2" t="s">
        <v>85</v>
      </c>
      <c r="D67" s="2" t="str">
        <f t="shared" ref="D67:D119" si="2">B67 &amp; "_to_" &amp; C67</f>
        <v>L_to_m3</v>
      </c>
      <c r="E67" s="3">
        <v>1E-3</v>
      </c>
    </row>
    <row r="68" spans="1:5" x14ac:dyDescent="0.2">
      <c r="A68" s="1" t="s">
        <v>16</v>
      </c>
      <c r="B68" s="2" t="s">
        <v>108</v>
      </c>
      <c r="C68" s="2" t="s">
        <v>18</v>
      </c>
      <c r="D68" s="2" t="str">
        <f t="shared" si="2"/>
        <v>US_Gal_to_L</v>
      </c>
      <c r="E68" s="3">
        <v>3.7854100000000002</v>
      </c>
    </row>
    <row r="69" spans="1:5" x14ac:dyDescent="0.2">
      <c r="A69" s="1" t="s">
        <v>16</v>
      </c>
      <c r="B69" s="2" t="s">
        <v>18</v>
      </c>
      <c r="C69" s="2" t="s">
        <v>108</v>
      </c>
      <c r="D69" s="2" t="str">
        <f t="shared" si="2"/>
        <v>L_to_US_Gal</v>
      </c>
      <c r="E69" s="3">
        <v>0.26417200000000002</v>
      </c>
    </row>
    <row r="70" spans="1:5" x14ac:dyDescent="0.2">
      <c r="A70" s="1" t="s">
        <v>19</v>
      </c>
      <c r="B70" s="2" t="s">
        <v>109</v>
      </c>
      <c r="C70" s="2" t="s">
        <v>110</v>
      </c>
      <c r="D70" s="2" t="str">
        <f t="shared" si="2"/>
        <v>kg_CO2e_per_year_to_lbs_CO2e_per_year</v>
      </c>
      <c r="E70" s="3">
        <v>2.2046199999999998</v>
      </c>
    </row>
    <row r="71" spans="1:5" x14ac:dyDescent="0.2">
      <c r="A71" s="1" t="s">
        <v>19</v>
      </c>
      <c r="B71" s="2" t="s">
        <v>110</v>
      </c>
      <c r="C71" s="2" t="s">
        <v>109</v>
      </c>
      <c r="D71" s="2" t="str">
        <f t="shared" si="2"/>
        <v>lbs_CO2e_per_year_to_kg_CO2e_per_year</v>
      </c>
      <c r="E71" s="3">
        <v>0.453592</v>
      </c>
    </row>
    <row r="72" spans="1:5" x14ac:dyDescent="0.2">
      <c r="A72" s="1" t="s">
        <v>19</v>
      </c>
      <c r="B72" s="2" t="s">
        <v>109</v>
      </c>
      <c r="C72" s="2" t="s">
        <v>111</v>
      </c>
      <c r="D72" s="2" t="str">
        <f>B72 &amp; "_to_" &amp; C72</f>
        <v>kg_CO2e_per_year_to_Metric_Ton_CO2e_per_year</v>
      </c>
      <c r="E72" s="3">
        <v>1E-3</v>
      </c>
    </row>
    <row r="73" spans="1:5" x14ac:dyDescent="0.2">
      <c r="A73" s="1" t="s">
        <v>19</v>
      </c>
      <c r="B73" s="2" t="s">
        <v>111</v>
      </c>
      <c r="C73" s="2" t="s">
        <v>109</v>
      </c>
      <c r="D73" s="2" t="str">
        <f>B73 &amp; "_to_" &amp; C73</f>
        <v>Metric_Ton_CO2e_per_year_to_kg_CO2e_per_year</v>
      </c>
      <c r="E73" s="3">
        <v>1000</v>
      </c>
    </row>
    <row r="74" spans="1:5" x14ac:dyDescent="0.2">
      <c r="A74" s="1" t="s">
        <v>19</v>
      </c>
      <c r="B74" s="2" t="s">
        <v>109</v>
      </c>
      <c r="C74" s="2" t="s">
        <v>112</v>
      </c>
      <c r="D74" s="2" t="str">
        <f t="shared" si="2"/>
        <v>kg_CO2e_per_year_to_US_Ton_CO2e_per_year</v>
      </c>
      <c r="E74" s="3">
        <v>1.10231E-3</v>
      </c>
    </row>
    <row r="75" spans="1:5" x14ac:dyDescent="0.2">
      <c r="A75" s="1" t="s">
        <v>19</v>
      </c>
      <c r="B75" s="2" t="s">
        <v>112</v>
      </c>
      <c r="C75" s="2" t="s">
        <v>109</v>
      </c>
      <c r="D75" s="2" t="str">
        <f t="shared" si="2"/>
        <v>US_Ton_CO2e_per_year_to_kg_CO2e_per_year</v>
      </c>
      <c r="E75" s="3">
        <v>907.18499999999995</v>
      </c>
    </row>
    <row r="76" spans="1:5" x14ac:dyDescent="0.2">
      <c r="A76" s="1" t="s">
        <v>19</v>
      </c>
      <c r="B76" s="2" t="s">
        <v>110</v>
      </c>
      <c r="C76" s="2" t="s">
        <v>111</v>
      </c>
      <c r="D76" s="2" t="str">
        <f t="shared" si="2"/>
        <v>lbs_CO2e_per_year_to_Metric_Ton_CO2e_per_year</v>
      </c>
      <c r="E76" s="3">
        <v>4.53592E-4</v>
      </c>
    </row>
    <row r="77" spans="1:5" x14ac:dyDescent="0.2">
      <c r="A77" s="1" t="s">
        <v>19</v>
      </c>
      <c r="B77" s="2" t="s">
        <v>111</v>
      </c>
      <c r="C77" s="2" t="s">
        <v>110</v>
      </c>
      <c r="D77" s="2" t="str">
        <f t="shared" si="2"/>
        <v>Metric_Ton_CO2e_per_year_to_lbs_CO2e_per_year</v>
      </c>
      <c r="E77" s="3">
        <v>2204.62</v>
      </c>
    </row>
    <row r="78" spans="1:5" x14ac:dyDescent="0.2">
      <c r="A78" s="1" t="s">
        <v>19</v>
      </c>
      <c r="B78" s="2" t="s">
        <v>110</v>
      </c>
      <c r="C78" s="2" t="s">
        <v>112</v>
      </c>
      <c r="D78" s="2" t="str">
        <f t="shared" si="2"/>
        <v>lbs_CO2e_per_year_to_US_Ton_CO2e_per_year</v>
      </c>
      <c r="E78" s="3">
        <v>5.0000000000000001E-4</v>
      </c>
    </row>
    <row r="79" spans="1:5" x14ac:dyDescent="0.2">
      <c r="A79" s="1" t="s">
        <v>19</v>
      </c>
      <c r="B79" s="2" t="s">
        <v>112</v>
      </c>
      <c r="C79" s="2" t="s">
        <v>110</v>
      </c>
      <c r="D79" s="2" t="str">
        <f t="shared" si="2"/>
        <v>US_Ton_CO2e_per_year_to_lbs_CO2e_per_year</v>
      </c>
      <c r="E79" s="3">
        <v>2000</v>
      </c>
    </row>
    <row r="80" spans="1:5" x14ac:dyDescent="0.2">
      <c r="A80" s="1" t="s">
        <v>19</v>
      </c>
      <c r="B80" s="2" t="s">
        <v>111</v>
      </c>
      <c r="C80" s="2" t="s">
        <v>112</v>
      </c>
      <c r="D80" s="2" t="str">
        <f t="shared" si="2"/>
        <v>Metric_Ton_CO2e_per_year_to_US_Ton_CO2e_per_year</v>
      </c>
      <c r="E80" s="3">
        <v>1.1023099999999999</v>
      </c>
    </row>
    <row r="81" spans="1:5" x14ac:dyDescent="0.2">
      <c r="A81" s="1" t="s">
        <v>19</v>
      </c>
      <c r="B81" s="2" t="s">
        <v>112</v>
      </c>
      <c r="C81" s="2" t="s">
        <v>111</v>
      </c>
      <c r="D81" s="2" t="str">
        <f t="shared" si="2"/>
        <v>US_Ton_CO2e_per_year_to_Metric_Ton_CO2e_per_year</v>
      </c>
      <c r="E81" s="3">
        <v>0.90718500000000002</v>
      </c>
    </row>
    <row r="82" spans="1:5" x14ac:dyDescent="0.2">
      <c r="A82" s="1" t="s">
        <v>1</v>
      </c>
      <c r="B82" s="2" t="s">
        <v>68</v>
      </c>
      <c r="C82" s="2" t="s">
        <v>69</v>
      </c>
      <c r="D82" s="2" t="str">
        <f>B82 &amp; "_to_" &amp; C82</f>
        <v>kg_per_m2_to_lb_per_ft2</v>
      </c>
      <c r="E82" s="3">
        <f>2.20462/10.7639</f>
        <v>0.20481609825435018</v>
      </c>
    </row>
    <row r="83" spans="1:5" x14ac:dyDescent="0.2">
      <c r="A83" s="1" t="s">
        <v>1</v>
      </c>
      <c r="B83" s="2" t="s">
        <v>68</v>
      </c>
      <c r="C83" s="2" t="s">
        <v>30</v>
      </c>
      <c r="D83" s="2" t="str">
        <f>B83 &amp; "_to_" &amp; C83</f>
        <v>kg_per_m2_to_lb_per_Acre</v>
      </c>
      <c r="E83" s="3">
        <f>2.20462/0.000247105</f>
        <v>8921.7943789077508</v>
      </c>
    </row>
    <row r="84" spans="1:5" x14ac:dyDescent="0.2">
      <c r="A84" s="1" t="s">
        <v>1</v>
      </c>
      <c r="B84" s="2" t="s">
        <v>68</v>
      </c>
      <c r="C84" s="2" t="s">
        <v>141</v>
      </c>
      <c r="D84" s="2" t="str">
        <f t="shared" si="2"/>
        <v>kg_per_m2_to_US_Ton_per_ft2</v>
      </c>
      <c r="E84" s="3">
        <f>0.00110231/10.7639</f>
        <v>1.0240804912717511E-4</v>
      </c>
    </row>
    <row r="85" spans="1:5" x14ac:dyDescent="0.2">
      <c r="A85" s="1" t="s">
        <v>1</v>
      </c>
      <c r="B85" s="2" t="s">
        <v>68</v>
      </c>
      <c r="C85" s="2" t="s">
        <v>113</v>
      </c>
      <c r="D85" s="2" t="str">
        <f t="shared" si="2"/>
        <v>kg_per_m2_to_US_Ton_per_Acre</v>
      </c>
      <c r="E85" s="3">
        <f>0.00110231/0.000247105</f>
        <v>4.4608971894538758</v>
      </c>
    </row>
    <row r="86" spans="1:5" x14ac:dyDescent="0.2">
      <c r="A86" s="1" t="s">
        <v>1</v>
      </c>
      <c r="B86" s="2" t="s">
        <v>68</v>
      </c>
      <c r="C86" s="2" t="s">
        <v>142</v>
      </c>
      <c r="D86" s="2" t="str">
        <f>B86 &amp; "_to_" &amp; C86</f>
        <v>kg_per_m2_to_Metric_Tonne_per_ft2</v>
      </c>
      <c r="E86" s="3">
        <f>0.001/10.7639</f>
        <v>9.290312990644655E-5</v>
      </c>
    </row>
    <row r="87" spans="1:5" x14ac:dyDescent="0.2">
      <c r="A87" s="1" t="s">
        <v>1</v>
      </c>
      <c r="B87" s="2" t="s">
        <v>68</v>
      </c>
      <c r="C87" s="2" t="s">
        <v>114</v>
      </c>
      <c r="D87" s="2" t="str">
        <f t="shared" si="2"/>
        <v>kg_per_m2_to_Metric_Tonne_per_Acre</v>
      </c>
      <c r="E87" s="3">
        <f>0.001/0.000247105</f>
        <v>4.0468626697153027</v>
      </c>
    </row>
    <row r="88" spans="1:5" x14ac:dyDescent="0.2">
      <c r="A88" s="1" t="s">
        <v>1</v>
      </c>
      <c r="B88" s="2" t="s">
        <v>70</v>
      </c>
      <c r="C88" s="2" t="s">
        <v>71</v>
      </c>
      <c r="D88" s="2" t="str">
        <f t="shared" si="2"/>
        <v>kg_per_ft2_to_lb_per_m2</v>
      </c>
      <c r="E88" s="3">
        <f>2.20462/0.092903</f>
        <v>23.730342400137776</v>
      </c>
    </row>
    <row r="89" spans="1:5" x14ac:dyDescent="0.2">
      <c r="A89" s="1" t="s">
        <v>1</v>
      </c>
      <c r="B89" s="2" t="s">
        <v>70</v>
      </c>
      <c r="C89" s="2" t="s">
        <v>30</v>
      </c>
      <c r="D89" s="2" t="str">
        <f t="shared" si="2"/>
        <v>kg_per_ft2_to_lb_per_Acre</v>
      </c>
      <c r="E89" s="3">
        <f>2.20462/0.0000229568</f>
        <v>96033.41929188736</v>
      </c>
    </row>
    <row r="90" spans="1:5" x14ac:dyDescent="0.2">
      <c r="A90" s="1" t="s">
        <v>1</v>
      </c>
      <c r="B90" s="2" t="s">
        <v>70</v>
      </c>
      <c r="C90" s="2" t="s">
        <v>143</v>
      </c>
      <c r="D90" s="2" t="str">
        <f t="shared" si="2"/>
        <v>kg_per_ft2_to_US_Ton_per_m2</v>
      </c>
      <c r="E90" s="3">
        <f>0.00110231/0.092903</f>
        <v>1.1865171200068889E-2</v>
      </c>
    </row>
    <row r="91" spans="1:5" x14ac:dyDescent="0.2">
      <c r="A91" s="1" t="s">
        <v>1</v>
      </c>
      <c r="B91" s="2" t="s">
        <v>70</v>
      </c>
      <c r="C91" s="2" t="s">
        <v>113</v>
      </c>
      <c r="D91" s="2" t="str">
        <f t="shared" si="2"/>
        <v>kg_per_ft2_to_US_Ton_per_Acre</v>
      </c>
      <c r="E91" s="3">
        <f>0.00110231/0.0000229568</f>
        <v>48.016709645943685</v>
      </c>
    </row>
    <row r="92" spans="1:5" x14ac:dyDescent="0.2">
      <c r="A92" s="1" t="s">
        <v>1</v>
      </c>
      <c r="B92" s="2" t="s">
        <v>70</v>
      </c>
      <c r="C92" s="2" t="s">
        <v>144</v>
      </c>
      <c r="D92" s="2" t="str">
        <f>B92 &amp; "_to_" &amp; C92</f>
        <v>kg_per_ft2_to_Metric_Tonne_per_m2</v>
      </c>
      <c r="E92" s="3">
        <f>0.001/0.092903</f>
        <v>1.0763915051182417E-2</v>
      </c>
    </row>
    <row r="93" spans="1:5" x14ac:dyDescent="0.2">
      <c r="A93" s="1" t="s">
        <v>1</v>
      </c>
      <c r="B93" s="2" t="s">
        <v>70</v>
      </c>
      <c r="C93" s="2" t="s">
        <v>114</v>
      </c>
      <c r="D93" s="2" t="str">
        <f>B93 &amp; "_to_" &amp; C93</f>
        <v>kg_per_ft2_to_Metric_Tonne_per_Acre</v>
      </c>
      <c r="E93" s="3">
        <f>0.001/0.0000229568</f>
        <v>43.560078059659887</v>
      </c>
    </row>
    <row r="94" spans="1:5" x14ac:dyDescent="0.2">
      <c r="A94" s="1" t="s">
        <v>1</v>
      </c>
      <c r="B94" s="2" t="s">
        <v>31</v>
      </c>
      <c r="C94" s="2" t="s">
        <v>71</v>
      </c>
      <c r="D94" s="2" t="str">
        <f t="shared" si="2"/>
        <v>kg_per_Acre_to_lb_per_m2</v>
      </c>
      <c r="E94" s="3">
        <f>2.20462/4046.86</f>
        <v>5.447729844867378E-4</v>
      </c>
    </row>
    <row r="95" spans="1:5" x14ac:dyDescent="0.2">
      <c r="A95" s="1" t="s">
        <v>1</v>
      </c>
      <c r="B95" s="2" t="s">
        <v>31</v>
      </c>
      <c r="C95" s="2" t="s">
        <v>69</v>
      </c>
      <c r="D95" s="2" t="str">
        <f t="shared" si="2"/>
        <v>kg_per_Acre_to_lb_per_ft2</v>
      </c>
      <c r="E95" s="3">
        <f>2.20462/43560</f>
        <v>5.061111111111111E-5</v>
      </c>
    </row>
    <row r="96" spans="1:5" x14ac:dyDescent="0.2">
      <c r="A96" s="1" t="s">
        <v>1</v>
      </c>
      <c r="B96" s="2" t="s">
        <v>31</v>
      </c>
      <c r="C96" s="2" t="s">
        <v>143</v>
      </c>
      <c r="D96" s="2" t="str">
        <f t="shared" si="2"/>
        <v>kg_per_Acre_to_US_Ton_per_m2</v>
      </c>
      <c r="E96" s="3">
        <f>0.00110231/4046.86</f>
        <v>2.7238649224336892E-7</v>
      </c>
    </row>
    <row r="97" spans="1:5" x14ac:dyDescent="0.2">
      <c r="A97" s="1" t="s">
        <v>1</v>
      </c>
      <c r="B97" s="2" t="s">
        <v>31</v>
      </c>
      <c r="C97" s="2" t="s">
        <v>141</v>
      </c>
      <c r="D97" s="2" t="str">
        <f t="shared" si="2"/>
        <v>kg_per_Acre_to_US_Ton_per_ft2</v>
      </c>
      <c r="E97" s="3">
        <f>0.00110231/43560</f>
        <v>2.5305555555555555E-8</v>
      </c>
    </row>
    <row r="98" spans="1:5" x14ac:dyDescent="0.2">
      <c r="A98" s="1" t="s">
        <v>1</v>
      </c>
      <c r="B98" s="2" t="s">
        <v>31</v>
      </c>
      <c r="C98" s="2" t="s">
        <v>144</v>
      </c>
      <c r="D98" s="2" t="str">
        <f t="shared" si="2"/>
        <v>kg_per_Acre_to_Metric_Tonne_per_m2</v>
      </c>
      <c r="E98" s="3">
        <f>0.001/4046.86</f>
        <v>2.4710516301527605E-7</v>
      </c>
    </row>
    <row r="99" spans="1:5" x14ac:dyDescent="0.2">
      <c r="A99" s="1" t="s">
        <v>1</v>
      </c>
      <c r="B99" s="2" t="s">
        <v>31</v>
      </c>
      <c r="C99" s="2" t="s">
        <v>142</v>
      </c>
      <c r="D99" s="2" t="str">
        <f t="shared" si="2"/>
        <v>kg_per_Acre_to_Metric_Tonne_per_ft2</v>
      </c>
      <c r="E99" s="3">
        <f>0.001/43560</f>
        <v>2.2956841138659321E-8</v>
      </c>
    </row>
    <row r="100" spans="1:5" x14ac:dyDescent="0.2">
      <c r="A100" s="1" t="s">
        <v>1</v>
      </c>
      <c r="B100" s="2" t="s">
        <v>71</v>
      </c>
      <c r="C100" s="2" t="s">
        <v>70</v>
      </c>
      <c r="D100" s="2" t="str">
        <f t="shared" si="2"/>
        <v>lb_per_m2_to_kg_per_ft2</v>
      </c>
      <c r="E100" s="3">
        <f>0.453592/10.7639</f>
        <v>4.2140116500524905E-2</v>
      </c>
    </row>
    <row r="101" spans="1:5" x14ac:dyDescent="0.2">
      <c r="A101" s="1" t="s">
        <v>1</v>
      </c>
      <c r="B101" s="2" t="s">
        <v>71</v>
      </c>
      <c r="C101" s="2" t="s">
        <v>31</v>
      </c>
      <c r="D101" s="2" t="str">
        <f t="shared" si="2"/>
        <v>lb_per_m2_to_kg_per_Acre</v>
      </c>
      <c r="E101" s="3">
        <f>0.453592/0.000247105</f>
        <v>1835.6245320815037</v>
      </c>
    </row>
    <row r="102" spans="1:5" x14ac:dyDescent="0.2">
      <c r="A102" s="1" t="s">
        <v>1</v>
      </c>
      <c r="B102" s="2" t="s">
        <v>71</v>
      </c>
      <c r="C102" s="2" t="s">
        <v>141</v>
      </c>
      <c r="D102" s="2" t="str">
        <f>B102 &amp; "_to_" &amp; C102</f>
        <v>lb_per_m2_to_US_Ton_per_ft2</v>
      </c>
      <c r="E102" s="3">
        <f>0.0005/10.7639</f>
        <v>4.6451564953223275E-5</v>
      </c>
    </row>
    <row r="103" spans="1:5" x14ac:dyDescent="0.2">
      <c r="A103" s="1" t="s">
        <v>1</v>
      </c>
      <c r="B103" s="2" t="s">
        <v>71</v>
      </c>
      <c r="C103" s="2" t="s">
        <v>113</v>
      </c>
      <c r="D103" s="2" t="str">
        <f>B103 &amp; "_to_" &amp; C103</f>
        <v>lb_per_m2_to_US_Ton_per_Acre</v>
      </c>
      <c r="E103" s="3">
        <f>0.0005/0.000247105</f>
        <v>2.0234313348576514</v>
      </c>
    </row>
    <row r="104" spans="1:5" x14ac:dyDescent="0.2">
      <c r="A104" s="1" t="s">
        <v>1</v>
      </c>
      <c r="B104" s="2" t="s">
        <v>71</v>
      </c>
      <c r="C104" s="2" t="s">
        <v>142</v>
      </c>
      <c r="D104" s="2" t="str">
        <f t="shared" si="2"/>
        <v>lb_per_m2_to_Metric_Tonne_per_ft2</v>
      </c>
      <c r="E104" s="3">
        <f>0.000453592/10.7639</f>
        <v>4.2140116500524905E-5</v>
      </c>
    </row>
    <row r="105" spans="1:5" x14ac:dyDescent="0.2">
      <c r="A105" s="1" t="s">
        <v>1</v>
      </c>
      <c r="B105" s="2" t="s">
        <v>71</v>
      </c>
      <c r="C105" s="2" t="s">
        <v>114</v>
      </c>
      <c r="D105" s="2" t="str">
        <f t="shared" si="2"/>
        <v>lb_per_m2_to_Metric_Tonne_per_Acre</v>
      </c>
      <c r="E105" s="3">
        <f>0.000453592/0.000247105</f>
        <v>1.8356245320815037</v>
      </c>
    </row>
    <row r="106" spans="1:5" x14ac:dyDescent="0.2">
      <c r="A106" s="1" t="s">
        <v>1</v>
      </c>
      <c r="B106" s="2" t="s">
        <v>69</v>
      </c>
      <c r="C106" s="2" t="s">
        <v>68</v>
      </c>
      <c r="D106" s="2" t="str">
        <f t="shared" si="2"/>
        <v>lb_per_ft2_to_kg_per_m2</v>
      </c>
      <c r="E106" s="3">
        <f>0.453592/0.092903</f>
        <v>4.8824257558959347</v>
      </c>
    </row>
    <row r="107" spans="1:5" x14ac:dyDescent="0.2">
      <c r="A107" s="1" t="s">
        <v>1</v>
      </c>
      <c r="B107" s="2" t="s">
        <v>69</v>
      </c>
      <c r="C107" s="2" t="s">
        <v>31</v>
      </c>
      <c r="D107" s="2" t="str">
        <f t="shared" si="2"/>
        <v>lb_per_ft2_to_kg_per_Acre</v>
      </c>
      <c r="E107" s="3">
        <f>0.453592/0.0000229568</f>
        <v>19758.502927237245</v>
      </c>
    </row>
    <row r="108" spans="1:5" x14ac:dyDescent="0.2">
      <c r="A108" s="1" t="s">
        <v>1</v>
      </c>
      <c r="B108" s="2" t="s">
        <v>69</v>
      </c>
      <c r="C108" s="2" t="s">
        <v>143</v>
      </c>
      <c r="D108" s="2" t="str">
        <f t="shared" si="2"/>
        <v>lb_per_ft2_to_US_Ton_per_m2</v>
      </c>
      <c r="E108" s="3">
        <f>0.0005/0.092903</f>
        <v>5.3819575255912083E-3</v>
      </c>
    </row>
    <row r="109" spans="1:5" x14ac:dyDescent="0.2">
      <c r="A109" s="1" t="s">
        <v>1</v>
      </c>
      <c r="B109" s="2" t="s">
        <v>69</v>
      </c>
      <c r="C109" s="2" t="s">
        <v>113</v>
      </c>
      <c r="D109" s="2" t="str">
        <f t="shared" si="2"/>
        <v>lb_per_ft2_to_US_Ton_per_Acre</v>
      </c>
      <c r="E109" s="3">
        <f>0.0005/0.0000229568</f>
        <v>21.780039029829943</v>
      </c>
    </row>
    <row r="110" spans="1:5" x14ac:dyDescent="0.2">
      <c r="A110" s="1" t="s">
        <v>1</v>
      </c>
      <c r="B110" s="2" t="s">
        <v>69</v>
      </c>
      <c r="C110" s="2" t="s">
        <v>144</v>
      </c>
      <c r="D110" s="2" t="str">
        <f t="shared" si="2"/>
        <v>lb_per_ft2_to_Metric_Tonne_per_m2</v>
      </c>
      <c r="E110" s="3">
        <f>0.000453592/0.092903</f>
        <v>4.8824257558959345E-3</v>
      </c>
    </row>
    <row r="111" spans="1:5" x14ac:dyDescent="0.2">
      <c r="A111" s="1" t="s">
        <v>1</v>
      </c>
      <c r="B111" s="2" t="s">
        <v>69</v>
      </c>
      <c r="C111" s="2" t="s">
        <v>114</v>
      </c>
      <c r="D111" s="2" t="str">
        <f t="shared" si="2"/>
        <v>lb_per_ft2_to_Metric_Tonne_per_Acre</v>
      </c>
      <c r="E111" s="3">
        <f>0.000453592/0.0000229568</f>
        <v>19.758502927237245</v>
      </c>
    </row>
    <row r="112" spans="1:5" x14ac:dyDescent="0.2">
      <c r="A112" s="1" t="s">
        <v>1</v>
      </c>
      <c r="B112" s="2" t="s">
        <v>30</v>
      </c>
      <c r="C112" s="2" t="s">
        <v>68</v>
      </c>
      <c r="D112" s="2" t="str">
        <f>B112 &amp; "_to_" &amp; C112</f>
        <v>lb_per_Acre_to_kg_per_m2</v>
      </c>
      <c r="E112" s="3">
        <f>0.453592/4046.86</f>
        <v>1.1208492510242509E-4</v>
      </c>
    </row>
    <row r="113" spans="1:5" x14ac:dyDescent="0.2">
      <c r="A113" s="1" t="s">
        <v>1</v>
      </c>
      <c r="B113" s="2" t="s">
        <v>30</v>
      </c>
      <c r="C113" s="2" t="s">
        <v>70</v>
      </c>
      <c r="D113" s="2" t="str">
        <f>B113 &amp; "_to_" &amp; C113</f>
        <v>lb_per_Acre_to_kg_per_ft2</v>
      </c>
      <c r="E113" s="3">
        <f>0.453592/43560</f>
        <v>1.0413039485766758E-5</v>
      </c>
    </row>
    <row r="114" spans="1:5" x14ac:dyDescent="0.2">
      <c r="A114" s="1" t="s">
        <v>1</v>
      </c>
      <c r="B114" s="2" t="s">
        <v>30</v>
      </c>
      <c r="C114" s="2" t="s">
        <v>143</v>
      </c>
      <c r="D114" s="2" t="str">
        <f t="shared" si="2"/>
        <v>lb_per_Acre_to_US_Ton_per_m2</v>
      </c>
      <c r="E114" s="3">
        <f>0.0005/4046.86</f>
        <v>1.2355258150763803E-7</v>
      </c>
    </row>
    <row r="115" spans="1:5" x14ac:dyDescent="0.2">
      <c r="A115" s="1" t="s">
        <v>1</v>
      </c>
      <c r="B115" s="2" t="s">
        <v>30</v>
      </c>
      <c r="C115" s="2" t="s">
        <v>141</v>
      </c>
      <c r="D115" s="2" t="str">
        <f t="shared" si="2"/>
        <v>lb_per_Acre_to_US_Ton_per_ft2</v>
      </c>
      <c r="E115" s="3">
        <f>0.0005/43560</f>
        <v>1.147842056932966E-8</v>
      </c>
    </row>
    <row r="116" spans="1:5" x14ac:dyDescent="0.2">
      <c r="A116" s="1" t="s">
        <v>1</v>
      </c>
      <c r="B116" s="2" t="s">
        <v>30</v>
      </c>
      <c r="C116" s="2" t="s">
        <v>144</v>
      </c>
      <c r="D116" s="2" t="str">
        <f t="shared" si="2"/>
        <v>lb_per_Acre_to_Metric_Tonne_per_m2</v>
      </c>
      <c r="E116" s="3">
        <f>0.000453592/4046.86</f>
        <v>1.1208492510242508E-7</v>
      </c>
    </row>
    <row r="117" spans="1:5" x14ac:dyDescent="0.2">
      <c r="A117" s="1" t="s">
        <v>1</v>
      </c>
      <c r="B117" s="2" t="s">
        <v>30</v>
      </c>
      <c r="C117" s="2" t="s">
        <v>142</v>
      </c>
      <c r="D117" s="2" t="str">
        <f t="shared" si="2"/>
        <v>lb_per_Acre_to_Metric_Tonne_per_ft2</v>
      </c>
      <c r="E117" s="3">
        <f>0.000453592/43560</f>
        <v>1.0413039485766759E-8</v>
      </c>
    </row>
    <row r="118" spans="1:5" x14ac:dyDescent="0.2">
      <c r="A118" s="1" t="s">
        <v>1</v>
      </c>
      <c r="B118" s="2" t="s">
        <v>143</v>
      </c>
      <c r="C118" s="2" t="s">
        <v>70</v>
      </c>
      <c r="D118" s="2" t="str">
        <f t="shared" si="2"/>
        <v>US_Ton_per_m2_to_kg_per_ft2</v>
      </c>
      <c r="E118" s="3">
        <f>907.185/10.7639</f>
        <v>84.280325904179705</v>
      </c>
    </row>
    <row r="119" spans="1:5" x14ac:dyDescent="0.2">
      <c r="A119" s="1" t="s">
        <v>1</v>
      </c>
      <c r="B119" s="2" t="s">
        <v>143</v>
      </c>
      <c r="C119" s="2" t="s">
        <v>31</v>
      </c>
      <c r="D119" s="2" t="str">
        <f t="shared" si="2"/>
        <v>US_Ton_per_m2_to_kg_per_Acre</v>
      </c>
      <c r="E119" s="3">
        <f>907.185/0.000247105</f>
        <v>3671253.1110256771</v>
      </c>
    </row>
    <row r="120" spans="1:5" x14ac:dyDescent="0.2">
      <c r="A120" s="1" t="s">
        <v>1</v>
      </c>
      <c r="B120" s="2" t="s">
        <v>143</v>
      </c>
      <c r="C120" s="2" t="s">
        <v>69</v>
      </c>
      <c r="D120" s="2" t="str">
        <f t="shared" ref="D120:D139" si="3">B120 &amp; "_to_" &amp; C120</f>
        <v>US_Ton_per_m2_to_lb_per_ft2</v>
      </c>
      <c r="E120" s="3">
        <f>2000/10.7639</f>
        <v>185.8062598128931</v>
      </c>
    </row>
    <row r="121" spans="1:5" x14ac:dyDescent="0.2">
      <c r="A121" s="1" t="s">
        <v>1</v>
      </c>
      <c r="B121" s="2" t="s">
        <v>143</v>
      </c>
      <c r="C121" s="2" t="s">
        <v>30</v>
      </c>
      <c r="D121" s="2" t="str">
        <f t="shared" si="3"/>
        <v>US_Ton_per_m2_to_lb_per_Acre</v>
      </c>
      <c r="E121" s="3">
        <f>2000/0.000247105</f>
        <v>8093725.339430606</v>
      </c>
    </row>
    <row r="122" spans="1:5" x14ac:dyDescent="0.2">
      <c r="A122" s="1" t="s">
        <v>1</v>
      </c>
      <c r="B122" s="2" t="s">
        <v>143</v>
      </c>
      <c r="C122" s="2" t="s">
        <v>142</v>
      </c>
      <c r="D122" s="2" t="str">
        <f t="shared" si="3"/>
        <v>US_Ton_per_m2_to_Metric_Tonne_per_ft2</v>
      </c>
      <c r="E122" s="3">
        <f>0.907185/10.7639</f>
        <v>8.428032590417972E-2</v>
      </c>
    </row>
    <row r="123" spans="1:5" x14ac:dyDescent="0.2">
      <c r="A123" s="1" t="s">
        <v>1</v>
      </c>
      <c r="B123" s="2" t="s">
        <v>143</v>
      </c>
      <c r="C123" s="2" t="s">
        <v>114</v>
      </c>
      <c r="D123" s="2" t="str">
        <f t="shared" si="3"/>
        <v>US_Ton_per_m2_to_Metric_Tonne_per_Acre</v>
      </c>
      <c r="E123" s="3">
        <f>0.907185/0.000247105</f>
        <v>3671.2531110256773</v>
      </c>
    </row>
    <row r="124" spans="1:5" x14ac:dyDescent="0.2">
      <c r="A124" s="1" t="s">
        <v>1</v>
      </c>
      <c r="B124" s="2" t="s">
        <v>141</v>
      </c>
      <c r="C124" s="2" t="s">
        <v>68</v>
      </c>
      <c r="D124" s="2" t="str">
        <f t="shared" si="3"/>
        <v>US_Ton_per_ft2_to_kg_per_m2</v>
      </c>
      <c r="E124" s="3">
        <f>907.185/0.092903</f>
        <v>9764.8622757069188</v>
      </c>
    </row>
    <row r="125" spans="1:5" x14ac:dyDescent="0.2">
      <c r="A125" s="1" t="s">
        <v>1</v>
      </c>
      <c r="B125" s="2" t="s">
        <v>141</v>
      </c>
      <c r="C125" s="2" t="s">
        <v>31</v>
      </c>
      <c r="D125" s="2" t="str">
        <f t="shared" si="3"/>
        <v>US_Ton_per_ft2_to_kg_per_Acre</v>
      </c>
      <c r="E125" s="3">
        <f>907.185/0.0000229568</f>
        <v>39517049.414552547</v>
      </c>
    </row>
    <row r="126" spans="1:5" x14ac:dyDescent="0.2">
      <c r="A126" s="1" t="s">
        <v>1</v>
      </c>
      <c r="B126" s="2" t="s">
        <v>141</v>
      </c>
      <c r="C126" s="2" t="s">
        <v>71</v>
      </c>
      <c r="D126" s="2" t="str">
        <f t="shared" si="3"/>
        <v>US_Ton_per_ft2_to_lb_per_m2</v>
      </c>
      <c r="E126" s="3">
        <f>2000/0.092903</f>
        <v>21527.830102364831</v>
      </c>
    </row>
    <row r="127" spans="1:5" x14ac:dyDescent="0.2">
      <c r="A127" s="1" t="s">
        <v>1</v>
      </c>
      <c r="B127" s="2" t="s">
        <v>141</v>
      </c>
      <c r="C127" s="2" t="s">
        <v>30</v>
      </c>
      <c r="D127" s="2" t="str">
        <f t="shared" si="3"/>
        <v>US_Ton_per_ft2_to_lb_per_Acre</v>
      </c>
      <c r="E127" s="3">
        <f>2000/0.0000229568</f>
        <v>87120156.119319767</v>
      </c>
    </row>
    <row r="128" spans="1:5" x14ac:dyDescent="0.2">
      <c r="A128" s="1" t="s">
        <v>1</v>
      </c>
      <c r="B128" s="2" t="s">
        <v>141</v>
      </c>
      <c r="C128" s="2" t="s">
        <v>144</v>
      </c>
      <c r="D128" s="2" t="str">
        <f t="shared" si="3"/>
        <v>US_Ton_per_ft2_to_Metric_Tonne_per_m2</v>
      </c>
      <c r="E128" s="3">
        <f>0.907185/0.092903</f>
        <v>9.7648622757069212</v>
      </c>
    </row>
    <row r="129" spans="1:5" x14ac:dyDescent="0.2">
      <c r="A129" s="1" t="s">
        <v>1</v>
      </c>
      <c r="B129" s="2" t="s">
        <v>141</v>
      </c>
      <c r="C129" s="2" t="s">
        <v>114</v>
      </c>
      <c r="D129" s="2" t="str">
        <f t="shared" si="3"/>
        <v>US_Ton_per_ft2_to_Metric_Tonne_per_Acre</v>
      </c>
      <c r="E129" s="3">
        <f>0.907185/0.0000229568</f>
        <v>39517.049414552552</v>
      </c>
    </row>
    <row r="130" spans="1:5" x14ac:dyDescent="0.2">
      <c r="A130" s="1" t="s">
        <v>1</v>
      </c>
      <c r="B130" s="2" t="s">
        <v>113</v>
      </c>
      <c r="C130" s="2" t="s">
        <v>68</v>
      </c>
      <c r="D130" s="2" t="str">
        <f t="shared" si="3"/>
        <v>US_Ton_per_Acre_to_kg_per_m2</v>
      </c>
      <c r="E130" s="3">
        <f>907.185/4046.86</f>
        <v>0.22417009731001317</v>
      </c>
    </row>
    <row r="131" spans="1:5" x14ac:dyDescent="0.2">
      <c r="A131" s="1" t="s">
        <v>1</v>
      </c>
      <c r="B131" s="2" t="s">
        <v>113</v>
      </c>
      <c r="C131" s="2" t="s">
        <v>70</v>
      </c>
      <c r="D131" s="2" t="str">
        <f t="shared" si="3"/>
        <v>US_Ton_per_Acre_to_kg_per_ft2</v>
      </c>
      <c r="E131" s="3">
        <f>907.185/43560</f>
        <v>2.0826101928374655E-2</v>
      </c>
    </row>
    <row r="132" spans="1:5" x14ac:dyDescent="0.2">
      <c r="A132" s="1" t="s">
        <v>1</v>
      </c>
      <c r="B132" s="2" t="s">
        <v>113</v>
      </c>
      <c r="C132" s="2" t="s">
        <v>71</v>
      </c>
      <c r="D132" s="2" t="str">
        <f t="shared" si="3"/>
        <v>US_Ton_per_Acre_to_lb_per_m2</v>
      </c>
      <c r="E132" s="3">
        <f>2000/4046.86</f>
        <v>0.49421032603055209</v>
      </c>
    </row>
    <row r="133" spans="1:5" x14ac:dyDescent="0.2">
      <c r="A133" s="1" t="s">
        <v>1</v>
      </c>
      <c r="B133" s="2" t="s">
        <v>113</v>
      </c>
      <c r="C133" s="2" t="s">
        <v>69</v>
      </c>
      <c r="D133" s="2" t="str">
        <f t="shared" si="3"/>
        <v>US_Ton_per_Acre_to_lb_per_ft2</v>
      </c>
      <c r="E133" s="3">
        <f>2000/43560</f>
        <v>4.5913682277318638E-2</v>
      </c>
    </row>
    <row r="134" spans="1:5" x14ac:dyDescent="0.2">
      <c r="A134" s="1" t="s">
        <v>1</v>
      </c>
      <c r="B134" s="2" t="s">
        <v>113</v>
      </c>
      <c r="C134" s="2" t="s">
        <v>144</v>
      </c>
      <c r="D134" s="2" t="str">
        <f t="shared" si="3"/>
        <v>US_Ton_per_Acre_to_Metric_Tonne_per_m2</v>
      </c>
      <c r="E134" s="3">
        <f>0.907185/4046.86</f>
        <v>2.241700973100132E-4</v>
      </c>
    </row>
    <row r="135" spans="1:5" x14ac:dyDescent="0.2">
      <c r="A135" s="1" t="s">
        <v>1</v>
      </c>
      <c r="B135" s="2" t="s">
        <v>113</v>
      </c>
      <c r="C135" s="2" t="s">
        <v>142</v>
      </c>
      <c r="D135" s="2" t="str">
        <f t="shared" si="3"/>
        <v>US_Ton_per_Acre_to_Metric_Tonne_per_ft2</v>
      </c>
      <c r="E135" s="3">
        <f>0.907185/43560</f>
        <v>2.0826101928374656E-5</v>
      </c>
    </row>
    <row r="136" spans="1:5" x14ac:dyDescent="0.2">
      <c r="A136" s="1" t="s">
        <v>1</v>
      </c>
      <c r="B136" s="2" t="s">
        <v>144</v>
      </c>
      <c r="C136" s="2" t="s">
        <v>70</v>
      </c>
      <c r="D136" s="2" t="str">
        <f t="shared" si="3"/>
        <v>Metric_Tonne_per_m2_to_kg_per_ft2</v>
      </c>
      <c r="E136" s="3">
        <f>1000/10.7639</f>
        <v>92.903129906446551</v>
      </c>
    </row>
    <row r="137" spans="1:5" x14ac:dyDescent="0.2">
      <c r="A137" s="1" t="s">
        <v>1</v>
      </c>
      <c r="B137" s="2" t="s">
        <v>144</v>
      </c>
      <c r="C137" s="2" t="s">
        <v>31</v>
      </c>
      <c r="D137" s="2" t="str">
        <f t="shared" si="3"/>
        <v>Metric_Tonne_per_m2_to_kg_per_Acre</v>
      </c>
      <c r="E137" s="3">
        <f>1000/0.000247105</f>
        <v>4046862.669715303</v>
      </c>
    </row>
    <row r="138" spans="1:5" x14ac:dyDescent="0.2">
      <c r="A138" s="1" t="s">
        <v>1</v>
      </c>
      <c r="B138" s="2" t="s">
        <v>144</v>
      </c>
      <c r="C138" s="2" t="s">
        <v>69</v>
      </c>
      <c r="D138" s="2" t="str">
        <f t="shared" si="3"/>
        <v>Metric_Tonne_per_m2_to_lb_per_ft2</v>
      </c>
      <c r="E138" s="3">
        <f>2204.62/10.7639</f>
        <v>204.81609825435018</v>
      </c>
    </row>
    <row r="139" spans="1:5" x14ac:dyDescent="0.2">
      <c r="A139" s="1" t="s">
        <v>1</v>
      </c>
      <c r="B139" s="2" t="s">
        <v>144</v>
      </c>
      <c r="C139" s="2" t="s">
        <v>30</v>
      </c>
      <c r="D139" s="2" t="str">
        <f t="shared" si="3"/>
        <v>Metric_Tonne_per_m2_to_lb_per_Acre</v>
      </c>
      <c r="E139" s="3">
        <f>2204.62/0.000247105</f>
        <v>8921794.3789077513</v>
      </c>
    </row>
    <row r="140" spans="1:5" x14ac:dyDescent="0.2">
      <c r="A140" s="1" t="s">
        <v>1</v>
      </c>
      <c r="B140" s="2" t="s">
        <v>144</v>
      </c>
      <c r="C140" s="2" t="s">
        <v>141</v>
      </c>
      <c r="D140" s="2" t="str">
        <f t="shared" ref="D140:D194" si="4">B140 &amp; "_to_" &amp; C140</f>
        <v>Metric_Tonne_per_m2_to_US_Ton_per_ft2</v>
      </c>
      <c r="E140" s="3">
        <f>1.10231/10.7639</f>
        <v>0.10240804912717509</v>
      </c>
    </row>
    <row r="141" spans="1:5" x14ac:dyDescent="0.2">
      <c r="A141" s="1" t="s">
        <v>1</v>
      </c>
      <c r="B141" s="2" t="s">
        <v>144</v>
      </c>
      <c r="C141" s="2" t="s">
        <v>113</v>
      </c>
      <c r="D141" s="2" t="str">
        <f t="shared" si="4"/>
        <v>Metric_Tonne_per_m2_to_US_Ton_per_Acre</v>
      </c>
      <c r="E141" s="3">
        <f>1.10231/0.000247105</f>
        <v>4460.8971894538754</v>
      </c>
    </row>
    <row r="142" spans="1:5" x14ac:dyDescent="0.2">
      <c r="A142" s="1" t="s">
        <v>1</v>
      </c>
      <c r="B142" s="2" t="s">
        <v>142</v>
      </c>
      <c r="C142" s="2" t="s">
        <v>68</v>
      </c>
      <c r="D142" s="2" t="str">
        <f>B142 &amp; "_to_" &amp; C142</f>
        <v>Metric_Tonne_per_ft2_to_kg_per_m2</v>
      </c>
      <c r="E142" s="3">
        <f>1000/0.092903</f>
        <v>10763.915051182415</v>
      </c>
    </row>
    <row r="143" spans="1:5" x14ac:dyDescent="0.2">
      <c r="A143" s="1" t="s">
        <v>1</v>
      </c>
      <c r="B143" s="2" t="s">
        <v>142</v>
      </c>
      <c r="C143" s="2" t="s">
        <v>31</v>
      </c>
      <c r="D143" s="2" t="str">
        <f>B143 &amp; "_to_" &amp; C143</f>
        <v>Metric_Tonne_per_ft2_to_kg_per_Acre</v>
      </c>
      <c r="E143" s="3">
        <f>1000/0.0000229568</f>
        <v>43560078.059659883</v>
      </c>
    </row>
    <row r="144" spans="1:5" x14ac:dyDescent="0.2">
      <c r="A144" s="1" t="s">
        <v>1</v>
      </c>
      <c r="B144" s="2" t="s">
        <v>142</v>
      </c>
      <c r="C144" s="2" t="s">
        <v>71</v>
      </c>
      <c r="D144" s="2" t="str">
        <f t="shared" si="4"/>
        <v>Metric_Tonne_per_ft2_to_lb_per_m2</v>
      </c>
      <c r="E144" s="3">
        <f>2204.62/0.092903</f>
        <v>23730.342400137775</v>
      </c>
    </row>
    <row r="145" spans="1:5" x14ac:dyDescent="0.2">
      <c r="A145" s="1" t="s">
        <v>1</v>
      </c>
      <c r="B145" s="2" t="s">
        <v>142</v>
      </c>
      <c r="C145" s="2" t="s">
        <v>30</v>
      </c>
      <c r="D145" s="2" t="str">
        <f t="shared" si="4"/>
        <v>Metric_Tonne_per_ft2_to_lb_per_Acre</v>
      </c>
      <c r="E145" s="3">
        <f>2204.62/0.0000229568</f>
        <v>96033419.291887373</v>
      </c>
    </row>
    <row r="146" spans="1:5" x14ac:dyDescent="0.2">
      <c r="A146" s="1" t="s">
        <v>1</v>
      </c>
      <c r="B146" s="2" t="s">
        <v>142</v>
      </c>
      <c r="C146" s="2" t="s">
        <v>143</v>
      </c>
      <c r="D146" s="2" t="str">
        <f t="shared" si="4"/>
        <v>Metric_Tonne_per_ft2_to_US_Ton_per_m2</v>
      </c>
      <c r="E146" s="3">
        <f>1.10231/0.092903</f>
        <v>11.865171200068888</v>
      </c>
    </row>
    <row r="147" spans="1:5" x14ac:dyDescent="0.2">
      <c r="A147" s="1" t="s">
        <v>1</v>
      </c>
      <c r="B147" s="2" t="s">
        <v>142</v>
      </c>
      <c r="C147" s="2" t="s">
        <v>113</v>
      </c>
      <c r="D147" s="2" t="str">
        <f t="shared" si="4"/>
        <v>Metric_Tonne_per_ft2_to_US_Ton_per_Acre</v>
      </c>
      <c r="E147" s="3">
        <f>1.10231/0.0000229568</f>
        <v>48016.70964594368</v>
      </c>
    </row>
    <row r="148" spans="1:5" x14ac:dyDescent="0.2">
      <c r="A148" s="1" t="s">
        <v>1</v>
      </c>
      <c r="B148" s="2" t="s">
        <v>114</v>
      </c>
      <c r="C148" s="2" t="s">
        <v>68</v>
      </c>
      <c r="D148" s="2" t="str">
        <f t="shared" si="4"/>
        <v>Metric_Tonne_per_Acre_to_kg_per_m2</v>
      </c>
      <c r="E148" s="3">
        <f>1000/4046.86</f>
        <v>0.24710516301527605</v>
      </c>
    </row>
    <row r="149" spans="1:5" x14ac:dyDescent="0.2">
      <c r="A149" s="1" t="s">
        <v>1</v>
      </c>
      <c r="B149" s="2" t="s">
        <v>114</v>
      </c>
      <c r="C149" s="2" t="s">
        <v>70</v>
      </c>
      <c r="D149" s="2" t="str">
        <f t="shared" si="4"/>
        <v>Metric_Tonne_per_Acre_to_kg_per_ft2</v>
      </c>
      <c r="E149" s="3">
        <f>1000/43560</f>
        <v>2.2956841138659319E-2</v>
      </c>
    </row>
    <row r="150" spans="1:5" x14ac:dyDescent="0.2">
      <c r="A150" s="1" t="s">
        <v>1</v>
      </c>
      <c r="B150" s="2" t="s">
        <v>114</v>
      </c>
      <c r="C150" s="2" t="s">
        <v>71</v>
      </c>
      <c r="D150" s="2" t="str">
        <f t="shared" si="4"/>
        <v>Metric_Tonne_per_Acre_to_lb_per_m2</v>
      </c>
      <c r="E150" s="3">
        <f>2204.62/4046.86</f>
        <v>0.54477298448673783</v>
      </c>
    </row>
    <row r="151" spans="1:5" x14ac:dyDescent="0.2">
      <c r="A151" s="1" t="s">
        <v>1</v>
      </c>
      <c r="B151" s="2" t="s">
        <v>114</v>
      </c>
      <c r="C151" s="2" t="s">
        <v>69</v>
      </c>
      <c r="D151" s="2" t="str">
        <f t="shared" si="4"/>
        <v>Metric_Tonne_per_Acre_to_lb_per_ft2</v>
      </c>
      <c r="E151" s="3">
        <f>2204.62/43560</f>
        <v>5.0611111111111107E-2</v>
      </c>
    </row>
    <row r="152" spans="1:5" x14ac:dyDescent="0.2">
      <c r="A152" s="1" t="s">
        <v>1</v>
      </c>
      <c r="B152" s="2" t="s">
        <v>114</v>
      </c>
      <c r="C152" s="2" t="s">
        <v>143</v>
      </c>
      <c r="D152" s="2" t="str">
        <f>B152 &amp; "_to_" &amp; C152</f>
        <v>Metric_Tonne_per_Acre_to_US_Ton_per_m2</v>
      </c>
      <c r="E152" s="3">
        <f>1.10231/4046.86</f>
        <v>2.723864922433689E-4</v>
      </c>
    </row>
    <row r="153" spans="1:5" x14ac:dyDescent="0.2">
      <c r="A153" s="1" t="s">
        <v>1</v>
      </c>
      <c r="B153" s="2" t="s">
        <v>114</v>
      </c>
      <c r="C153" s="2" t="s">
        <v>141</v>
      </c>
      <c r="D153" s="2" t="str">
        <f>B153 &amp; "_to_" &amp; C153</f>
        <v>Metric_Tonne_per_Acre_to_US_Ton_per_ft2</v>
      </c>
      <c r="E153" s="3">
        <f>1.10231/43560</f>
        <v>2.5305555555555555E-5</v>
      </c>
    </row>
    <row r="154" spans="1:5" x14ac:dyDescent="0.2">
      <c r="A154" s="1" t="s">
        <v>2</v>
      </c>
      <c r="B154" s="2" t="s">
        <v>72</v>
      </c>
      <c r="C154" s="2" t="s">
        <v>73</v>
      </c>
      <c r="D154" s="2" t="str">
        <f t="shared" si="4"/>
        <v>Joules_per_m2_to_kWh_per_ft2</v>
      </c>
      <c r="E154" s="3">
        <f>0.000000277778/10.7639</f>
        <v>2.580644561915291E-8</v>
      </c>
    </row>
    <row r="155" spans="1:5" x14ac:dyDescent="0.2">
      <c r="A155" s="1" t="s">
        <v>2</v>
      </c>
      <c r="B155" s="2" t="s">
        <v>72</v>
      </c>
      <c r="C155" s="2" t="s">
        <v>32</v>
      </c>
      <c r="D155" s="2" t="str">
        <f t="shared" si="4"/>
        <v>Joules_per_m2_to_kWh_per_Acre</v>
      </c>
      <c r="E155" s="3">
        <f>0.000000277778/0.000247105</f>
        <v>1.1241294186681774E-3</v>
      </c>
    </row>
    <row r="156" spans="1:5" x14ac:dyDescent="0.2">
      <c r="A156" s="1" t="s">
        <v>2</v>
      </c>
      <c r="B156" s="2" t="s">
        <v>72</v>
      </c>
      <c r="C156" s="2" t="s">
        <v>74</v>
      </c>
      <c r="D156" s="2" t="str">
        <f t="shared" si="4"/>
        <v>Joules_per_m2_to_MWh_per_ft2</v>
      </c>
      <c r="E156" s="3">
        <f>0.000000000277778/10.7639</f>
        <v>2.5806445619152907E-11</v>
      </c>
    </row>
    <row r="157" spans="1:5" x14ac:dyDescent="0.2">
      <c r="A157" s="1" t="s">
        <v>2</v>
      </c>
      <c r="B157" s="2" t="s">
        <v>72</v>
      </c>
      <c r="C157" s="2" t="s">
        <v>33</v>
      </c>
      <c r="D157" s="2" t="str">
        <f t="shared" si="4"/>
        <v>Joules_per_m2_to_MWh_per_Acre</v>
      </c>
      <c r="E157" s="3">
        <f>0.000000000277778/0.000247105</f>
        <v>1.1241294186681774E-6</v>
      </c>
    </row>
    <row r="158" spans="1:5" x14ac:dyDescent="0.2">
      <c r="A158" s="1" t="s">
        <v>2</v>
      </c>
      <c r="B158" s="2" t="s">
        <v>72</v>
      </c>
      <c r="C158" s="2" t="s">
        <v>75</v>
      </c>
      <c r="D158" s="2" t="str">
        <f t="shared" si="4"/>
        <v>Joules_per_m2_to_kBtu_per_ft2</v>
      </c>
      <c r="E158" s="3">
        <f>0.000947817/10.7639</f>
        <v>8.8055165878538454E-5</v>
      </c>
    </row>
    <row r="159" spans="1:5" x14ac:dyDescent="0.2">
      <c r="A159" s="1" t="s">
        <v>2</v>
      </c>
      <c r="B159" s="2" t="s">
        <v>72</v>
      </c>
      <c r="C159" s="2" t="s">
        <v>34</v>
      </c>
      <c r="D159" s="2" t="str">
        <f t="shared" si="4"/>
        <v>Joules_per_m2_to_kBtu_per_Acre</v>
      </c>
      <c r="E159" s="3">
        <f>0.000947817/0.000247105</f>
        <v>3.8356852350215491</v>
      </c>
    </row>
    <row r="160" spans="1:5" x14ac:dyDescent="0.2">
      <c r="A160" s="1" t="s">
        <v>2</v>
      </c>
      <c r="B160" s="2" t="s">
        <v>72</v>
      </c>
      <c r="C160" s="2" t="s">
        <v>76</v>
      </c>
      <c r="D160" s="2" t="str">
        <f t="shared" si="4"/>
        <v>Joules_per_m2_to_MMBtu_per_ft2</v>
      </c>
      <c r="E160" s="3">
        <f>0.000000947817/10.7639</f>
        <v>8.805516587853845E-8</v>
      </c>
    </row>
    <row r="161" spans="1:5" x14ac:dyDescent="0.2">
      <c r="A161" s="1" t="s">
        <v>2</v>
      </c>
      <c r="B161" s="2" t="s">
        <v>72</v>
      </c>
      <c r="C161" s="2" t="s">
        <v>35</v>
      </c>
      <c r="D161" s="2" t="str">
        <f t="shared" si="4"/>
        <v>Joules_per_m2_to_MMBtu_per_Acre</v>
      </c>
      <c r="E161" s="3">
        <f>0.000000947817/0.000247105</f>
        <v>3.8356852350215492E-3</v>
      </c>
    </row>
    <row r="162" spans="1:5" x14ac:dyDescent="0.2">
      <c r="A162" s="1" t="s">
        <v>2</v>
      </c>
      <c r="B162" s="2" t="s">
        <v>72</v>
      </c>
      <c r="C162" s="2" t="s">
        <v>77</v>
      </c>
      <c r="D162" s="2" t="str">
        <f>B162 &amp; "_to_" &amp; C162</f>
        <v>Joules_per_m2_to_therm_per_ft2</v>
      </c>
      <c r="E162" s="3">
        <f>0.00000948043/10.7639</f>
        <v>8.8076161985897315E-7</v>
      </c>
    </row>
    <row r="163" spans="1:5" x14ac:dyDescent="0.2">
      <c r="A163" s="1" t="s">
        <v>2</v>
      </c>
      <c r="B163" s="2" t="s">
        <v>72</v>
      </c>
      <c r="C163" s="2" t="s">
        <v>36</v>
      </c>
      <c r="D163" s="2" t="str">
        <f>B163 &amp; "_to_" &amp; C163</f>
        <v>Joules_per_m2_to_therm_per_Acre</v>
      </c>
      <c r="E163" s="3">
        <f>0.00000948043/0.000247105</f>
        <v>3.836599825984905E-2</v>
      </c>
    </row>
    <row r="164" spans="1:5" x14ac:dyDescent="0.2">
      <c r="A164" s="1" t="s">
        <v>2</v>
      </c>
      <c r="B164" s="2" t="s">
        <v>78</v>
      </c>
      <c r="C164" s="2" t="s">
        <v>79</v>
      </c>
      <c r="D164" s="2" t="str">
        <f t="shared" si="4"/>
        <v>Joules_per_ft2_to_kWh_per_m2</v>
      </c>
      <c r="E164" s="3">
        <f>0.000000277778/0.092903</f>
        <v>2.989978795087349E-6</v>
      </c>
    </row>
    <row r="165" spans="1:5" x14ac:dyDescent="0.2">
      <c r="A165" s="1" t="s">
        <v>2</v>
      </c>
      <c r="B165" s="2" t="s">
        <v>78</v>
      </c>
      <c r="C165" s="2" t="s">
        <v>32</v>
      </c>
      <c r="D165" s="2" t="str">
        <f t="shared" si="4"/>
        <v>Joules_per_ft2_to_kWh_per_Acre</v>
      </c>
      <c r="E165" s="3">
        <f>0.000000277778/0.0000229568</f>
        <v>1.2100031363256202E-2</v>
      </c>
    </row>
    <row r="166" spans="1:5" x14ac:dyDescent="0.2">
      <c r="A166" s="1" t="s">
        <v>2</v>
      </c>
      <c r="B166" s="2" t="s">
        <v>78</v>
      </c>
      <c r="C166" s="2" t="s">
        <v>80</v>
      </c>
      <c r="D166" s="2" t="str">
        <f t="shared" si="4"/>
        <v>Joules_per_ft2_to_MWh_per_m2</v>
      </c>
      <c r="E166" s="3">
        <f>0.000000000277778/0.092903</f>
        <v>2.9899787950873488E-9</v>
      </c>
    </row>
    <row r="167" spans="1:5" x14ac:dyDescent="0.2">
      <c r="A167" s="1" t="s">
        <v>2</v>
      </c>
      <c r="B167" s="2" t="s">
        <v>78</v>
      </c>
      <c r="C167" s="2" t="s">
        <v>33</v>
      </c>
      <c r="D167" s="2" t="str">
        <f t="shared" si="4"/>
        <v>Joules_per_ft2_to_MWh_per_Acre</v>
      </c>
      <c r="E167" s="3">
        <f>0.000000000277778/0.0000229568</f>
        <v>1.2100031363256203E-5</v>
      </c>
    </row>
    <row r="168" spans="1:5" x14ac:dyDescent="0.2">
      <c r="A168" s="1" t="s">
        <v>2</v>
      </c>
      <c r="B168" s="2" t="s">
        <v>78</v>
      </c>
      <c r="C168" s="2" t="s">
        <v>81</v>
      </c>
      <c r="D168" s="2" t="str">
        <f t="shared" si="4"/>
        <v>Joules_per_ft2_to_kBtu_per_m2</v>
      </c>
      <c r="E168" s="3">
        <f>0.000947817/0.092903</f>
        <v>1.0202221672066565E-2</v>
      </c>
    </row>
    <row r="169" spans="1:5" x14ac:dyDescent="0.2">
      <c r="A169" s="1" t="s">
        <v>2</v>
      </c>
      <c r="B169" s="2" t="s">
        <v>78</v>
      </c>
      <c r="C169" s="2" t="s">
        <v>34</v>
      </c>
      <c r="D169" s="2" t="str">
        <f t="shared" si="4"/>
        <v>Joules_per_ft2_to_kBtu_per_Acre</v>
      </c>
      <c r="E169" s="3">
        <f>0.000947817/0.0000229568</f>
        <v>41.286982506272651</v>
      </c>
    </row>
    <row r="170" spans="1:5" x14ac:dyDescent="0.2">
      <c r="A170" s="1" t="s">
        <v>2</v>
      </c>
      <c r="B170" s="2" t="s">
        <v>78</v>
      </c>
      <c r="C170" s="2" t="s">
        <v>82</v>
      </c>
      <c r="D170" s="2" t="str">
        <f t="shared" si="4"/>
        <v>Joules_per_ft2_to_MMBtu_per_m2</v>
      </c>
      <c r="E170" s="3">
        <f>0.000000947817/0.092903</f>
        <v>1.0202221672066563E-5</v>
      </c>
    </row>
    <row r="171" spans="1:5" x14ac:dyDescent="0.2">
      <c r="A171" s="1" t="s">
        <v>2</v>
      </c>
      <c r="B171" s="2" t="s">
        <v>78</v>
      </c>
      <c r="C171" s="2" t="s">
        <v>35</v>
      </c>
      <c r="D171" s="2" t="str">
        <f t="shared" si="4"/>
        <v>Joules_per_ft2_to_MMBtu_per_Acre</v>
      </c>
      <c r="E171" s="3">
        <f>0.000000947817/0.0000229568</f>
        <v>4.1286982506272649E-2</v>
      </c>
    </row>
    <row r="172" spans="1:5" x14ac:dyDescent="0.2">
      <c r="A172" s="1" t="s">
        <v>2</v>
      </c>
      <c r="B172" s="2" t="s">
        <v>78</v>
      </c>
      <c r="C172" s="2" t="s">
        <v>83</v>
      </c>
      <c r="D172" s="2" t="str">
        <f>B172 &amp; "_to_" &amp; C172</f>
        <v>Joules_per_ft2_to_therm_per_m2</v>
      </c>
      <c r="E172" s="3">
        <f>0.00000948043/0.092903</f>
        <v>1.0204654316868132E-4</v>
      </c>
    </row>
    <row r="173" spans="1:5" x14ac:dyDescent="0.2">
      <c r="A173" s="1" t="s">
        <v>2</v>
      </c>
      <c r="B173" s="2" t="s">
        <v>78</v>
      </c>
      <c r="C173" s="2" t="s">
        <v>36</v>
      </c>
      <c r="D173" s="2" t="str">
        <f>B173 &amp; "_to_" &amp; C173</f>
        <v>Joules_per_ft2_to_therm_per_Acre</v>
      </c>
      <c r="E173" s="3">
        <f>0.00000948043/0.0000229568</f>
        <v>0.41296827083914134</v>
      </c>
    </row>
    <row r="174" spans="1:5" x14ac:dyDescent="0.2">
      <c r="A174" s="1" t="s">
        <v>2</v>
      </c>
      <c r="B174" s="2" t="s">
        <v>37</v>
      </c>
      <c r="C174" s="2" t="s">
        <v>79</v>
      </c>
      <c r="D174" s="2" t="str">
        <f t="shared" si="4"/>
        <v>Joules_per_Acre_to_kWh_per_m2</v>
      </c>
      <c r="E174" s="3">
        <f>0.000000277778/4046.86</f>
        <v>6.8640377972057341E-11</v>
      </c>
    </row>
    <row r="175" spans="1:5" x14ac:dyDescent="0.2">
      <c r="A175" s="1" t="s">
        <v>2</v>
      </c>
      <c r="B175" s="2" t="s">
        <v>37</v>
      </c>
      <c r="C175" s="2" t="s">
        <v>73</v>
      </c>
      <c r="D175" s="2" t="str">
        <f t="shared" si="4"/>
        <v>Joules_per_Acre_to_kWh_per_ft2</v>
      </c>
      <c r="E175" s="3">
        <f>0.000000277778/43560</f>
        <v>6.3769054178145085E-12</v>
      </c>
    </row>
    <row r="176" spans="1:5" x14ac:dyDescent="0.2">
      <c r="A176" s="1" t="s">
        <v>2</v>
      </c>
      <c r="B176" s="2" t="s">
        <v>37</v>
      </c>
      <c r="C176" s="2" t="s">
        <v>80</v>
      </c>
      <c r="D176" s="2" t="str">
        <f t="shared" si="4"/>
        <v>Joules_per_Acre_to_MWh_per_m2</v>
      </c>
      <c r="E176" s="3">
        <f>0.000000000277778/4046.86</f>
        <v>6.8640377972057341E-14</v>
      </c>
    </row>
    <row r="177" spans="1:5" x14ac:dyDescent="0.2">
      <c r="A177" s="1" t="s">
        <v>2</v>
      </c>
      <c r="B177" s="2" t="s">
        <v>37</v>
      </c>
      <c r="C177" s="2" t="s">
        <v>74</v>
      </c>
      <c r="D177" s="2" t="str">
        <f t="shared" si="4"/>
        <v>Joules_per_Acre_to_MWh_per_ft2</v>
      </c>
      <c r="E177" s="3">
        <f>0.000000000277778/43560</f>
        <v>6.376905417814508E-15</v>
      </c>
    </row>
    <row r="178" spans="1:5" x14ac:dyDescent="0.2">
      <c r="A178" s="1" t="s">
        <v>2</v>
      </c>
      <c r="B178" s="2" t="s">
        <v>37</v>
      </c>
      <c r="C178" s="2" t="s">
        <v>81</v>
      </c>
      <c r="D178" s="2" t="str">
        <f t="shared" si="4"/>
        <v>Joules_per_Acre_to_kBtu_per_m2</v>
      </c>
      <c r="E178" s="3">
        <f>0.000947817/4046.86</f>
        <v>2.3421047429364989E-7</v>
      </c>
    </row>
    <row r="179" spans="1:5" x14ac:dyDescent="0.2">
      <c r="A179" s="1" t="s">
        <v>2</v>
      </c>
      <c r="B179" s="2" t="s">
        <v>37</v>
      </c>
      <c r="C179" s="2" t="s">
        <v>75</v>
      </c>
      <c r="D179" s="2" t="str">
        <f t="shared" si="4"/>
        <v>Joules_per_Acre_to_kBtu_per_ft2</v>
      </c>
      <c r="E179" s="3">
        <f>0.000947817/43560</f>
        <v>2.1758884297520659E-8</v>
      </c>
    </row>
    <row r="180" spans="1:5" x14ac:dyDescent="0.2">
      <c r="A180" s="1" t="s">
        <v>2</v>
      </c>
      <c r="B180" s="2" t="s">
        <v>37</v>
      </c>
      <c r="C180" s="2" t="s">
        <v>82</v>
      </c>
      <c r="D180" s="2" t="str">
        <f t="shared" si="4"/>
        <v>Joules_per_Acre_to_MMBtu_per_m2</v>
      </c>
      <c r="E180" s="3">
        <f>0.000000947817/4046.86</f>
        <v>2.3421047429364991E-10</v>
      </c>
    </row>
    <row r="181" spans="1:5" x14ac:dyDescent="0.2">
      <c r="A181" s="1" t="s">
        <v>2</v>
      </c>
      <c r="B181" s="2" t="s">
        <v>37</v>
      </c>
      <c r="C181" s="2" t="s">
        <v>76</v>
      </c>
      <c r="D181" s="2" t="str">
        <f t="shared" si="4"/>
        <v>Joules_per_Acre_to_MMBtu_per_ft2</v>
      </c>
      <c r="E181" s="3">
        <f>0.000000947817/43560</f>
        <v>2.1758884297520662E-11</v>
      </c>
    </row>
    <row r="182" spans="1:5" x14ac:dyDescent="0.2">
      <c r="A182" s="1" t="s">
        <v>2</v>
      </c>
      <c r="B182" s="2" t="s">
        <v>37</v>
      </c>
      <c r="C182" s="2" t="s">
        <v>83</v>
      </c>
      <c r="D182" s="2" t="str">
        <f>B182 &amp; "_to_" &amp; C182</f>
        <v>Joules_per_Acre_to_therm_per_m2</v>
      </c>
      <c r="E182" s="3">
        <f>0.00000948043/4046.86</f>
        <v>2.3426632006049135E-9</v>
      </c>
    </row>
    <row r="183" spans="1:5" x14ac:dyDescent="0.2">
      <c r="A183" s="1" t="s">
        <v>2</v>
      </c>
      <c r="B183" s="2" t="s">
        <v>37</v>
      </c>
      <c r="C183" s="2" t="s">
        <v>77</v>
      </c>
      <c r="D183" s="2" t="str">
        <f>B183 &amp; "_to_" &amp; C183</f>
        <v>Joules_per_Acre_to_therm_per_ft2</v>
      </c>
      <c r="E183" s="3">
        <f>0.00000948043/43560</f>
        <v>2.1764072543618E-10</v>
      </c>
    </row>
    <row r="184" spans="1:5" x14ac:dyDescent="0.2">
      <c r="A184" s="1" t="s">
        <v>2</v>
      </c>
      <c r="B184" s="2" t="s">
        <v>79</v>
      </c>
      <c r="C184" s="2" t="s">
        <v>78</v>
      </c>
      <c r="D184" s="2" t="str">
        <f t="shared" si="4"/>
        <v>kWh_per_m2_to_Joules_per_ft2</v>
      </c>
      <c r="E184" s="3">
        <f>3600000/10.7639</f>
        <v>334451.2676632076</v>
      </c>
    </row>
    <row r="185" spans="1:5" x14ac:dyDescent="0.2">
      <c r="A185" s="1" t="s">
        <v>2</v>
      </c>
      <c r="B185" s="2" t="s">
        <v>79</v>
      </c>
      <c r="C185" s="2" t="s">
        <v>37</v>
      </c>
      <c r="D185" s="2" t="str">
        <f t="shared" si="4"/>
        <v>kWh_per_m2_to_Joules_per_Acre</v>
      </c>
      <c r="E185" s="3">
        <f>3600000/0.000247105</f>
        <v>14568705610.97509</v>
      </c>
    </row>
    <row r="186" spans="1:5" x14ac:dyDescent="0.2">
      <c r="A186" s="1" t="s">
        <v>2</v>
      </c>
      <c r="B186" s="2" t="s">
        <v>79</v>
      </c>
      <c r="C186" s="2" t="s">
        <v>74</v>
      </c>
      <c r="D186" s="2" t="str">
        <f t="shared" si="4"/>
        <v>kWh_per_m2_to_MWh_per_ft2</v>
      </c>
      <c r="E186" s="3">
        <f>0.001/10.7639</f>
        <v>9.290312990644655E-5</v>
      </c>
    </row>
    <row r="187" spans="1:5" x14ac:dyDescent="0.2">
      <c r="A187" s="1" t="s">
        <v>2</v>
      </c>
      <c r="B187" s="2" t="s">
        <v>79</v>
      </c>
      <c r="C187" s="2" t="s">
        <v>33</v>
      </c>
      <c r="D187" s="2" t="str">
        <f t="shared" si="4"/>
        <v>kWh_per_m2_to_MWh_per_Acre</v>
      </c>
      <c r="E187" s="3">
        <f>0.001/0.000247105</f>
        <v>4.0468626697153027</v>
      </c>
    </row>
    <row r="188" spans="1:5" x14ac:dyDescent="0.2">
      <c r="A188" s="1" t="s">
        <v>2</v>
      </c>
      <c r="B188" s="2" t="s">
        <v>79</v>
      </c>
      <c r="C188" s="2" t="s">
        <v>75</v>
      </c>
      <c r="D188" s="2" t="str">
        <f t="shared" si="4"/>
        <v>kWh_per_m2_to_kBtu_per_ft2</v>
      </c>
      <c r="E188" s="3">
        <f>3.41214/10.7639</f>
        <v>0.31699848567898253</v>
      </c>
    </row>
    <row r="189" spans="1:5" x14ac:dyDescent="0.2">
      <c r="A189" s="1" t="s">
        <v>2</v>
      </c>
      <c r="B189" s="2" t="s">
        <v>79</v>
      </c>
      <c r="C189" s="2" t="s">
        <v>34</v>
      </c>
      <c r="D189" s="2" t="str">
        <f t="shared" si="4"/>
        <v>kWh_per_m2_to_kBtu_per_Acre</v>
      </c>
      <c r="E189" s="3">
        <f>3.41214/0.000247105</f>
        <v>13808.461989842373</v>
      </c>
    </row>
    <row r="190" spans="1:5" x14ac:dyDescent="0.2">
      <c r="A190" s="1" t="s">
        <v>2</v>
      </c>
      <c r="B190" s="2" t="s">
        <v>79</v>
      </c>
      <c r="C190" s="2" t="s">
        <v>76</v>
      </c>
      <c r="D190" s="2" t="str">
        <f t="shared" si="4"/>
        <v>kWh_per_m2_to_MMBtu_per_ft2</v>
      </c>
      <c r="E190" s="3">
        <f>0.00341214/10.7639</f>
        <v>3.1699848567898258E-4</v>
      </c>
    </row>
    <row r="191" spans="1:5" x14ac:dyDescent="0.2">
      <c r="A191" s="1" t="s">
        <v>2</v>
      </c>
      <c r="B191" s="2" t="s">
        <v>79</v>
      </c>
      <c r="C191" s="2" t="s">
        <v>35</v>
      </c>
      <c r="D191" s="2" t="str">
        <f t="shared" si="4"/>
        <v>kWh_per_m2_to_MMBtu_per_Acre</v>
      </c>
      <c r="E191" s="3">
        <f>0.00341214/0.000247105</f>
        <v>13.808461989842375</v>
      </c>
    </row>
    <row r="192" spans="1:5" x14ac:dyDescent="0.2">
      <c r="A192" s="1" t="s">
        <v>2</v>
      </c>
      <c r="B192" s="2" t="s">
        <v>79</v>
      </c>
      <c r="C192" s="2" t="s">
        <v>77</v>
      </c>
      <c r="D192" s="2" t="str">
        <f>B192 &amp; "_to_" &amp; C192</f>
        <v>kWh_per_m2_to_therm_per_ft2</v>
      </c>
      <c r="E192" s="3">
        <f>0.0341214/10.7639</f>
        <v>3.1699848567898255E-3</v>
      </c>
    </row>
    <row r="193" spans="1:5" x14ac:dyDescent="0.2">
      <c r="A193" s="1" t="s">
        <v>2</v>
      </c>
      <c r="B193" s="2" t="s">
        <v>79</v>
      </c>
      <c r="C193" s="2" t="s">
        <v>36</v>
      </c>
      <c r="D193" s="2" t="str">
        <f>B193 &amp; "_to_" &amp; C193</f>
        <v>kWh_per_m2_to_therm_per_Acre</v>
      </c>
      <c r="E193" s="3">
        <f>0.0341214/0.000247105</f>
        <v>138.08461989842374</v>
      </c>
    </row>
    <row r="194" spans="1:5" x14ac:dyDescent="0.2">
      <c r="A194" s="1" t="s">
        <v>2</v>
      </c>
      <c r="B194" s="2" t="s">
        <v>73</v>
      </c>
      <c r="C194" s="2" t="s">
        <v>72</v>
      </c>
      <c r="D194" s="2" t="str">
        <f t="shared" si="4"/>
        <v>kWh_per_ft2_to_Joules_per_m2</v>
      </c>
      <c r="E194" s="3">
        <f>3600000/0.092903</f>
        <v>38750094.184256695</v>
      </c>
    </row>
    <row r="195" spans="1:5" x14ac:dyDescent="0.2">
      <c r="A195" s="1" t="s">
        <v>2</v>
      </c>
      <c r="B195" s="2" t="s">
        <v>73</v>
      </c>
      <c r="C195" s="2" t="s">
        <v>37</v>
      </c>
      <c r="D195" s="2" t="str">
        <f t="shared" ref="D195:D199" si="5">B195 &amp; "_to_" &amp; C195</f>
        <v>kWh_per_ft2_to_Joules_per_Acre</v>
      </c>
      <c r="E195" s="3">
        <f>3600000/0.0000229568</f>
        <v>156816281014.77557</v>
      </c>
    </row>
    <row r="196" spans="1:5" x14ac:dyDescent="0.2">
      <c r="A196" s="1" t="s">
        <v>2</v>
      </c>
      <c r="B196" s="2" t="s">
        <v>73</v>
      </c>
      <c r="C196" s="2" t="s">
        <v>80</v>
      </c>
      <c r="D196" s="2" t="str">
        <f t="shared" si="5"/>
        <v>kWh_per_ft2_to_MWh_per_m2</v>
      </c>
      <c r="E196" s="3">
        <f>0.001/0.092903</f>
        <v>1.0763915051182417E-2</v>
      </c>
    </row>
    <row r="197" spans="1:5" x14ac:dyDescent="0.2">
      <c r="A197" s="1" t="s">
        <v>2</v>
      </c>
      <c r="B197" s="2" t="s">
        <v>73</v>
      </c>
      <c r="C197" s="2" t="s">
        <v>33</v>
      </c>
      <c r="D197" s="2" t="str">
        <f t="shared" si="5"/>
        <v>kWh_per_ft2_to_MWh_per_Acre</v>
      </c>
      <c r="E197" s="3">
        <f>0.001/0.0000229568</f>
        <v>43.560078059659887</v>
      </c>
    </row>
    <row r="198" spans="1:5" x14ac:dyDescent="0.2">
      <c r="A198" s="1" t="s">
        <v>2</v>
      </c>
      <c r="B198" s="2" t="s">
        <v>73</v>
      </c>
      <c r="C198" s="2" t="s">
        <v>81</v>
      </c>
      <c r="D198" s="2" t="str">
        <f t="shared" si="5"/>
        <v>kWh_per_ft2_to_kBtu_per_m2</v>
      </c>
      <c r="E198" s="3">
        <f>3.41214/0.092903</f>
        <v>36.72798510274157</v>
      </c>
    </row>
    <row r="199" spans="1:5" x14ac:dyDescent="0.2">
      <c r="A199" s="1" t="s">
        <v>2</v>
      </c>
      <c r="B199" s="2" t="s">
        <v>73</v>
      </c>
      <c r="C199" s="2" t="s">
        <v>34</v>
      </c>
      <c r="D199" s="2" t="str">
        <f t="shared" si="5"/>
        <v>kWh_per_ft2_to_kBtu_per_Acre</v>
      </c>
      <c r="E199" s="3">
        <f>3.41214/0.0000229568</f>
        <v>148633.08475048788</v>
      </c>
    </row>
    <row r="200" spans="1:5" x14ac:dyDescent="0.2">
      <c r="A200" s="1" t="s">
        <v>2</v>
      </c>
      <c r="B200" s="2" t="s">
        <v>73</v>
      </c>
      <c r="C200" s="2" t="s">
        <v>82</v>
      </c>
      <c r="D200" s="2" t="str">
        <f t="shared" ref="D200:D231" si="6">B200 &amp; "_to_" &amp; C200</f>
        <v>kWh_per_ft2_to_MMBtu_per_m2</v>
      </c>
      <c r="E200" s="3">
        <f>0.00341214/0.092903</f>
        <v>3.672798510274157E-2</v>
      </c>
    </row>
    <row r="201" spans="1:5" x14ac:dyDescent="0.2">
      <c r="A201" s="1" t="s">
        <v>2</v>
      </c>
      <c r="B201" s="2" t="s">
        <v>73</v>
      </c>
      <c r="C201" s="2" t="s">
        <v>35</v>
      </c>
      <c r="D201" s="2" t="str">
        <f t="shared" si="6"/>
        <v>kWh_per_ft2_to_MMBtu_per_Acre</v>
      </c>
      <c r="E201" s="3">
        <f>0.00341214/0.0000229568</f>
        <v>148.63308475048788</v>
      </c>
    </row>
    <row r="202" spans="1:5" x14ac:dyDescent="0.2">
      <c r="A202" s="1" t="s">
        <v>2</v>
      </c>
      <c r="B202" s="2" t="s">
        <v>73</v>
      </c>
      <c r="C202" s="2" t="s">
        <v>83</v>
      </c>
      <c r="D202" s="2" t="str">
        <f t="shared" si="6"/>
        <v>kWh_per_ft2_to_therm_per_m2</v>
      </c>
      <c r="E202" s="3">
        <f>0.0341214/0.092903</f>
        <v>0.36727985102741573</v>
      </c>
    </row>
    <row r="203" spans="1:5" x14ac:dyDescent="0.2">
      <c r="A203" s="1" t="s">
        <v>2</v>
      </c>
      <c r="B203" s="2" t="s">
        <v>73</v>
      </c>
      <c r="C203" s="2" t="s">
        <v>36</v>
      </c>
      <c r="D203" s="2" t="str">
        <f t="shared" si="6"/>
        <v>kWh_per_ft2_to_therm_per_Acre</v>
      </c>
      <c r="E203" s="3">
        <f>0.0341214/0.0000229568</f>
        <v>1486.3308475048789</v>
      </c>
    </row>
    <row r="204" spans="1:5" x14ac:dyDescent="0.2">
      <c r="A204" s="1" t="s">
        <v>2</v>
      </c>
      <c r="B204" s="2" t="s">
        <v>32</v>
      </c>
      <c r="C204" s="2" t="s">
        <v>72</v>
      </c>
      <c r="D204" s="2" t="str">
        <f t="shared" si="6"/>
        <v>kWh_per_Acre_to_Joules_per_m2</v>
      </c>
      <c r="E204" s="3">
        <f>3600000/4046.86</f>
        <v>889.57858685499377</v>
      </c>
    </row>
    <row r="205" spans="1:5" x14ac:dyDescent="0.2">
      <c r="A205" s="1" t="s">
        <v>2</v>
      </c>
      <c r="B205" s="2" t="s">
        <v>32</v>
      </c>
      <c r="C205" s="2" t="s">
        <v>78</v>
      </c>
      <c r="D205" s="2" t="str">
        <f t="shared" si="6"/>
        <v>kWh_per_Acre_to_Joules_per_ft2</v>
      </c>
      <c r="E205" s="3">
        <f>3600000/43560</f>
        <v>82.644628099173559</v>
      </c>
    </row>
    <row r="206" spans="1:5" x14ac:dyDescent="0.2">
      <c r="A206" s="1" t="s">
        <v>2</v>
      </c>
      <c r="B206" s="2" t="s">
        <v>32</v>
      </c>
      <c r="C206" s="2" t="s">
        <v>80</v>
      </c>
      <c r="D206" s="2" t="str">
        <f t="shared" si="6"/>
        <v>kWh_per_Acre_to_MWh_per_m2</v>
      </c>
      <c r="E206" s="3">
        <f>0.001/4046.86</f>
        <v>2.4710516301527605E-7</v>
      </c>
    </row>
    <row r="207" spans="1:5" x14ac:dyDescent="0.2">
      <c r="A207" s="1" t="s">
        <v>2</v>
      </c>
      <c r="B207" s="2" t="s">
        <v>32</v>
      </c>
      <c r="C207" s="2" t="s">
        <v>74</v>
      </c>
      <c r="D207" s="2" t="str">
        <f t="shared" si="6"/>
        <v>kWh_per_Acre_to_MWh_per_ft2</v>
      </c>
      <c r="E207" s="3">
        <f>0.001/43560</f>
        <v>2.2956841138659321E-8</v>
      </c>
    </row>
    <row r="208" spans="1:5" x14ac:dyDescent="0.2">
      <c r="A208" s="1" t="s">
        <v>2</v>
      </c>
      <c r="B208" s="2" t="s">
        <v>32</v>
      </c>
      <c r="C208" s="2" t="s">
        <v>81</v>
      </c>
      <c r="D208" s="2" t="str">
        <f t="shared" si="6"/>
        <v>kWh_per_Acre_to_kBtu_per_m2</v>
      </c>
      <c r="E208" s="3">
        <f>3.41214/4046.86</f>
        <v>8.4315741093094398E-4</v>
      </c>
    </row>
    <row r="209" spans="1:5" x14ac:dyDescent="0.2">
      <c r="A209" s="1" t="s">
        <v>2</v>
      </c>
      <c r="B209" s="2" t="s">
        <v>32</v>
      </c>
      <c r="C209" s="2" t="s">
        <v>75</v>
      </c>
      <c r="D209" s="2" t="str">
        <f t="shared" si="6"/>
        <v>kWh_per_Acre_to_kBtu_per_ft2</v>
      </c>
      <c r="E209" s="3">
        <f>3.41214/43560</f>
        <v>7.8331955922865014E-5</v>
      </c>
    </row>
    <row r="210" spans="1:5" x14ac:dyDescent="0.2">
      <c r="A210" s="1" t="s">
        <v>2</v>
      </c>
      <c r="B210" s="2" t="s">
        <v>32</v>
      </c>
      <c r="C210" s="2" t="s">
        <v>82</v>
      </c>
      <c r="D210" s="2" t="str">
        <f t="shared" si="6"/>
        <v>kWh_per_Acre_to_MMBtu_per_m2</v>
      </c>
      <c r="E210" s="3">
        <f>0.00341214/4046.86</f>
        <v>8.4315741093094396E-7</v>
      </c>
    </row>
    <row r="211" spans="1:5" x14ac:dyDescent="0.2">
      <c r="A211" s="1" t="s">
        <v>2</v>
      </c>
      <c r="B211" s="2" t="s">
        <v>32</v>
      </c>
      <c r="C211" s="2" t="s">
        <v>76</v>
      </c>
      <c r="D211" s="2" t="str">
        <f t="shared" si="6"/>
        <v>kWh_per_Acre_to_MMBtu_per_ft2</v>
      </c>
      <c r="E211" s="3">
        <f>0.00341214/43560</f>
        <v>7.8331955922865013E-8</v>
      </c>
    </row>
    <row r="212" spans="1:5" x14ac:dyDescent="0.2">
      <c r="A212" s="1" t="s">
        <v>2</v>
      </c>
      <c r="B212" s="2" t="s">
        <v>32</v>
      </c>
      <c r="C212" s="2" t="s">
        <v>83</v>
      </c>
      <c r="D212" s="2" t="str">
        <f t="shared" si="6"/>
        <v>kWh_per_Acre_to_therm_per_m2</v>
      </c>
      <c r="E212" s="3">
        <f>0.0341214/4046.86</f>
        <v>8.4315741093094405E-6</v>
      </c>
    </row>
    <row r="213" spans="1:5" x14ac:dyDescent="0.2">
      <c r="A213" s="1" t="s">
        <v>2</v>
      </c>
      <c r="B213" s="2" t="s">
        <v>32</v>
      </c>
      <c r="C213" s="2" t="s">
        <v>77</v>
      </c>
      <c r="D213" s="2" t="str">
        <f t="shared" si="6"/>
        <v>kWh_per_Acre_to_therm_per_ft2</v>
      </c>
      <c r="E213" s="3">
        <f>0.0341214/43560</f>
        <v>7.8331955922865018E-7</v>
      </c>
    </row>
    <row r="214" spans="1:5" x14ac:dyDescent="0.2">
      <c r="A214" s="1" t="s">
        <v>2</v>
      </c>
      <c r="B214" s="2" t="s">
        <v>80</v>
      </c>
      <c r="C214" s="2" t="s">
        <v>78</v>
      </c>
      <c r="D214" s="2" t="str">
        <f t="shared" si="6"/>
        <v>MWh_per_m2_to_Joules_per_ft2</v>
      </c>
      <c r="E214" s="3">
        <f>3600000000/10.7639</f>
        <v>334451267.66320759</v>
      </c>
    </row>
    <row r="215" spans="1:5" x14ac:dyDescent="0.2">
      <c r="A215" s="1" t="s">
        <v>2</v>
      </c>
      <c r="B215" s="2" t="s">
        <v>80</v>
      </c>
      <c r="C215" s="2" t="s">
        <v>37</v>
      </c>
      <c r="D215" s="2" t="str">
        <f t="shared" si="6"/>
        <v>MWh_per_m2_to_Joules_per_Acre</v>
      </c>
      <c r="E215" s="3">
        <f>3600000000/0.000247105</f>
        <v>14568705610975.09</v>
      </c>
    </row>
    <row r="216" spans="1:5" x14ac:dyDescent="0.2">
      <c r="A216" s="1" t="s">
        <v>2</v>
      </c>
      <c r="B216" s="2" t="s">
        <v>80</v>
      </c>
      <c r="C216" s="2" t="s">
        <v>73</v>
      </c>
      <c r="D216" s="2" t="str">
        <f t="shared" si="6"/>
        <v>MWh_per_m2_to_kWh_per_ft2</v>
      </c>
      <c r="E216" s="3">
        <f>1000/10.7639</f>
        <v>92.903129906446551</v>
      </c>
    </row>
    <row r="217" spans="1:5" x14ac:dyDescent="0.2">
      <c r="A217" s="1" t="s">
        <v>2</v>
      </c>
      <c r="B217" s="2" t="s">
        <v>80</v>
      </c>
      <c r="C217" s="2" t="s">
        <v>32</v>
      </c>
      <c r="D217" s="2" t="str">
        <f t="shared" si="6"/>
        <v>MWh_per_m2_to_kWh_per_Acre</v>
      </c>
      <c r="E217" s="3">
        <f>1000/0.000247105</f>
        <v>4046862.669715303</v>
      </c>
    </row>
    <row r="218" spans="1:5" x14ac:dyDescent="0.2">
      <c r="A218" s="1" t="s">
        <v>2</v>
      </c>
      <c r="B218" s="2" t="s">
        <v>80</v>
      </c>
      <c r="C218" s="2" t="s">
        <v>75</v>
      </c>
      <c r="D218" s="2" t="str">
        <f t="shared" si="6"/>
        <v>MWh_per_m2_to_kBtu_per_ft2</v>
      </c>
      <c r="E218" s="3">
        <f>3412.14/10.7639</f>
        <v>316.99848567898255</v>
      </c>
    </row>
    <row r="219" spans="1:5" x14ac:dyDescent="0.2">
      <c r="A219" s="1" t="s">
        <v>2</v>
      </c>
      <c r="B219" s="2" t="s">
        <v>80</v>
      </c>
      <c r="C219" s="2" t="s">
        <v>34</v>
      </c>
      <c r="D219" s="2" t="str">
        <f t="shared" si="6"/>
        <v>MWh_per_m2_to_kBtu_per_Acre</v>
      </c>
      <c r="E219" s="3">
        <f>3412.14/0.000247105</f>
        <v>13808461.989842374</v>
      </c>
    </row>
    <row r="220" spans="1:5" x14ac:dyDescent="0.2">
      <c r="A220" s="1" t="s">
        <v>2</v>
      </c>
      <c r="B220" s="2" t="s">
        <v>80</v>
      </c>
      <c r="C220" s="2" t="s">
        <v>76</v>
      </c>
      <c r="D220" s="2" t="str">
        <f t="shared" si="6"/>
        <v>MWh_per_m2_to_MMBtu_per_ft2</v>
      </c>
      <c r="E220" s="3">
        <f>3.41214/10.7639</f>
        <v>0.31699848567898253</v>
      </c>
    </row>
    <row r="221" spans="1:5" x14ac:dyDescent="0.2">
      <c r="A221" s="1" t="s">
        <v>2</v>
      </c>
      <c r="B221" s="2" t="s">
        <v>80</v>
      </c>
      <c r="C221" s="2" t="s">
        <v>35</v>
      </c>
      <c r="D221" s="2" t="str">
        <f t="shared" si="6"/>
        <v>MWh_per_m2_to_MMBtu_per_Acre</v>
      </c>
      <c r="E221" s="3">
        <f>3.41214/0.000247105</f>
        <v>13808.461989842373</v>
      </c>
    </row>
    <row r="222" spans="1:5" x14ac:dyDescent="0.2">
      <c r="A222" s="1" t="s">
        <v>2</v>
      </c>
      <c r="B222" s="2" t="s">
        <v>80</v>
      </c>
      <c r="C222" s="2" t="s">
        <v>77</v>
      </c>
      <c r="D222" s="2" t="str">
        <f t="shared" si="6"/>
        <v>MWh_per_m2_to_therm_per_ft2</v>
      </c>
      <c r="E222" s="3">
        <f>34.1214/10.7639</f>
        <v>3.1699848567898257</v>
      </c>
    </row>
    <row r="223" spans="1:5" x14ac:dyDescent="0.2">
      <c r="A223" s="1" t="s">
        <v>2</v>
      </c>
      <c r="B223" s="2" t="s">
        <v>80</v>
      </c>
      <c r="C223" s="2" t="s">
        <v>36</v>
      </c>
      <c r="D223" s="2" t="str">
        <f t="shared" si="6"/>
        <v>MWh_per_m2_to_therm_per_Acre</v>
      </c>
      <c r="E223" s="3">
        <f>34.1214/0.000247105</f>
        <v>138084.61989842376</v>
      </c>
    </row>
    <row r="224" spans="1:5" x14ac:dyDescent="0.2">
      <c r="A224" s="1" t="s">
        <v>2</v>
      </c>
      <c r="B224" s="2" t="s">
        <v>74</v>
      </c>
      <c r="C224" s="2" t="s">
        <v>72</v>
      </c>
      <c r="D224" s="2" t="str">
        <f t="shared" si="6"/>
        <v>MWh_per_ft2_to_Joules_per_m2</v>
      </c>
      <c r="E224" s="3">
        <f>3600000000/0.092903</f>
        <v>38750094184.256699</v>
      </c>
    </row>
    <row r="225" spans="1:5" x14ac:dyDescent="0.2">
      <c r="A225" s="1" t="s">
        <v>2</v>
      </c>
      <c r="B225" s="2" t="s">
        <v>74</v>
      </c>
      <c r="C225" s="2" t="s">
        <v>37</v>
      </c>
      <c r="D225" s="2" t="str">
        <f t="shared" si="6"/>
        <v>MWh_per_ft2_to_Joules_per_Acre</v>
      </c>
      <c r="E225" s="3">
        <f>3600000000/0.0000229568</f>
        <v>156816281014775.56</v>
      </c>
    </row>
    <row r="226" spans="1:5" x14ac:dyDescent="0.2">
      <c r="A226" s="1" t="s">
        <v>2</v>
      </c>
      <c r="B226" s="2" t="s">
        <v>74</v>
      </c>
      <c r="C226" s="2" t="s">
        <v>79</v>
      </c>
      <c r="D226" s="2" t="str">
        <f t="shared" si="6"/>
        <v>MWh_per_ft2_to_kWh_per_m2</v>
      </c>
      <c r="E226" s="3">
        <f>1000/0.092903</f>
        <v>10763.915051182415</v>
      </c>
    </row>
    <row r="227" spans="1:5" x14ac:dyDescent="0.2">
      <c r="A227" s="1" t="s">
        <v>2</v>
      </c>
      <c r="B227" s="2" t="s">
        <v>74</v>
      </c>
      <c r="C227" s="2" t="s">
        <v>32</v>
      </c>
      <c r="D227" s="2" t="str">
        <f t="shared" si="6"/>
        <v>MWh_per_ft2_to_kWh_per_Acre</v>
      </c>
      <c r="E227" s="3">
        <f>1000/0.0000229568</f>
        <v>43560078.059659883</v>
      </c>
    </row>
    <row r="228" spans="1:5" x14ac:dyDescent="0.2">
      <c r="A228" s="1" t="s">
        <v>2</v>
      </c>
      <c r="B228" s="2" t="s">
        <v>74</v>
      </c>
      <c r="C228" s="2" t="s">
        <v>81</v>
      </c>
      <c r="D228" s="2" t="str">
        <f t="shared" si="6"/>
        <v>MWh_per_ft2_to_kBtu_per_m2</v>
      </c>
      <c r="E228" s="3">
        <f>3412.14/0.092903</f>
        <v>36727.985102741572</v>
      </c>
    </row>
    <row r="229" spans="1:5" x14ac:dyDescent="0.2">
      <c r="A229" s="1" t="s">
        <v>2</v>
      </c>
      <c r="B229" s="2" t="s">
        <v>74</v>
      </c>
      <c r="C229" s="2" t="s">
        <v>34</v>
      </c>
      <c r="D229" s="2" t="str">
        <f t="shared" si="6"/>
        <v>MWh_per_ft2_to_kBtu_per_Acre</v>
      </c>
      <c r="E229" s="3">
        <f>3412.14/0.0000229568</f>
        <v>148633084.75048786</v>
      </c>
    </row>
    <row r="230" spans="1:5" x14ac:dyDescent="0.2">
      <c r="A230" s="1" t="s">
        <v>2</v>
      </c>
      <c r="B230" s="2" t="s">
        <v>74</v>
      </c>
      <c r="C230" s="2" t="s">
        <v>82</v>
      </c>
      <c r="D230" s="2" t="str">
        <f t="shared" si="6"/>
        <v>MWh_per_ft2_to_MMBtu_per_m2</v>
      </c>
      <c r="E230" s="3">
        <f>3.41214/0.092903</f>
        <v>36.72798510274157</v>
      </c>
    </row>
    <row r="231" spans="1:5" x14ac:dyDescent="0.2">
      <c r="A231" s="1" t="s">
        <v>2</v>
      </c>
      <c r="B231" s="2" t="s">
        <v>74</v>
      </c>
      <c r="C231" s="2" t="s">
        <v>35</v>
      </c>
      <c r="D231" s="2" t="str">
        <f t="shared" si="6"/>
        <v>MWh_per_ft2_to_MMBtu_per_Acre</v>
      </c>
      <c r="E231" s="3">
        <f>3.41214/0.0000229568</f>
        <v>148633.08475048788</v>
      </c>
    </row>
    <row r="232" spans="1:5" x14ac:dyDescent="0.2">
      <c r="A232" s="1" t="s">
        <v>2</v>
      </c>
      <c r="B232" s="2" t="s">
        <v>74</v>
      </c>
      <c r="C232" s="2" t="s">
        <v>83</v>
      </c>
      <c r="D232" s="2" t="str">
        <f t="shared" ref="D232:D263" si="7">B232 &amp; "_to_" &amp; C232</f>
        <v>MWh_per_ft2_to_therm_per_m2</v>
      </c>
      <c r="E232" s="3">
        <f>34.1214/0.092903</f>
        <v>367.2798510274157</v>
      </c>
    </row>
    <row r="233" spans="1:5" x14ac:dyDescent="0.2">
      <c r="A233" s="1" t="s">
        <v>2</v>
      </c>
      <c r="B233" s="2" t="s">
        <v>74</v>
      </c>
      <c r="C233" s="2" t="s">
        <v>36</v>
      </c>
      <c r="D233" s="2" t="str">
        <f t="shared" si="7"/>
        <v>MWh_per_ft2_to_therm_per_Acre</v>
      </c>
      <c r="E233" s="3">
        <f>34.1214/0.0000229568</f>
        <v>1486330.8475048789</v>
      </c>
    </row>
    <row r="234" spans="1:5" x14ac:dyDescent="0.2">
      <c r="A234" s="1" t="s">
        <v>2</v>
      </c>
      <c r="B234" s="2" t="s">
        <v>33</v>
      </c>
      <c r="C234" s="2" t="s">
        <v>72</v>
      </c>
      <c r="D234" s="2" t="str">
        <f t="shared" si="7"/>
        <v>MWh_per_Acre_to_Joules_per_m2</v>
      </c>
      <c r="E234" s="3">
        <f>3600000000/4046.86</f>
        <v>889578.58685499371</v>
      </c>
    </row>
    <row r="235" spans="1:5" x14ac:dyDescent="0.2">
      <c r="A235" s="1" t="s">
        <v>2</v>
      </c>
      <c r="B235" s="2" t="s">
        <v>33</v>
      </c>
      <c r="C235" s="2" t="s">
        <v>78</v>
      </c>
      <c r="D235" s="2" t="str">
        <f t="shared" si="7"/>
        <v>MWh_per_Acre_to_Joules_per_ft2</v>
      </c>
      <c r="E235" s="3">
        <f>3600000000/43560</f>
        <v>82644.628099173555</v>
      </c>
    </row>
    <row r="236" spans="1:5" x14ac:dyDescent="0.2">
      <c r="A236" s="1" t="s">
        <v>2</v>
      </c>
      <c r="B236" s="2" t="s">
        <v>33</v>
      </c>
      <c r="C236" s="2" t="s">
        <v>79</v>
      </c>
      <c r="D236" s="2" t="str">
        <f t="shared" si="7"/>
        <v>MWh_per_Acre_to_kWh_per_m2</v>
      </c>
      <c r="E236" s="3">
        <f>1000/4046.86</f>
        <v>0.24710516301527605</v>
      </c>
    </row>
    <row r="237" spans="1:5" x14ac:dyDescent="0.2">
      <c r="A237" s="1" t="s">
        <v>2</v>
      </c>
      <c r="B237" s="2" t="s">
        <v>33</v>
      </c>
      <c r="C237" s="2" t="s">
        <v>73</v>
      </c>
      <c r="D237" s="2" t="str">
        <f t="shared" si="7"/>
        <v>MWh_per_Acre_to_kWh_per_ft2</v>
      </c>
      <c r="E237" s="3">
        <f>1000/43560</f>
        <v>2.2956841138659319E-2</v>
      </c>
    </row>
    <row r="238" spans="1:5" x14ac:dyDescent="0.2">
      <c r="A238" s="1" t="s">
        <v>2</v>
      </c>
      <c r="B238" s="2" t="s">
        <v>33</v>
      </c>
      <c r="C238" s="2" t="s">
        <v>81</v>
      </c>
      <c r="D238" s="2" t="str">
        <f t="shared" si="7"/>
        <v>MWh_per_Acre_to_kBtu_per_m2</v>
      </c>
      <c r="E238" s="3">
        <f>3412.14/4046.86</f>
        <v>0.84315741093094398</v>
      </c>
    </row>
    <row r="239" spans="1:5" x14ac:dyDescent="0.2">
      <c r="A239" s="1" t="s">
        <v>2</v>
      </c>
      <c r="B239" s="2" t="s">
        <v>33</v>
      </c>
      <c r="C239" s="2" t="s">
        <v>75</v>
      </c>
      <c r="D239" s="2" t="str">
        <f t="shared" si="7"/>
        <v>MWh_per_Acre_to_kBtu_per_ft2</v>
      </c>
      <c r="E239" s="3">
        <f>3412.14/43560</f>
        <v>7.8331955922865015E-2</v>
      </c>
    </row>
    <row r="240" spans="1:5" x14ac:dyDescent="0.2">
      <c r="A240" s="1" t="s">
        <v>2</v>
      </c>
      <c r="B240" s="2" t="s">
        <v>33</v>
      </c>
      <c r="C240" s="2" t="s">
        <v>82</v>
      </c>
      <c r="D240" s="2" t="str">
        <f t="shared" si="7"/>
        <v>MWh_per_Acre_to_MMBtu_per_m2</v>
      </c>
      <c r="E240" s="3">
        <f>3.41214/4046.86</f>
        <v>8.4315741093094398E-4</v>
      </c>
    </row>
    <row r="241" spans="1:5" x14ac:dyDescent="0.2">
      <c r="A241" s="1" t="s">
        <v>2</v>
      </c>
      <c r="B241" s="2" t="s">
        <v>33</v>
      </c>
      <c r="C241" s="2" t="s">
        <v>76</v>
      </c>
      <c r="D241" s="2" t="str">
        <f t="shared" si="7"/>
        <v>MWh_per_Acre_to_MMBtu_per_ft2</v>
      </c>
      <c r="E241" s="3">
        <f>3.41214/43560</f>
        <v>7.8331955922865014E-5</v>
      </c>
    </row>
    <row r="242" spans="1:5" x14ac:dyDescent="0.2">
      <c r="A242" s="1" t="s">
        <v>2</v>
      </c>
      <c r="B242" s="2" t="s">
        <v>33</v>
      </c>
      <c r="C242" s="2" t="s">
        <v>83</v>
      </c>
      <c r="D242" s="2" t="str">
        <f t="shared" si="7"/>
        <v>MWh_per_Acre_to_therm_per_m2</v>
      </c>
      <c r="E242" s="3">
        <f>34.1214/4046.86</f>
        <v>8.4315741093094407E-3</v>
      </c>
    </row>
    <row r="243" spans="1:5" x14ac:dyDescent="0.2">
      <c r="A243" s="1" t="s">
        <v>2</v>
      </c>
      <c r="B243" s="2" t="s">
        <v>33</v>
      </c>
      <c r="C243" s="2" t="s">
        <v>77</v>
      </c>
      <c r="D243" s="2" t="str">
        <f t="shared" si="7"/>
        <v>MWh_per_Acre_to_therm_per_ft2</v>
      </c>
      <c r="E243" s="3">
        <f>34.1214/43560</f>
        <v>7.8331955922865014E-4</v>
      </c>
    </row>
    <row r="244" spans="1:5" x14ac:dyDescent="0.2">
      <c r="A244" s="1" t="s">
        <v>2</v>
      </c>
      <c r="B244" s="2" t="s">
        <v>81</v>
      </c>
      <c r="C244" s="2" t="s">
        <v>78</v>
      </c>
      <c r="D244" s="2" t="str">
        <f t="shared" si="7"/>
        <v>kBtu_per_m2_to_Joules_per_ft2</v>
      </c>
      <c r="E244" s="3">
        <f>1055.06/10.7639</f>
        <v>98.018376239095488</v>
      </c>
    </row>
    <row r="245" spans="1:5" x14ac:dyDescent="0.2">
      <c r="A245" s="1" t="s">
        <v>2</v>
      </c>
      <c r="B245" s="2" t="s">
        <v>81</v>
      </c>
      <c r="C245" s="2" t="s">
        <v>37</v>
      </c>
      <c r="D245" s="2" t="str">
        <f t="shared" si="7"/>
        <v>kBtu_per_m2_to_Joules_per_Acre</v>
      </c>
      <c r="E245" s="3">
        <f>1055.06/0.000247105</f>
        <v>4269682.9283098271</v>
      </c>
    </row>
    <row r="246" spans="1:5" x14ac:dyDescent="0.2">
      <c r="A246" s="1" t="s">
        <v>2</v>
      </c>
      <c r="B246" s="2" t="s">
        <v>81</v>
      </c>
      <c r="C246" s="2" t="s">
        <v>73</v>
      </c>
      <c r="D246" s="2" t="str">
        <f t="shared" si="7"/>
        <v>kBtu_per_m2_to_kWh_per_ft2</v>
      </c>
      <c r="E246" s="3">
        <f>0.293071/10.7639</f>
        <v>2.72272131848122E-2</v>
      </c>
    </row>
    <row r="247" spans="1:5" x14ac:dyDescent="0.2">
      <c r="A247" s="1" t="s">
        <v>2</v>
      </c>
      <c r="B247" s="2" t="s">
        <v>81</v>
      </c>
      <c r="C247" s="2" t="s">
        <v>32</v>
      </c>
      <c r="D247" s="2" t="str">
        <f t="shared" si="7"/>
        <v>kBtu_per_m2_to_kWh_per_Acre</v>
      </c>
      <c r="E247" s="3">
        <f>0.293071/0.000247105</f>
        <v>1186.0180894761336</v>
      </c>
    </row>
    <row r="248" spans="1:5" x14ac:dyDescent="0.2">
      <c r="A248" s="1" t="s">
        <v>2</v>
      </c>
      <c r="B248" s="2" t="s">
        <v>81</v>
      </c>
      <c r="C248" s="2" t="s">
        <v>74</v>
      </c>
      <c r="D248" s="2" t="str">
        <f t="shared" si="7"/>
        <v>kBtu_per_m2_to_MWh_per_ft2</v>
      </c>
      <c r="E248" s="3">
        <f>0.000293071/10.7639</f>
        <v>2.7227213184812196E-5</v>
      </c>
    </row>
    <row r="249" spans="1:5" x14ac:dyDescent="0.2">
      <c r="A249" s="1" t="s">
        <v>2</v>
      </c>
      <c r="B249" s="2" t="s">
        <v>81</v>
      </c>
      <c r="C249" s="2" t="s">
        <v>33</v>
      </c>
      <c r="D249" s="2" t="str">
        <f t="shared" si="7"/>
        <v>kBtu_per_m2_to_MWh_per_Acre</v>
      </c>
      <c r="E249" s="3">
        <f>0.000293071/0.000247105</f>
        <v>1.1860180894761336</v>
      </c>
    </row>
    <row r="250" spans="1:5" x14ac:dyDescent="0.2">
      <c r="A250" s="1" t="s">
        <v>2</v>
      </c>
      <c r="B250" s="2" t="s">
        <v>81</v>
      </c>
      <c r="C250" s="2" t="s">
        <v>76</v>
      </c>
      <c r="D250" s="2" t="str">
        <f t="shared" si="7"/>
        <v>kBtu_per_m2_to_MMBtu_per_ft2</v>
      </c>
      <c r="E250" s="3">
        <f>0.001/10.7639</f>
        <v>9.290312990644655E-5</v>
      </c>
    </row>
    <row r="251" spans="1:5" x14ac:dyDescent="0.2">
      <c r="A251" s="1" t="s">
        <v>2</v>
      </c>
      <c r="B251" s="2" t="s">
        <v>81</v>
      </c>
      <c r="C251" s="2" t="s">
        <v>35</v>
      </c>
      <c r="D251" s="2" t="str">
        <f t="shared" si="7"/>
        <v>kBtu_per_m2_to_MMBtu_per_Acre</v>
      </c>
      <c r="E251" s="3">
        <f>0.001/0.000247105</f>
        <v>4.0468626697153027</v>
      </c>
    </row>
    <row r="252" spans="1:5" x14ac:dyDescent="0.2">
      <c r="A252" s="1" t="s">
        <v>2</v>
      </c>
      <c r="B252" s="2" t="s">
        <v>81</v>
      </c>
      <c r="C252" s="2" t="s">
        <v>77</v>
      </c>
      <c r="D252" s="2" t="str">
        <f t="shared" si="7"/>
        <v>kBtu_per_m2_to_therm_per_ft2</v>
      </c>
      <c r="E252" s="3">
        <f>0.01/10.7639</f>
        <v>9.2903129906446555E-4</v>
      </c>
    </row>
    <row r="253" spans="1:5" x14ac:dyDescent="0.2">
      <c r="A253" s="1" t="s">
        <v>2</v>
      </c>
      <c r="B253" s="2" t="s">
        <v>81</v>
      </c>
      <c r="C253" s="2" t="s">
        <v>36</v>
      </c>
      <c r="D253" s="2" t="str">
        <f t="shared" si="7"/>
        <v>kBtu_per_m2_to_therm_per_Acre</v>
      </c>
      <c r="E253" s="3">
        <f>0.01/0.000247105</f>
        <v>40.468626697153027</v>
      </c>
    </row>
    <row r="254" spans="1:5" x14ac:dyDescent="0.2">
      <c r="A254" s="1" t="s">
        <v>2</v>
      </c>
      <c r="B254" s="2" t="s">
        <v>75</v>
      </c>
      <c r="C254" s="2" t="s">
        <v>72</v>
      </c>
      <c r="D254" s="2" t="str">
        <f t="shared" si="7"/>
        <v>kBtu_per_ft2_to_Joules_per_m2</v>
      </c>
      <c r="E254" s="3">
        <f>1055.06/0.092903</f>
        <v>11356.57621390052</v>
      </c>
    </row>
    <row r="255" spans="1:5" x14ac:dyDescent="0.2">
      <c r="A255" s="1" t="s">
        <v>2</v>
      </c>
      <c r="B255" s="2" t="s">
        <v>75</v>
      </c>
      <c r="C255" s="2" t="s">
        <v>37</v>
      </c>
      <c r="D255" s="2" t="str">
        <f t="shared" si="7"/>
        <v>kBtu_per_ft2_to_Joules_per_Acre</v>
      </c>
      <c r="E255" s="3">
        <f>1055.06/0.0000229568</f>
        <v>45958495.957624756</v>
      </c>
    </row>
    <row r="256" spans="1:5" x14ac:dyDescent="0.2">
      <c r="A256" s="1" t="s">
        <v>2</v>
      </c>
      <c r="B256" s="2" t="s">
        <v>75</v>
      </c>
      <c r="C256" s="2" t="s">
        <v>79</v>
      </c>
      <c r="D256" s="2" t="str">
        <f t="shared" si="7"/>
        <v>kBtu_per_ft2_to_kWh_per_m2</v>
      </c>
      <c r="E256" s="3">
        <f>0.293071/0.092903</f>
        <v>3.154591347965082</v>
      </c>
    </row>
    <row r="257" spans="1:5" x14ac:dyDescent="0.2">
      <c r="A257" s="1" t="s">
        <v>2</v>
      </c>
      <c r="B257" s="2" t="s">
        <v>75</v>
      </c>
      <c r="C257" s="2" t="s">
        <v>32</v>
      </c>
      <c r="D257" s="2" t="str">
        <f t="shared" si="7"/>
        <v>kBtu_per_ft2_to_kWh_per_Acre</v>
      </c>
      <c r="E257" s="3">
        <f>0.293071/0.0000229568</f>
        <v>12766.195637022583</v>
      </c>
    </row>
    <row r="258" spans="1:5" x14ac:dyDescent="0.2">
      <c r="A258" s="1" t="s">
        <v>2</v>
      </c>
      <c r="B258" s="2" t="s">
        <v>75</v>
      </c>
      <c r="C258" s="2" t="s">
        <v>80</v>
      </c>
      <c r="D258" s="2" t="str">
        <f t="shared" si="7"/>
        <v>kBtu_per_ft2_to_MWh_per_m2</v>
      </c>
      <c r="E258" s="3">
        <f>0.000293071/0.092903</f>
        <v>3.1545913479650821E-3</v>
      </c>
    </row>
    <row r="259" spans="1:5" x14ac:dyDescent="0.2">
      <c r="A259" s="1" t="s">
        <v>2</v>
      </c>
      <c r="B259" s="2" t="s">
        <v>75</v>
      </c>
      <c r="C259" s="2" t="s">
        <v>33</v>
      </c>
      <c r="D259" s="2" t="str">
        <f t="shared" si="7"/>
        <v>kBtu_per_ft2_to_MWh_per_Acre</v>
      </c>
      <c r="E259" s="3">
        <f>0.000293071/0.0000229568</f>
        <v>12.766195637022582</v>
      </c>
    </row>
    <row r="260" spans="1:5" x14ac:dyDescent="0.2">
      <c r="A260" s="1" t="s">
        <v>2</v>
      </c>
      <c r="B260" s="2" t="s">
        <v>75</v>
      </c>
      <c r="C260" s="2" t="s">
        <v>82</v>
      </c>
      <c r="D260" s="2" t="str">
        <f t="shared" si="7"/>
        <v>kBtu_per_ft2_to_MMBtu_per_m2</v>
      </c>
      <c r="E260" s="3">
        <f>0.001/0.092903</f>
        <v>1.0763915051182417E-2</v>
      </c>
    </row>
    <row r="261" spans="1:5" x14ac:dyDescent="0.2">
      <c r="A261" s="1" t="s">
        <v>2</v>
      </c>
      <c r="B261" s="2" t="s">
        <v>75</v>
      </c>
      <c r="C261" s="2" t="s">
        <v>35</v>
      </c>
      <c r="D261" s="2" t="str">
        <f t="shared" si="7"/>
        <v>kBtu_per_ft2_to_MMBtu_per_Acre</v>
      </c>
      <c r="E261" s="3">
        <f>0.001/0.0000229568</f>
        <v>43.560078059659887</v>
      </c>
    </row>
    <row r="262" spans="1:5" x14ac:dyDescent="0.2">
      <c r="A262" s="1" t="s">
        <v>2</v>
      </c>
      <c r="B262" s="2" t="s">
        <v>75</v>
      </c>
      <c r="C262" s="2" t="s">
        <v>83</v>
      </c>
      <c r="D262" s="2" t="str">
        <f t="shared" si="7"/>
        <v>kBtu_per_ft2_to_therm_per_m2</v>
      </c>
      <c r="E262" s="3">
        <f>0.01/0.092903</f>
        <v>0.10763915051182417</v>
      </c>
    </row>
    <row r="263" spans="1:5" x14ac:dyDescent="0.2">
      <c r="A263" s="1" t="s">
        <v>2</v>
      </c>
      <c r="B263" s="2" t="s">
        <v>75</v>
      </c>
      <c r="C263" s="2" t="s">
        <v>36</v>
      </c>
      <c r="D263" s="2" t="str">
        <f t="shared" si="7"/>
        <v>kBtu_per_ft2_to_therm_per_Acre</v>
      </c>
      <c r="E263" s="3">
        <f>0.01/0.0000229568</f>
        <v>435.60078059659884</v>
      </c>
    </row>
    <row r="264" spans="1:5" x14ac:dyDescent="0.2">
      <c r="A264" s="1" t="s">
        <v>2</v>
      </c>
      <c r="B264" s="2" t="s">
        <v>34</v>
      </c>
      <c r="C264" s="2" t="s">
        <v>72</v>
      </c>
      <c r="D264" s="2" t="str">
        <f t="shared" ref="D264:D295" si="8">B264 &amp; "_to_" &amp; C264</f>
        <v>kBtu_per_Acre_to_Joules_per_m2</v>
      </c>
      <c r="E264" s="3">
        <f>1055.06/4046.86</f>
        <v>0.26071077329089709</v>
      </c>
    </row>
    <row r="265" spans="1:5" x14ac:dyDescent="0.2">
      <c r="A265" s="1" t="s">
        <v>2</v>
      </c>
      <c r="B265" s="2" t="s">
        <v>34</v>
      </c>
      <c r="C265" s="2" t="s">
        <v>78</v>
      </c>
      <c r="D265" s="2" t="str">
        <f t="shared" si="8"/>
        <v>kBtu_per_Acre_to_Joules_per_ft2</v>
      </c>
      <c r="E265" s="3">
        <f>1055.06/43560</f>
        <v>2.4220844811753902E-2</v>
      </c>
    </row>
    <row r="266" spans="1:5" x14ac:dyDescent="0.2">
      <c r="A266" s="1" t="s">
        <v>2</v>
      </c>
      <c r="B266" s="2" t="s">
        <v>34</v>
      </c>
      <c r="C266" s="2" t="s">
        <v>79</v>
      </c>
      <c r="D266" s="2" t="str">
        <f t="shared" si="8"/>
        <v>kBtu_per_Acre_to_kWh_per_m2</v>
      </c>
      <c r="E266" s="3">
        <f>0.293071/4046.86</f>
        <v>7.241935723004997E-5</v>
      </c>
    </row>
    <row r="267" spans="1:5" x14ac:dyDescent="0.2">
      <c r="A267" s="1" t="s">
        <v>2</v>
      </c>
      <c r="B267" s="2" t="s">
        <v>34</v>
      </c>
      <c r="C267" s="2" t="s">
        <v>73</v>
      </c>
      <c r="D267" s="2" t="str">
        <f t="shared" si="8"/>
        <v>kBtu_per_Acre_to_kWh_per_ft2</v>
      </c>
      <c r="E267" s="3">
        <f>0.293071/43560</f>
        <v>6.7279843893480262E-6</v>
      </c>
    </row>
    <row r="268" spans="1:5" x14ac:dyDescent="0.2">
      <c r="A268" s="1" t="s">
        <v>2</v>
      </c>
      <c r="B268" s="2" t="s">
        <v>34</v>
      </c>
      <c r="C268" s="2" t="s">
        <v>80</v>
      </c>
      <c r="D268" s="2" t="str">
        <f t="shared" si="8"/>
        <v>kBtu_per_Acre_to_MWh_per_m2</v>
      </c>
      <c r="E268" s="3">
        <f>0.000293071/4046.86</f>
        <v>7.2419357230049959E-8</v>
      </c>
    </row>
    <row r="269" spans="1:5" x14ac:dyDescent="0.2">
      <c r="A269" s="1" t="s">
        <v>2</v>
      </c>
      <c r="B269" s="2" t="s">
        <v>34</v>
      </c>
      <c r="C269" s="2" t="s">
        <v>74</v>
      </c>
      <c r="D269" s="2" t="str">
        <f t="shared" si="8"/>
        <v>kBtu_per_Acre_to_MWh_per_ft2</v>
      </c>
      <c r="E269" s="3">
        <f>0.000293071/43560</f>
        <v>6.7279843893480254E-9</v>
      </c>
    </row>
    <row r="270" spans="1:5" x14ac:dyDescent="0.2">
      <c r="A270" s="1" t="s">
        <v>2</v>
      </c>
      <c r="B270" s="2" t="s">
        <v>34</v>
      </c>
      <c r="C270" s="2" t="s">
        <v>82</v>
      </c>
      <c r="D270" s="2" t="str">
        <f t="shared" si="8"/>
        <v>kBtu_per_Acre_to_MMBtu_per_m2</v>
      </c>
      <c r="E270" s="3">
        <f>0.001/4046.86</f>
        <v>2.4710516301527605E-7</v>
      </c>
    </row>
    <row r="271" spans="1:5" x14ac:dyDescent="0.2">
      <c r="A271" s="1" t="s">
        <v>2</v>
      </c>
      <c r="B271" s="2" t="s">
        <v>34</v>
      </c>
      <c r="C271" s="2" t="s">
        <v>76</v>
      </c>
      <c r="D271" s="2" t="str">
        <f t="shared" si="8"/>
        <v>kBtu_per_Acre_to_MMBtu_per_ft2</v>
      </c>
      <c r="E271" s="3">
        <f>0.001/43560</f>
        <v>2.2956841138659321E-8</v>
      </c>
    </row>
    <row r="272" spans="1:5" x14ac:dyDescent="0.2">
      <c r="A272" s="1" t="s">
        <v>2</v>
      </c>
      <c r="B272" s="2" t="s">
        <v>34</v>
      </c>
      <c r="C272" s="2" t="s">
        <v>83</v>
      </c>
      <c r="D272" s="2" t="str">
        <f t="shared" si="8"/>
        <v>kBtu_per_Acre_to_therm_per_m2</v>
      </c>
      <c r="E272" s="3">
        <f>0.01/4046.86</f>
        <v>2.4710516301527603E-6</v>
      </c>
    </row>
    <row r="273" spans="1:5" x14ac:dyDescent="0.2">
      <c r="A273" s="1" t="s">
        <v>2</v>
      </c>
      <c r="B273" s="2" t="s">
        <v>34</v>
      </c>
      <c r="C273" s="2" t="s">
        <v>77</v>
      </c>
      <c r="D273" s="2" t="str">
        <f t="shared" si="8"/>
        <v>kBtu_per_Acre_to_therm_per_ft2</v>
      </c>
      <c r="E273" s="3">
        <f>0.01/43560</f>
        <v>2.2956841138659321E-7</v>
      </c>
    </row>
    <row r="274" spans="1:5" x14ac:dyDescent="0.2">
      <c r="A274" s="1" t="s">
        <v>2</v>
      </c>
      <c r="B274" s="2" t="s">
        <v>82</v>
      </c>
      <c r="C274" s="2" t="s">
        <v>78</v>
      </c>
      <c r="D274" s="2" t="str">
        <f t="shared" si="8"/>
        <v>MMBtu_per_m2_to_Joules_per_ft2</v>
      </c>
      <c r="E274" s="3">
        <f>1055060000/10.7639</f>
        <v>98018376.239095494</v>
      </c>
    </row>
    <row r="275" spans="1:5" x14ac:dyDescent="0.2">
      <c r="A275" s="1" t="s">
        <v>2</v>
      </c>
      <c r="B275" s="2" t="s">
        <v>82</v>
      </c>
      <c r="C275" s="2" t="s">
        <v>37</v>
      </c>
      <c r="D275" s="2" t="str">
        <f t="shared" si="8"/>
        <v>MMBtu_per_m2_to_Joules_per_Acre</v>
      </c>
      <c r="E275" s="3">
        <f>1055060000/0.000247105</f>
        <v>4269682928309.8276</v>
      </c>
    </row>
    <row r="276" spans="1:5" x14ac:dyDescent="0.2">
      <c r="A276" s="1" t="s">
        <v>2</v>
      </c>
      <c r="B276" s="2" t="s">
        <v>82</v>
      </c>
      <c r="C276" s="2" t="s">
        <v>73</v>
      </c>
      <c r="D276" s="2" t="str">
        <f t="shared" si="8"/>
        <v>MMBtu_per_m2_to_kWh_per_ft2</v>
      </c>
      <c r="E276" s="3">
        <f>293.071/10.7639</f>
        <v>27.2272131848122</v>
      </c>
    </row>
    <row r="277" spans="1:5" x14ac:dyDescent="0.2">
      <c r="A277" s="1" t="s">
        <v>2</v>
      </c>
      <c r="B277" s="2" t="s">
        <v>82</v>
      </c>
      <c r="C277" s="2" t="s">
        <v>32</v>
      </c>
      <c r="D277" s="2" t="str">
        <f t="shared" si="8"/>
        <v>MMBtu_per_m2_to_kWh_per_Acre</v>
      </c>
      <c r="E277" s="3">
        <f>293.071/0.000247105</f>
        <v>1186018.0894761337</v>
      </c>
    </row>
    <row r="278" spans="1:5" x14ac:dyDescent="0.2">
      <c r="A278" s="1" t="s">
        <v>2</v>
      </c>
      <c r="B278" s="2" t="s">
        <v>82</v>
      </c>
      <c r="C278" s="2" t="s">
        <v>74</v>
      </c>
      <c r="D278" s="2" t="str">
        <f t="shared" si="8"/>
        <v>MMBtu_per_m2_to_MWh_per_ft2</v>
      </c>
      <c r="E278" s="3">
        <f>0.293071/10.7639</f>
        <v>2.72272131848122E-2</v>
      </c>
    </row>
    <row r="279" spans="1:5" x14ac:dyDescent="0.2">
      <c r="A279" s="1" t="s">
        <v>2</v>
      </c>
      <c r="B279" s="2" t="s">
        <v>82</v>
      </c>
      <c r="C279" s="2" t="s">
        <v>33</v>
      </c>
      <c r="D279" s="2" t="str">
        <f t="shared" si="8"/>
        <v>MMBtu_per_m2_to_MWh_per_Acre</v>
      </c>
      <c r="E279" s="3">
        <f>0.293071/0.000247105</f>
        <v>1186.0180894761336</v>
      </c>
    </row>
    <row r="280" spans="1:5" x14ac:dyDescent="0.2">
      <c r="A280" s="1" t="s">
        <v>2</v>
      </c>
      <c r="B280" s="2" t="s">
        <v>82</v>
      </c>
      <c r="C280" s="2" t="s">
        <v>75</v>
      </c>
      <c r="D280" s="2" t="str">
        <f t="shared" si="8"/>
        <v>MMBtu_per_m2_to_kBtu_per_ft2</v>
      </c>
      <c r="E280" s="3">
        <f>1000/10.7639</f>
        <v>92.903129906446551</v>
      </c>
    </row>
    <row r="281" spans="1:5" x14ac:dyDescent="0.2">
      <c r="A281" s="1" t="s">
        <v>2</v>
      </c>
      <c r="B281" s="2" t="s">
        <v>82</v>
      </c>
      <c r="C281" s="2" t="s">
        <v>34</v>
      </c>
      <c r="D281" s="2" t="str">
        <f t="shared" si="8"/>
        <v>MMBtu_per_m2_to_kBtu_per_Acre</v>
      </c>
      <c r="E281" s="3">
        <f>1000/0.000247105</f>
        <v>4046862.669715303</v>
      </c>
    </row>
    <row r="282" spans="1:5" x14ac:dyDescent="0.2">
      <c r="A282" s="1" t="s">
        <v>2</v>
      </c>
      <c r="B282" s="2" t="s">
        <v>82</v>
      </c>
      <c r="C282" s="2" t="s">
        <v>77</v>
      </c>
      <c r="D282" s="2" t="str">
        <f t="shared" si="8"/>
        <v>MMBtu_per_m2_to_therm_per_ft2</v>
      </c>
      <c r="E282" s="3">
        <f>10/10.7639</f>
        <v>0.92903129906446547</v>
      </c>
    </row>
    <row r="283" spans="1:5" x14ac:dyDescent="0.2">
      <c r="A283" s="1" t="s">
        <v>2</v>
      </c>
      <c r="B283" s="2" t="s">
        <v>82</v>
      </c>
      <c r="C283" s="2" t="s">
        <v>36</v>
      </c>
      <c r="D283" s="2" t="str">
        <f t="shared" si="8"/>
        <v>MMBtu_per_m2_to_therm_per_Acre</v>
      </c>
      <c r="E283" s="3">
        <f>10/0.000247105</f>
        <v>40468.626697153028</v>
      </c>
    </row>
    <row r="284" spans="1:5" x14ac:dyDescent="0.2">
      <c r="A284" s="1" t="s">
        <v>2</v>
      </c>
      <c r="B284" s="2" t="s">
        <v>76</v>
      </c>
      <c r="C284" s="2" t="s">
        <v>72</v>
      </c>
      <c r="D284" s="2" t="str">
        <f t="shared" si="8"/>
        <v>MMBtu_per_ft2_to_Joules_per_m2</v>
      </c>
      <c r="E284" s="3">
        <f>1055060000/0.092903</f>
        <v>11356576213.90052</v>
      </c>
    </row>
    <row r="285" spans="1:5" x14ac:dyDescent="0.2">
      <c r="A285" s="1" t="s">
        <v>2</v>
      </c>
      <c r="B285" s="2" t="s">
        <v>76</v>
      </c>
      <c r="C285" s="2" t="s">
        <v>37</v>
      </c>
      <c r="D285" s="2" t="str">
        <f t="shared" si="8"/>
        <v>MMBtu_per_ft2_to_Joules_per_Acre</v>
      </c>
      <c r="E285" s="3">
        <f>1055060000/0.0000229568</f>
        <v>45958495957624.758</v>
      </c>
    </row>
    <row r="286" spans="1:5" x14ac:dyDescent="0.2">
      <c r="A286" s="1" t="s">
        <v>2</v>
      </c>
      <c r="B286" s="2" t="s">
        <v>76</v>
      </c>
      <c r="C286" s="2" t="s">
        <v>79</v>
      </c>
      <c r="D286" s="2" t="str">
        <f t="shared" si="8"/>
        <v>MMBtu_per_ft2_to_kWh_per_m2</v>
      </c>
      <c r="E286" s="3">
        <f>293.071/0.092903</f>
        <v>3154.5913479650822</v>
      </c>
    </row>
    <row r="287" spans="1:5" x14ac:dyDescent="0.2">
      <c r="A287" s="1" t="s">
        <v>2</v>
      </c>
      <c r="B287" s="2" t="s">
        <v>76</v>
      </c>
      <c r="C287" s="2" t="s">
        <v>32</v>
      </c>
      <c r="D287" s="2" t="str">
        <f t="shared" si="8"/>
        <v>MMBtu_per_ft2_to_kWh_per_Acre</v>
      </c>
      <c r="E287" s="3">
        <f>293.071/0.0000229568</f>
        <v>12766195.637022583</v>
      </c>
    </row>
    <row r="288" spans="1:5" x14ac:dyDescent="0.2">
      <c r="A288" s="1" t="s">
        <v>2</v>
      </c>
      <c r="B288" s="2" t="s">
        <v>76</v>
      </c>
      <c r="C288" s="2" t="s">
        <v>80</v>
      </c>
      <c r="D288" s="2" t="str">
        <f t="shared" si="8"/>
        <v>MMBtu_per_ft2_to_MWh_per_m2</v>
      </c>
      <c r="E288" s="3">
        <f>0.293071/0.092903</f>
        <v>3.154591347965082</v>
      </c>
    </row>
    <row r="289" spans="1:5" x14ac:dyDescent="0.2">
      <c r="A289" s="1" t="s">
        <v>2</v>
      </c>
      <c r="B289" s="2" t="s">
        <v>76</v>
      </c>
      <c r="C289" s="2" t="s">
        <v>33</v>
      </c>
      <c r="D289" s="2" t="str">
        <f t="shared" si="8"/>
        <v>MMBtu_per_ft2_to_MWh_per_Acre</v>
      </c>
      <c r="E289" s="3">
        <f>0.293071/0.0000229568</f>
        <v>12766.195637022583</v>
      </c>
    </row>
    <row r="290" spans="1:5" x14ac:dyDescent="0.2">
      <c r="A290" s="1" t="s">
        <v>2</v>
      </c>
      <c r="B290" s="2" t="s">
        <v>76</v>
      </c>
      <c r="C290" s="2" t="s">
        <v>81</v>
      </c>
      <c r="D290" s="2" t="str">
        <f t="shared" si="8"/>
        <v>MMBtu_per_ft2_to_kBtu_per_m2</v>
      </c>
      <c r="E290" s="3">
        <f>1000/0.092903</f>
        <v>10763.915051182415</v>
      </c>
    </row>
    <row r="291" spans="1:5" x14ac:dyDescent="0.2">
      <c r="A291" s="1" t="s">
        <v>2</v>
      </c>
      <c r="B291" s="2" t="s">
        <v>76</v>
      </c>
      <c r="C291" s="2" t="s">
        <v>34</v>
      </c>
      <c r="D291" s="2" t="str">
        <f t="shared" si="8"/>
        <v>MMBtu_per_ft2_to_kBtu_per_Acre</v>
      </c>
      <c r="E291" s="3">
        <f>1000/0.0000229568</f>
        <v>43560078.059659883</v>
      </c>
    </row>
    <row r="292" spans="1:5" x14ac:dyDescent="0.2">
      <c r="A292" s="1" t="s">
        <v>2</v>
      </c>
      <c r="B292" s="2" t="s">
        <v>76</v>
      </c>
      <c r="C292" s="2" t="s">
        <v>83</v>
      </c>
      <c r="D292" s="2" t="str">
        <f t="shared" si="8"/>
        <v>MMBtu_per_ft2_to_therm_per_m2</v>
      </c>
      <c r="E292" s="3">
        <f>10/0.092903</f>
        <v>107.63915051182416</v>
      </c>
    </row>
    <row r="293" spans="1:5" x14ac:dyDescent="0.2">
      <c r="A293" s="1" t="s">
        <v>2</v>
      </c>
      <c r="B293" s="2" t="s">
        <v>76</v>
      </c>
      <c r="C293" s="2" t="s">
        <v>36</v>
      </c>
      <c r="D293" s="2" t="str">
        <f t="shared" si="8"/>
        <v>MMBtu_per_ft2_to_therm_per_Acre</v>
      </c>
      <c r="E293" s="3">
        <f>10/0.0000229568</f>
        <v>435600.78059659881</v>
      </c>
    </row>
    <row r="294" spans="1:5" x14ac:dyDescent="0.2">
      <c r="A294" s="1" t="s">
        <v>2</v>
      </c>
      <c r="B294" s="2" t="s">
        <v>35</v>
      </c>
      <c r="C294" s="2" t="s">
        <v>72</v>
      </c>
      <c r="D294" s="2" t="str">
        <f t="shared" si="8"/>
        <v>MMBtu_per_Acre_to_Joules_per_m2</v>
      </c>
      <c r="E294" s="3">
        <f>1055060000/4046.86</f>
        <v>260710.77329089714</v>
      </c>
    </row>
    <row r="295" spans="1:5" x14ac:dyDescent="0.2">
      <c r="A295" s="1" t="s">
        <v>2</v>
      </c>
      <c r="B295" s="2" t="s">
        <v>35</v>
      </c>
      <c r="C295" s="2" t="s">
        <v>78</v>
      </c>
      <c r="D295" s="2" t="str">
        <f t="shared" si="8"/>
        <v>MMBtu_per_Acre_to_Joules_per_ft2</v>
      </c>
      <c r="E295" s="3">
        <f>1055060000/43560</f>
        <v>24220.844811753901</v>
      </c>
    </row>
    <row r="296" spans="1:5" x14ac:dyDescent="0.2">
      <c r="A296" s="1" t="s">
        <v>2</v>
      </c>
      <c r="B296" s="2" t="s">
        <v>35</v>
      </c>
      <c r="C296" s="2" t="s">
        <v>79</v>
      </c>
      <c r="D296" s="2" t="str">
        <f t="shared" ref="D296:D327" si="9">B296 &amp; "_to_" &amp; C296</f>
        <v>MMBtu_per_Acre_to_kWh_per_m2</v>
      </c>
      <c r="E296" s="3">
        <f>293.071/4046.86</f>
        <v>7.2419357230049969E-2</v>
      </c>
    </row>
    <row r="297" spans="1:5" x14ac:dyDescent="0.2">
      <c r="A297" s="1" t="s">
        <v>2</v>
      </c>
      <c r="B297" s="2" t="s">
        <v>35</v>
      </c>
      <c r="C297" s="2" t="s">
        <v>73</v>
      </c>
      <c r="D297" s="2" t="str">
        <f t="shared" si="9"/>
        <v>MMBtu_per_Acre_to_kWh_per_ft2</v>
      </c>
      <c r="E297" s="3">
        <f>293.071/43560</f>
        <v>6.7279843893480263E-3</v>
      </c>
    </row>
    <row r="298" spans="1:5" x14ac:dyDescent="0.2">
      <c r="A298" s="1" t="s">
        <v>2</v>
      </c>
      <c r="B298" s="2" t="s">
        <v>35</v>
      </c>
      <c r="C298" s="2" t="s">
        <v>80</v>
      </c>
      <c r="D298" s="2" t="str">
        <f t="shared" si="9"/>
        <v>MMBtu_per_Acre_to_MWh_per_m2</v>
      </c>
      <c r="E298" s="3">
        <f>0.293071/4046.86</f>
        <v>7.241935723004997E-5</v>
      </c>
    </row>
    <row r="299" spans="1:5" x14ac:dyDescent="0.2">
      <c r="A299" s="1" t="s">
        <v>2</v>
      </c>
      <c r="B299" s="2" t="s">
        <v>35</v>
      </c>
      <c r="C299" s="2" t="s">
        <v>74</v>
      </c>
      <c r="D299" s="2" t="str">
        <f t="shared" si="9"/>
        <v>MMBtu_per_Acre_to_MWh_per_ft2</v>
      </c>
      <c r="E299" s="3">
        <f>0.293071/43560</f>
        <v>6.7279843893480262E-6</v>
      </c>
    </row>
    <row r="300" spans="1:5" x14ac:dyDescent="0.2">
      <c r="A300" s="1" t="s">
        <v>2</v>
      </c>
      <c r="B300" s="2" t="s">
        <v>35</v>
      </c>
      <c r="C300" s="2" t="s">
        <v>81</v>
      </c>
      <c r="D300" s="2" t="str">
        <f t="shared" si="9"/>
        <v>MMBtu_per_Acre_to_kBtu_per_m2</v>
      </c>
      <c r="E300" s="3">
        <f>1000/4046.86</f>
        <v>0.24710516301527605</v>
      </c>
    </row>
    <row r="301" spans="1:5" x14ac:dyDescent="0.2">
      <c r="A301" s="1" t="s">
        <v>2</v>
      </c>
      <c r="B301" s="2" t="s">
        <v>35</v>
      </c>
      <c r="C301" s="2" t="s">
        <v>75</v>
      </c>
      <c r="D301" s="2" t="str">
        <f t="shared" si="9"/>
        <v>MMBtu_per_Acre_to_kBtu_per_ft2</v>
      </c>
      <c r="E301" s="3">
        <f>1000/43560</f>
        <v>2.2956841138659319E-2</v>
      </c>
    </row>
    <row r="302" spans="1:5" x14ac:dyDescent="0.2">
      <c r="A302" s="1" t="s">
        <v>2</v>
      </c>
      <c r="B302" s="2" t="s">
        <v>35</v>
      </c>
      <c r="C302" s="2" t="s">
        <v>83</v>
      </c>
      <c r="D302" s="2" t="str">
        <f t="shared" si="9"/>
        <v>MMBtu_per_Acre_to_therm_per_m2</v>
      </c>
      <c r="E302" s="3">
        <f>10/4046.86</f>
        <v>2.4710516301527604E-3</v>
      </c>
    </row>
    <row r="303" spans="1:5" x14ac:dyDescent="0.2">
      <c r="A303" s="1" t="s">
        <v>2</v>
      </c>
      <c r="B303" s="2" t="s">
        <v>35</v>
      </c>
      <c r="C303" s="2" t="s">
        <v>77</v>
      </c>
      <c r="D303" s="2" t="str">
        <f t="shared" si="9"/>
        <v>MMBtu_per_Acre_to_therm_per_ft2</v>
      </c>
      <c r="E303" s="3">
        <f>10/43560</f>
        <v>2.295684113865932E-4</v>
      </c>
    </row>
    <row r="304" spans="1:5" x14ac:dyDescent="0.2">
      <c r="A304" s="1" t="s">
        <v>2</v>
      </c>
      <c r="B304" s="2" t="s">
        <v>83</v>
      </c>
      <c r="C304" s="2" t="s">
        <v>78</v>
      </c>
      <c r="D304" s="2" t="str">
        <f t="shared" si="9"/>
        <v>therm_per_m2_to_Joules_per_ft2</v>
      </c>
      <c r="E304" s="3">
        <f>105480/10.7639</f>
        <v>9799.4221425319829</v>
      </c>
    </row>
    <row r="305" spans="1:5" x14ac:dyDescent="0.2">
      <c r="A305" s="1" t="s">
        <v>2</v>
      </c>
      <c r="B305" s="2" t="s">
        <v>83</v>
      </c>
      <c r="C305" s="2" t="s">
        <v>37</v>
      </c>
      <c r="D305" s="2" t="str">
        <f t="shared" si="9"/>
        <v>therm_per_m2_to_Joules_per_Acre</v>
      </c>
      <c r="E305" s="3">
        <f>105480/0.000247105</f>
        <v>426863074.40157014</v>
      </c>
    </row>
    <row r="306" spans="1:5" x14ac:dyDescent="0.2">
      <c r="A306" s="1" t="s">
        <v>2</v>
      </c>
      <c r="B306" s="2" t="s">
        <v>83</v>
      </c>
      <c r="C306" s="2" t="s">
        <v>73</v>
      </c>
      <c r="D306" s="2" t="str">
        <f t="shared" si="9"/>
        <v>therm_per_m2_to_kWh_per_ft2</v>
      </c>
      <c r="E306" s="3">
        <f>29.3071/10.7639</f>
        <v>2.7227213184812196</v>
      </c>
    </row>
    <row r="307" spans="1:5" x14ac:dyDescent="0.2">
      <c r="A307" s="1" t="s">
        <v>2</v>
      </c>
      <c r="B307" s="2" t="s">
        <v>83</v>
      </c>
      <c r="C307" s="2" t="s">
        <v>32</v>
      </c>
      <c r="D307" s="2" t="str">
        <f t="shared" si="9"/>
        <v>therm_per_m2_to_kWh_per_Acre</v>
      </c>
      <c r="E307" s="3">
        <f>29.3071/0.000247105</f>
        <v>118601.80894761335</v>
      </c>
    </row>
    <row r="308" spans="1:5" x14ac:dyDescent="0.2">
      <c r="A308" s="1" t="s">
        <v>2</v>
      </c>
      <c r="B308" s="2" t="s">
        <v>83</v>
      </c>
      <c r="C308" s="2" t="s">
        <v>74</v>
      </c>
      <c r="D308" s="2" t="str">
        <f t="shared" si="9"/>
        <v>therm_per_m2_to_MWh_per_ft2</v>
      </c>
      <c r="E308" s="3">
        <f>0.0293071/10.7639</f>
        <v>2.7227213184812197E-3</v>
      </c>
    </row>
    <row r="309" spans="1:5" x14ac:dyDescent="0.2">
      <c r="A309" s="1" t="s">
        <v>2</v>
      </c>
      <c r="B309" s="2" t="s">
        <v>83</v>
      </c>
      <c r="C309" s="2" t="s">
        <v>33</v>
      </c>
      <c r="D309" s="2" t="str">
        <f t="shared" si="9"/>
        <v>therm_per_m2_to_MWh_per_Acre</v>
      </c>
      <c r="E309" s="3">
        <f>0.0293071/0.000247105</f>
        <v>118.60180894761335</v>
      </c>
    </row>
    <row r="310" spans="1:5" x14ac:dyDescent="0.2">
      <c r="A310" s="1" t="s">
        <v>2</v>
      </c>
      <c r="B310" s="2" t="s">
        <v>83</v>
      </c>
      <c r="C310" s="2" t="s">
        <v>75</v>
      </c>
      <c r="D310" s="2" t="str">
        <f t="shared" si="9"/>
        <v>therm_per_m2_to_kBtu_per_ft2</v>
      </c>
      <c r="E310" s="3">
        <f>100/10.7639</f>
        <v>9.2903129906446544</v>
      </c>
    </row>
    <row r="311" spans="1:5" x14ac:dyDescent="0.2">
      <c r="A311" s="1" t="s">
        <v>2</v>
      </c>
      <c r="B311" s="2" t="s">
        <v>83</v>
      </c>
      <c r="C311" s="2" t="s">
        <v>34</v>
      </c>
      <c r="D311" s="2" t="str">
        <f t="shared" si="9"/>
        <v>therm_per_m2_to_kBtu_per_Acre</v>
      </c>
      <c r="E311" s="3">
        <f>100/0.000247105</f>
        <v>404686.26697153028</v>
      </c>
    </row>
    <row r="312" spans="1:5" x14ac:dyDescent="0.2">
      <c r="A312" s="1" t="s">
        <v>2</v>
      </c>
      <c r="B312" s="2" t="s">
        <v>83</v>
      </c>
      <c r="C312" s="2" t="s">
        <v>76</v>
      </c>
      <c r="D312" s="2" t="str">
        <f t="shared" si="9"/>
        <v>therm_per_m2_to_MMBtu_per_ft2</v>
      </c>
      <c r="E312" s="3">
        <f>0.1/10.7639</f>
        <v>9.2903129906446551E-3</v>
      </c>
    </row>
    <row r="313" spans="1:5" x14ac:dyDescent="0.2">
      <c r="A313" s="1" t="s">
        <v>2</v>
      </c>
      <c r="B313" s="2" t="s">
        <v>83</v>
      </c>
      <c r="C313" s="2" t="s">
        <v>35</v>
      </c>
      <c r="D313" s="2" t="str">
        <f t="shared" si="9"/>
        <v>therm_per_m2_to_MMBtu_per_Acre</v>
      </c>
      <c r="E313" s="3">
        <f>0.1/0.000247105</f>
        <v>404.6862669715303</v>
      </c>
    </row>
    <row r="314" spans="1:5" x14ac:dyDescent="0.2">
      <c r="A314" s="1" t="s">
        <v>2</v>
      </c>
      <c r="B314" s="2" t="s">
        <v>77</v>
      </c>
      <c r="C314" s="2" t="s">
        <v>72</v>
      </c>
      <c r="D314" s="2" t="str">
        <f t="shared" si="9"/>
        <v>therm_per_ft2_to_Joules_per_m2</v>
      </c>
      <c r="E314" s="3">
        <f>105480/0.092903</f>
        <v>1135377.7595987213</v>
      </c>
    </row>
    <row r="315" spans="1:5" x14ac:dyDescent="0.2">
      <c r="A315" s="1" t="s">
        <v>2</v>
      </c>
      <c r="B315" s="2" t="s">
        <v>77</v>
      </c>
      <c r="C315" s="2" t="s">
        <v>37</v>
      </c>
      <c r="D315" s="2" t="str">
        <f t="shared" si="9"/>
        <v>therm_per_ft2_to_Joules_per_Acre</v>
      </c>
      <c r="E315" s="3">
        <f>105480/0.0000229568</f>
        <v>4594717033.7329245</v>
      </c>
    </row>
    <row r="316" spans="1:5" x14ac:dyDescent="0.2">
      <c r="A316" s="1" t="s">
        <v>2</v>
      </c>
      <c r="B316" s="2" t="s">
        <v>77</v>
      </c>
      <c r="C316" s="2" t="s">
        <v>79</v>
      </c>
      <c r="D316" s="2" t="str">
        <f t="shared" si="9"/>
        <v>therm_per_ft2_to_kWh_per_m2</v>
      </c>
      <c r="E316" s="3">
        <f>29.3071/0.092903</f>
        <v>315.45913479650818</v>
      </c>
    </row>
    <row r="317" spans="1:5" x14ac:dyDescent="0.2">
      <c r="A317" s="1" t="s">
        <v>2</v>
      </c>
      <c r="B317" s="2" t="s">
        <v>77</v>
      </c>
      <c r="C317" s="2" t="s">
        <v>32</v>
      </c>
      <c r="D317" s="2" t="str">
        <f t="shared" si="9"/>
        <v>therm_per_ft2_to_kWh_per_Acre</v>
      </c>
      <c r="E317" s="3">
        <f>29.3071/0.0000229568</f>
        <v>1276619.563702258</v>
      </c>
    </row>
    <row r="318" spans="1:5" x14ac:dyDescent="0.2">
      <c r="A318" s="1" t="s">
        <v>2</v>
      </c>
      <c r="B318" s="2" t="s">
        <v>77</v>
      </c>
      <c r="C318" s="2" t="s">
        <v>80</v>
      </c>
      <c r="D318" s="2" t="str">
        <f t="shared" si="9"/>
        <v>therm_per_ft2_to_MWh_per_m2</v>
      </c>
      <c r="E318" s="3">
        <f>0.0293071/0.092903</f>
        <v>0.31545913479650817</v>
      </c>
    </row>
    <row r="319" spans="1:5" x14ac:dyDescent="0.2">
      <c r="A319" s="1" t="s">
        <v>2</v>
      </c>
      <c r="B319" s="2" t="s">
        <v>77</v>
      </c>
      <c r="C319" s="2" t="s">
        <v>33</v>
      </c>
      <c r="D319" s="2" t="str">
        <f t="shared" si="9"/>
        <v>therm_per_ft2_to_MWh_per_Acre</v>
      </c>
      <c r="E319" s="3">
        <f>0.0293071/0.0000229568</f>
        <v>1276.6195637022581</v>
      </c>
    </row>
    <row r="320" spans="1:5" x14ac:dyDescent="0.2">
      <c r="A320" s="1" t="s">
        <v>2</v>
      </c>
      <c r="B320" s="2" t="s">
        <v>77</v>
      </c>
      <c r="C320" s="2" t="s">
        <v>81</v>
      </c>
      <c r="D320" s="2" t="str">
        <f t="shared" si="9"/>
        <v>therm_per_ft2_to_kBtu_per_m2</v>
      </c>
      <c r="E320" s="3">
        <f>100/0.092903</f>
        <v>1076.3915051182416</v>
      </c>
    </row>
    <row r="321" spans="1:5" x14ac:dyDescent="0.2">
      <c r="A321" s="1" t="s">
        <v>2</v>
      </c>
      <c r="B321" s="2" t="s">
        <v>77</v>
      </c>
      <c r="C321" s="2" t="s">
        <v>34</v>
      </c>
      <c r="D321" s="2" t="str">
        <f t="shared" si="9"/>
        <v>therm_per_ft2_to_kBtu_per_Acre</v>
      </c>
      <c r="E321" s="3">
        <f>100/0.0000229568</f>
        <v>4356007.805965988</v>
      </c>
    </row>
    <row r="322" spans="1:5" x14ac:dyDescent="0.2">
      <c r="A322" s="1" t="s">
        <v>2</v>
      </c>
      <c r="B322" s="2" t="s">
        <v>77</v>
      </c>
      <c r="C322" s="2" t="s">
        <v>82</v>
      </c>
      <c r="D322" s="2" t="str">
        <f t="shared" si="9"/>
        <v>therm_per_ft2_to_MMBtu_per_m2</v>
      </c>
      <c r="E322" s="3">
        <f>0.1/0.092903</f>
        <v>1.0763915051182418</v>
      </c>
    </row>
    <row r="323" spans="1:5" x14ac:dyDescent="0.2">
      <c r="A323" s="1" t="s">
        <v>2</v>
      </c>
      <c r="B323" s="2" t="s">
        <v>77</v>
      </c>
      <c r="C323" s="2" t="s">
        <v>35</v>
      </c>
      <c r="D323" s="2" t="str">
        <f t="shared" si="9"/>
        <v>therm_per_ft2_to_MMBtu_per_Acre</v>
      </c>
      <c r="E323" s="3">
        <f>0.1/0.0000229568</f>
        <v>4356.0078059659882</v>
      </c>
    </row>
    <row r="324" spans="1:5" x14ac:dyDescent="0.2">
      <c r="A324" s="1" t="s">
        <v>2</v>
      </c>
      <c r="B324" s="2" t="s">
        <v>36</v>
      </c>
      <c r="C324" s="2" t="s">
        <v>72</v>
      </c>
      <c r="D324" s="2" t="str">
        <f t="shared" si="9"/>
        <v>therm_per_Acre_to_Joules_per_m2</v>
      </c>
      <c r="E324" s="3">
        <f>105480/4046.86</f>
        <v>26.064652594851317</v>
      </c>
    </row>
    <row r="325" spans="1:5" x14ac:dyDescent="0.2">
      <c r="A325" s="1" t="s">
        <v>2</v>
      </c>
      <c r="B325" s="2" t="s">
        <v>36</v>
      </c>
      <c r="C325" s="2" t="s">
        <v>78</v>
      </c>
      <c r="D325" s="2" t="str">
        <f t="shared" si="9"/>
        <v>therm_per_Acre_to_Joules_per_ft2</v>
      </c>
      <c r="E325" s="3">
        <f>105480/43560</f>
        <v>2.4214876033057853</v>
      </c>
    </row>
    <row r="326" spans="1:5" x14ac:dyDescent="0.2">
      <c r="A326" s="1" t="s">
        <v>2</v>
      </c>
      <c r="B326" s="2" t="s">
        <v>36</v>
      </c>
      <c r="C326" s="2" t="s">
        <v>79</v>
      </c>
      <c r="D326" s="2" t="str">
        <f t="shared" si="9"/>
        <v>therm_per_Acre_to_kWh_per_m2</v>
      </c>
      <c r="E326" s="3">
        <f>29.3071/4046.86</f>
        <v>7.2419357230049958E-3</v>
      </c>
    </row>
    <row r="327" spans="1:5" x14ac:dyDescent="0.2">
      <c r="A327" s="1" t="s">
        <v>2</v>
      </c>
      <c r="B327" s="2" t="s">
        <v>36</v>
      </c>
      <c r="C327" s="2" t="s">
        <v>73</v>
      </c>
      <c r="D327" s="2" t="str">
        <f t="shared" si="9"/>
        <v>therm_per_Acre_to_kWh_per_ft2</v>
      </c>
      <c r="E327" s="3">
        <f>29.3071/43560</f>
        <v>6.7279843893480252E-4</v>
      </c>
    </row>
    <row r="328" spans="1:5" x14ac:dyDescent="0.2">
      <c r="A328" s="1" t="s">
        <v>2</v>
      </c>
      <c r="B328" s="2" t="s">
        <v>36</v>
      </c>
      <c r="C328" s="2" t="s">
        <v>80</v>
      </c>
      <c r="D328" s="2" t="str">
        <f t="shared" ref="D328:D359" si="10">B328 &amp; "_to_" &amp; C328</f>
        <v>therm_per_Acre_to_MWh_per_m2</v>
      </c>
      <c r="E328" s="3">
        <f>0.0293071/4046.86</f>
        <v>7.241935723004996E-6</v>
      </c>
    </row>
    <row r="329" spans="1:5" x14ac:dyDescent="0.2">
      <c r="A329" s="1" t="s">
        <v>2</v>
      </c>
      <c r="B329" s="2" t="s">
        <v>36</v>
      </c>
      <c r="C329" s="2" t="s">
        <v>74</v>
      </c>
      <c r="D329" s="2" t="str">
        <f t="shared" si="10"/>
        <v>therm_per_Acre_to_MWh_per_ft2</v>
      </c>
      <c r="E329" s="3">
        <f>0.0293071/43560</f>
        <v>6.7279843893480259E-7</v>
      </c>
    </row>
    <row r="330" spans="1:5" x14ac:dyDescent="0.2">
      <c r="A330" s="1" t="s">
        <v>2</v>
      </c>
      <c r="B330" s="2" t="s">
        <v>36</v>
      </c>
      <c r="C330" s="2" t="s">
        <v>81</v>
      </c>
      <c r="D330" s="2" t="str">
        <f t="shared" si="10"/>
        <v>therm_per_Acre_to_kBtu_per_m2</v>
      </c>
      <c r="E330" s="3">
        <f>100/4046.86</f>
        <v>2.4710516301527603E-2</v>
      </c>
    </row>
    <row r="331" spans="1:5" x14ac:dyDescent="0.2">
      <c r="A331" s="1" t="s">
        <v>2</v>
      </c>
      <c r="B331" s="2" t="s">
        <v>36</v>
      </c>
      <c r="C331" s="2" t="s">
        <v>75</v>
      </c>
      <c r="D331" s="2" t="str">
        <f t="shared" si="10"/>
        <v>therm_per_Acre_to_kBtu_per_ft2</v>
      </c>
      <c r="E331" s="3">
        <f>100/43560</f>
        <v>2.295684113865932E-3</v>
      </c>
    </row>
    <row r="332" spans="1:5" x14ac:dyDescent="0.2">
      <c r="A332" s="1" t="s">
        <v>2</v>
      </c>
      <c r="B332" s="2" t="s">
        <v>36</v>
      </c>
      <c r="C332" s="2" t="s">
        <v>82</v>
      </c>
      <c r="D332" s="2" t="str">
        <f t="shared" si="10"/>
        <v>therm_per_Acre_to_MMBtu_per_m2</v>
      </c>
      <c r="E332" s="3">
        <f>0.1/4046.86</f>
        <v>2.4710516301527606E-5</v>
      </c>
    </row>
    <row r="333" spans="1:5" x14ac:dyDescent="0.2">
      <c r="A333" s="1" t="s">
        <v>2</v>
      </c>
      <c r="B333" s="2" t="s">
        <v>36</v>
      </c>
      <c r="C333" s="2" t="s">
        <v>76</v>
      </c>
      <c r="D333" s="2" t="str">
        <f t="shared" si="10"/>
        <v>therm_per_Acre_to_MMBtu_per_ft2</v>
      </c>
      <c r="E333" s="3">
        <f>0.1/43560</f>
        <v>2.2956841138659321E-6</v>
      </c>
    </row>
    <row r="334" spans="1:5" x14ac:dyDescent="0.2">
      <c r="A334" s="1" t="s">
        <v>3</v>
      </c>
      <c r="B334" s="2" t="s">
        <v>38</v>
      </c>
      <c r="C334" s="2" t="s">
        <v>39</v>
      </c>
      <c r="D334" s="2" t="str">
        <f t="shared" si="10"/>
        <v>kg_per_Joules_to_lb_per_kWh</v>
      </c>
      <c r="E334" s="3">
        <f>2.20462/0.000000277778</f>
        <v>7936625.6506994795</v>
      </c>
    </row>
    <row r="335" spans="1:5" x14ac:dyDescent="0.2">
      <c r="A335" s="1" t="s">
        <v>3</v>
      </c>
      <c r="B335" s="2" t="s">
        <v>38</v>
      </c>
      <c r="C335" s="2" t="s">
        <v>40</v>
      </c>
      <c r="D335" s="2" t="str">
        <f t="shared" si="10"/>
        <v>kg_per_Joules_to_lb_per_MWh</v>
      </c>
      <c r="E335" s="3">
        <f>2.20462/0.000000000277778</f>
        <v>7936625650.6994791</v>
      </c>
    </row>
    <row r="336" spans="1:5" x14ac:dyDescent="0.2">
      <c r="A336" s="1" t="s">
        <v>3</v>
      </c>
      <c r="B336" s="2" t="s">
        <v>38</v>
      </c>
      <c r="C336" s="2" t="s">
        <v>41</v>
      </c>
      <c r="D336" s="2" t="str">
        <f t="shared" si="10"/>
        <v>kg_per_Joules_to_lb_per_kBtu</v>
      </c>
      <c r="E336" s="3">
        <f>2.20462/0.000947817</f>
        <v>2325.9975290588795</v>
      </c>
    </row>
    <row r="337" spans="1:5" x14ac:dyDescent="0.2">
      <c r="A337" s="1" t="s">
        <v>3</v>
      </c>
      <c r="B337" s="2" t="s">
        <v>38</v>
      </c>
      <c r="C337" s="2" t="s">
        <v>42</v>
      </c>
      <c r="D337" s="2" t="str">
        <f t="shared" si="10"/>
        <v>kg_per_Joules_to_lb_per_MMBtu</v>
      </c>
      <c r="E337" s="3">
        <f>2.20462/0.000000947817</f>
        <v>2325997.5290588792</v>
      </c>
    </row>
    <row r="338" spans="1:5" x14ac:dyDescent="0.2">
      <c r="A338" s="1" t="s">
        <v>3</v>
      </c>
      <c r="B338" s="2" t="s">
        <v>38</v>
      </c>
      <c r="C338" s="2" t="s">
        <v>43</v>
      </c>
      <c r="D338" s="2" t="str">
        <f t="shared" si="10"/>
        <v>kg_per_Joules_to_lb_per_therm</v>
      </c>
      <c r="E338" s="3">
        <f>2.20462/0.00000948043</f>
        <v>232544.30442501022</v>
      </c>
    </row>
    <row r="339" spans="1:5" x14ac:dyDescent="0.2">
      <c r="A339" s="1" t="s">
        <v>3</v>
      </c>
      <c r="B339" s="2" t="s">
        <v>38</v>
      </c>
      <c r="C339" s="2" t="s">
        <v>115</v>
      </c>
      <c r="D339" s="2" t="str">
        <f t="shared" si="10"/>
        <v>kg_per_Joules_to_US_Ton_per_kWh</v>
      </c>
      <c r="E339" s="3">
        <f>0.00110231/0.000000277778</f>
        <v>3968.3128253497398</v>
      </c>
    </row>
    <row r="340" spans="1:5" x14ac:dyDescent="0.2">
      <c r="A340" s="1" t="s">
        <v>3</v>
      </c>
      <c r="B340" s="2" t="s">
        <v>38</v>
      </c>
      <c r="C340" s="2" t="s">
        <v>116</v>
      </c>
      <c r="D340" s="2" t="str">
        <f t="shared" si="10"/>
        <v>kg_per_Joules_to_US_Ton_per_MWh</v>
      </c>
      <c r="E340" s="3">
        <f>0.00110231/0.000000000277778</f>
        <v>3968312.8253497402</v>
      </c>
    </row>
    <row r="341" spans="1:5" x14ac:dyDescent="0.2">
      <c r="A341" s="1" t="s">
        <v>3</v>
      </c>
      <c r="B341" s="2" t="s">
        <v>38</v>
      </c>
      <c r="C341" s="2" t="s">
        <v>117</v>
      </c>
      <c r="D341" s="2" t="str">
        <f t="shared" si="10"/>
        <v>kg_per_Joules_to_US_Ton_per_kBtu</v>
      </c>
      <c r="E341" s="3">
        <f>0.00110231/0.000947817</f>
        <v>1.1629987645294397</v>
      </c>
    </row>
    <row r="342" spans="1:5" x14ac:dyDescent="0.2">
      <c r="A342" s="1" t="s">
        <v>3</v>
      </c>
      <c r="B342" s="2" t="s">
        <v>38</v>
      </c>
      <c r="C342" s="2" t="s">
        <v>118</v>
      </c>
      <c r="D342" s="2" t="str">
        <f t="shared" si="10"/>
        <v>kg_per_Joules_to_US_Ton_per_MMBtu</v>
      </c>
      <c r="E342" s="3">
        <f>0.00110231/0.000000947817</f>
        <v>1162.9987645294398</v>
      </c>
    </row>
    <row r="343" spans="1:5" x14ac:dyDescent="0.2">
      <c r="A343" s="1" t="s">
        <v>3</v>
      </c>
      <c r="B343" s="2" t="s">
        <v>38</v>
      </c>
      <c r="C343" s="2" t="s">
        <v>119</v>
      </c>
      <c r="D343" s="2" t="str">
        <f t="shared" si="10"/>
        <v>kg_per_Joules_to_US_Ton_per_therm</v>
      </c>
      <c r="E343" s="3">
        <f>0.00110231/0.00000948043</f>
        <v>116.27215221250512</v>
      </c>
    </row>
    <row r="344" spans="1:5" x14ac:dyDescent="0.2">
      <c r="A344" s="1" t="s">
        <v>3</v>
      </c>
      <c r="B344" s="2" t="s">
        <v>38</v>
      </c>
      <c r="C344" s="2" t="s">
        <v>120</v>
      </c>
      <c r="D344" s="2" t="str">
        <f t="shared" si="10"/>
        <v>kg_per_Joules_to_Metric_Tonne_per_kWh</v>
      </c>
      <c r="E344" s="3">
        <f>0.001/0.000000277778</f>
        <v>3599.9971200023042</v>
      </c>
    </row>
    <row r="345" spans="1:5" x14ac:dyDescent="0.2">
      <c r="A345" s="1" t="s">
        <v>3</v>
      </c>
      <c r="B345" s="2" t="s">
        <v>38</v>
      </c>
      <c r="C345" s="2" t="s">
        <v>121</v>
      </c>
      <c r="D345" s="2" t="str">
        <f t="shared" si="10"/>
        <v>kg_per_Joules_to_Metric_Tonne_per_MWh</v>
      </c>
      <c r="E345" s="3">
        <f>0.001/0.000000000277778</f>
        <v>3599997.1200023042</v>
      </c>
    </row>
    <row r="346" spans="1:5" x14ac:dyDescent="0.2">
      <c r="A346" s="1" t="s">
        <v>3</v>
      </c>
      <c r="B346" s="2" t="s">
        <v>38</v>
      </c>
      <c r="C346" s="2" t="s">
        <v>122</v>
      </c>
      <c r="D346" s="2" t="str">
        <f t="shared" si="10"/>
        <v>kg_per_Joules_to_Metric_Tonne_per_kBtu</v>
      </c>
      <c r="E346" s="3">
        <f>0.001/0.000947817</f>
        <v>1.0550559865459261</v>
      </c>
    </row>
    <row r="347" spans="1:5" x14ac:dyDescent="0.2">
      <c r="A347" s="1" t="s">
        <v>3</v>
      </c>
      <c r="B347" s="2" t="s">
        <v>38</v>
      </c>
      <c r="C347" s="2" t="s">
        <v>123</v>
      </c>
      <c r="D347" s="2" t="str">
        <f t="shared" si="10"/>
        <v>kg_per_Joules_to_Metric_Tonne_per_MMBtu</v>
      </c>
      <c r="E347" s="3">
        <f>0.001/0.000000947817</f>
        <v>1055.0559865459261</v>
      </c>
    </row>
    <row r="348" spans="1:5" x14ac:dyDescent="0.2">
      <c r="A348" s="1" t="s">
        <v>3</v>
      </c>
      <c r="B348" s="2" t="s">
        <v>38</v>
      </c>
      <c r="C348" s="2" t="s">
        <v>124</v>
      </c>
      <c r="D348" s="2" t="str">
        <f t="shared" si="10"/>
        <v>kg_per_Joules_to_Metric_Tonne_per_therm</v>
      </c>
      <c r="E348" s="3">
        <f>0.001/0.00000948043</f>
        <v>105.4804476168275</v>
      </c>
    </row>
    <row r="349" spans="1:5" x14ac:dyDescent="0.2">
      <c r="A349" s="1" t="s">
        <v>3</v>
      </c>
      <c r="B349" s="2" t="s">
        <v>44</v>
      </c>
      <c r="C349" s="2" t="s">
        <v>45</v>
      </c>
      <c r="D349" s="2" t="str">
        <f t="shared" si="10"/>
        <v>kg_per_kWh_to_lb_per_Joules</v>
      </c>
      <c r="E349" s="3">
        <f>2.20462/3600000</f>
        <v>6.1239444444444435E-7</v>
      </c>
    </row>
    <row r="350" spans="1:5" x14ac:dyDescent="0.2">
      <c r="A350" s="1" t="s">
        <v>3</v>
      </c>
      <c r="B350" s="2" t="s">
        <v>44</v>
      </c>
      <c r="C350" s="2" t="s">
        <v>40</v>
      </c>
      <c r="D350" s="2" t="str">
        <f t="shared" si="10"/>
        <v>kg_per_kWh_to_lb_per_MWh</v>
      </c>
      <c r="E350" s="3">
        <f>2.20462/0.001</f>
        <v>2204.62</v>
      </c>
    </row>
    <row r="351" spans="1:5" x14ac:dyDescent="0.2">
      <c r="A351" s="1" t="s">
        <v>3</v>
      </c>
      <c r="B351" s="2" t="s">
        <v>44</v>
      </c>
      <c r="C351" s="2" t="s">
        <v>41</v>
      </c>
      <c r="D351" s="2" t="str">
        <f t="shared" si="10"/>
        <v>kg_per_kWh_to_lb_per_kBtu</v>
      </c>
      <c r="E351" s="3">
        <f>2.20462/3.41214</f>
        <v>0.64611065196621476</v>
      </c>
    </row>
    <row r="352" spans="1:5" x14ac:dyDescent="0.2">
      <c r="A352" s="1" t="s">
        <v>3</v>
      </c>
      <c r="B352" s="2" t="s">
        <v>44</v>
      </c>
      <c r="C352" s="2" t="s">
        <v>42</v>
      </c>
      <c r="D352" s="2" t="str">
        <f t="shared" si="10"/>
        <v>kg_per_kWh_to_lb_per_MMBtu</v>
      </c>
      <c r="E352" s="3">
        <f>2.20462/0.00341214</f>
        <v>646.11065196621462</v>
      </c>
    </row>
    <row r="353" spans="1:5" x14ac:dyDescent="0.2">
      <c r="A353" s="1" t="s">
        <v>3</v>
      </c>
      <c r="B353" s="2" t="s">
        <v>44</v>
      </c>
      <c r="C353" s="2" t="s">
        <v>43</v>
      </c>
      <c r="D353" s="2" t="str">
        <f t="shared" si="10"/>
        <v>kg_per_kWh_to_lb_per_therm</v>
      </c>
      <c r="E353" s="3">
        <f>2.20462/0.0341214</f>
        <v>64.611065196621468</v>
      </c>
    </row>
    <row r="354" spans="1:5" x14ac:dyDescent="0.2">
      <c r="A354" s="1" t="s">
        <v>3</v>
      </c>
      <c r="B354" s="2" t="s">
        <v>44</v>
      </c>
      <c r="C354" s="2" t="s">
        <v>125</v>
      </c>
      <c r="D354" s="2" t="str">
        <f t="shared" si="10"/>
        <v>kg_per_kWh_to_US_Ton_per_Joules</v>
      </c>
      <c r="E354" s="3">
        <f>0.00110231/3600000</f>
        <v>3.0619722222222223E-10</v>
      </c>
    </row>
    <row r="355" spans="1:5" x14ac:dyDescent="0.2">
      <c r="A355" s="1" t="s">
        <v>3</v>
      </c>
      <c r="B355" s="2" t="s">
        <v>44</v>
      </c>
      <c r="C355" s="2" t="s">
        <v>116</v>
      </c>
      <c r="D355" s="2" t="str">
        <f t="shared" si="10"/>
        <v>kg_per_kWh_to_US_Ton_per_MWh</v>
      </c>
      <c r="E355" s="3">
        <f>0.00110231/0.001</f>
        <v>1.1023099999999999</v>
      </c>
    </row>
    <row r="356" spans="1:5" x14ac:dyDescent="0.2">
      <c r="A356" s="1" t="s">
        <v>3</v>
      </c>
      <c r="B356" s="2" t="s">
        <v>44</v>
      </c>
      <c r="C356" s="2" t="s">
        <v>117</v>
      </c>
      <c r="D356" s="2" t="str">
        <f t="shared" si="10"/>
        <v>kg_per_kWh_to_US_Ton_per_kBtu</v>
      </c>
      <c r="E356" s="3">
        <f>0.00110231/3.41214</f>
        <v>3.2305532598310736E-4</v>
      </c>
    </row>
    <row r="357" spans="1:5" x14ac:dyDescent="0.2">
      <c r="A357" s="1" t="s">
        <v>3</v>
      </c>
      <c r="B357" s="2" t="s">
        <v>44</v>
      </c>
      <c r="C357" s="2" t="s">
        <v>118</v>
      </c>
      <c r="D357" s="2" t="str">
        <f t="shared" si="10"/>
        <v>kg_per_kWh_to_US_Ton_per_MMBtu</v>
      </c>
      <c r="E357" s="3">
        <f>0.00110231/0.00341214</f>
        <v>0.32305532598310738</v>
      </c>
    </row>
    <row r="358" spans="1:5" x14ac:dyDescent="0.2">
      <c r="A358" s="1" t="s">
        <v>3</v>
      </c>
      <c r="B358" s="2" t="s">
        <v>44</v>
      </c>
      <c r="C358" s="2" t="s">
        <v>119</v>
      </c>
      <c r="D358" s="2" t="str">
        <f t="shared" si="10"/>
        <v>kg_per_kWh_to_US_Ton_per_therm</v>
      </c>
      <c r="E358" s="3">
        <f>0.00110231/0.0341214</f>
        <v>3.2305532598310732E-2</v>
      </c>
    </row>
    <row r="359" spans="1:5" x14ac:dyDescent="0.2">
      <c r="A359" s="1" t="s">
        <v>3</v>
      </c>
      <c r="B359" s="2" t="s">
        <v>44</v>
      </c>
      <c r="C359" s="2" t="s">
        <v>126</v>
      </c>
      <c r="D359" s="2" t="str">
        <f t="shared" si="10"/>
        <v>kg_per_kWh_to_Metric_Tonne_per_Joules</v>
      </c>
      <c r="E359" s="3">
        <f>0.001/3600000</f>
        <v>2.7777777777777777E-10</v>
      </c>
    </row>
    <row r="360" spans="1:5" x14ac:dyDescent="0.2">
      <c r="A360" s="1" t="s">
        <v>3</v>
      </c>
      <c r="B360" s="2" t="s">
        <v>44</v>
      </c>
      <c r="C360" s="2" t="s">
        <v>122</v>
      </c>
      <c r="D360" s="2" t="str">
        <f t="shared" ref="D360:D390" si="11">B360 &amp; "_to_" &amp; C360</f>
        <v>kg_per_kWh_to_Metric_Tonne_per_kBtu</v>
      </c>
      <c r="E360" s="3">
        <f>0.001/3.41214</f>
        <v>2.9307121044271339E-4</v>
      </c>
    </row>
    <row r="361" spans="1:5" x14ac:dyDescent="0.2">
      <c r="A361" s="1" t="s">
        <v>3</v>
      </c>
      <c r="B361" s="2" t="s">
        <v>44</v>
      </c>
      <c r="C361" s="2" t="s">
        <v>123</v>
      </c>
      <c r="D361" s="2" t="str">
        <f t="shared" si="11"/>
        <v>kg_per_kWh_to_Metric_Tonne_per_MMBtu</v>
      </c>
      <c r="E361" s="3">
        <f>0.001/0.00341214</f>
        <v>0.29307121044271339</v>
      </c>
    </row>
    <row r="362" spans="1:5" x14ac:dyDescent="0.2">
      <c r="A362" s="1" t="s">
        <v>3</v>
      </c>
      <c r="B362" s="2" t="s">
        <v>44</v>
      </c>
      <c r="C362" s="2" t="s">
        <v>124</v>
      </c>
      <c r="D362" s="2" t="str">
        <f t="shared" si="11"/>
        <v>kg_per_kWh_to_Metric_Tonne_per_therm</v>
      </c>
      <c r="E362" s="3">
        <f>0.001/0.0341214</f>
        <v>2.9307121044271335E-2</v>
      </c>
    </row>
    <row r="363" spans="1:5" x14ac:dyDescent="0.2">
      <c r="A363" s="1" t="s">
        <v>3</v>
      </c>
      <c r="B363" s="2" t="s">
        <v>46</v>
      </c>
      <c r="C363" s="2" t="s">
        <v>45</v>
      </c>
      <c r="D363" s="2" t="str">
        <f t="shared" si="11"/>
        <v>kg_per_MWh_to_lb_per_Joules</v>
      </c>
      <c r="E363" s="3">
        <f>2.20462/3600000000</f>
        <v>6.1239444444444435E-10</v>
      </c>
    </row>
    <row r="364" spans="1:5" x14ac:dyDescent="0.2">
      <c r="A364" s="1" t="s">
        <v>3</v>
      </c>
      <c r="B364" s="2" t="s">
        <v>46</v>
      </c>
      <c r="C364" s="2" t="s">
        <v>39</v>
      </c>
      <c r="D364" s="2" t="str">
        <f t="shared" si="11"/>
        <v>kg_per_MWh_to_lb_per_kWh</v>
      </c>
      <c r="E364" s="3">
        <f>2.20462/1000</f>
        <v>2.20462E-3</v>
      </c>
    </row>
    <row r="365" spans="1:5" x14ac:dyDescent="0.2">
      <c r="A365" s="1" t="s">
        <v>3</v>
      </c>
      <c r="B365" s="2" t="s">
        <v>46</v>
      </c>
      <c r="C365" s="2" t="s">
        <v>41</v>
      </c>
      <c r="D365" s="2" t="str">
        <f t="shared" si="11"/>
        <v>kg_per_MWh_to_lb_per_kBtu</v>
      </c>
      <c r="E365" s="3">
        <f>2.20462/3412.14</f>
        <v>6.4611065196621472E-4</v>
      </c>
    </row>
    <row r="366" spans="1:5" x14ac:dyDescent="0.2">
      <c r="A366" s="1" t="s">
        <v>3</v>
      </c>
      <c r="B366" s="2" t="s">
        <v>46</v>
      </c>
      <c r="C366" s="2" t="s">
        <v>42</v>
      </c>
      <c r="D366" s="2" t="str">
        <f t="shared" si="11"/>
        <v>kg_per_MWh_to_lb_per_MMBtu</v>
      </c>
      <c r="E366" s="3">
        <f>2.20462/3.41214</f>
        <v>0.64611065196621476</v>
      </c>
    </row>
    <row r="367" spans="1:5" x14ac:dyDescent="0.2">
      <c r="A367" s="1" t="s">
        <v>3</v>
      </c>
      <c r="B367" s="2" t="s">
        <v>46</v>
      </c>
      <c r="C367" s="2" t="s">
        <v>43</v>
      </c>
      <c r="D367" s="2" t="str">
        <f t="shared" si="11"/>
        <v>kg_per_MWh_to_lb_per_therm</v>
      </c>
      <c r="E367" s="3">
        <f>2.20462/34.1214</f>
        <v>6.4611065196621464E-2</v>
      </c>
    </row>
    <row r="368" spans="1:5" x14ac:dyDescent="0.2">
      <c r="A368" s="1" t="s">
        <v>3</v>
      </c>
      <c r="B368" s="2" t="s">
        <v>46</v>
      </c>
      <c r="C368" s="2" t="s">
        <v>125</v>
      </c>
      <c r="D368" s="2" t="str">
        <f t="shared" si="11"/>
        <v>kg_per_MWh_to_US_Ton_per_Joules</v>
      </c>
      <c r="E368" s="3">
        <f>0.00110231/3600000000</f>
        <v>3.0619722222222225E-13</v>
      </c>
    </row>
    <row r="369" spans="1:5" x14ac:dyDescent="0.2">
      <c r="A369" s="1" t="s">
        <v>3</v>
      </c>
      <c r="B369" s="2" t="s">
        <v>46</v>
      </c>
      <c r="C369" s="2" t="s">
        <v>115</v>
      </c>
      <c r="D369" s="2" t="str">
        <f t="shared" si="11"/>
        <v>kg_per_MWh_to_US_Ton_per_kWh</v>
      </c>
      <c r="E369" s="3">
        <f>0.00110231/1000</f>
        <v>1.1023100000000001E-6</v>
      </c>
    </row>
    <row r="370" spans="1:5" x14ac:dyDescent="0.2">
      <c r="A370" s="1" t="s">
        <v>3</v>
      </c>
      <c r="B370" s="2" t="s">
        <v>46</v>
      </c>
      <c r="C370" s="2" t="s">
        <v>117</v>
      </c>
      <c r="D370" s="2" t="str">
        <f t="shared" si="11"/>
        <v>kg_per_MWh_to_US_Ton_per_kBtu</v>
      </c>
      <c r="E370" s="3">
        <f>0.00110231/3412.14</f>
        <v>3.2305532598310738E-7</v>
      </c>
    </row>
    <row r="371" spans="1:5" x14ac:dyDescent="0.2">
      <c r="A371" s="1" t="s">
        <v>3</v>
      </c>
      <c r="B371" s="2" t="s">
        <v>46</v>
      </c>
      <c r="C371" s="2" t="s">
        <v>118</v>
      </c>
      <c r="D371" s="2" t="str">
        <f t="shared" si="11"/>
        <v>kg_per_MWh_to_US_Ton_per_MMBtu</v>
      </c>
      <c r="E371" s="3">
        <f>0.00110231/3.41214</f>
        <v>3.2305532598310736E-4</v>
      </c>
    </row>
    <row r="372" spans="1:5" x14ac:dyDescent="0.2">
      <c r="A372" s="1" t="s">
        <v>3</v>
      </c>
      <c r="B372" s="2" t="s">
        <v>46</v>
      </c>
      <c r="C372" s="2" t="s">
        <v>119</v>
      </c>
      <c r="D372" s="2" t="str">
        <f t="shared" si="11"/>
        <v>kg_per_MWh_to_US_Ton_per_therm</v>
      </c>
      <c r="E372" s="3">
        <f>0.00110231/34.1214</f>
        <v>3.230553259831074E-5</v>
      </c>
    </row>
    <row r="373" spans="1:5" x14ac:dyDescent="0.2">
      <c r="A373" s="1" t="s">
        <v>3</v>
      </c>
      <c r="B373" s="2" t="s">
        <v>46</v>
      </c>
      <c r="C373" s="2" t="s">
        <v>126</v>
      </c>
      <c r="D373" s="2" t="str">
        <f t="shared" si="11"/>
        <v>kg_per_MWh_to_Metric_Tonne_per_Joules</v>
      </c>
      <c r="E373" s="3">
        <f>0.001/3600000000</f>
        <v>2.7777777777777779E-13</v>
      </c>
    </row>
    <row r="374" spans="1:5" x14ac:dyDescent="0.2">
      <c r="A374" s="1" t="s">
        <v>3</v>
      </c>
      <c r="B374" s="2" t="s">
        <v>46</v>
      </c>
      <c r="C374" s="2" t="s">
        <v>120</v>
      </c>
      <c r="D374" s="2" t="str">
        <f t="shared" si="11"/>
        <v>kg_per_MWh_to_Metric_Tonne_per_kWh</v>
      </c>
      <c r="E374" s="3">
        <f>0.001/1000</f>
        <v>9.9999999999999995E-7</v>
      </c>
    </row>
    <row r="375" spans="1:5" x14ac:dyDescent="0.2">
      <c r="A375" s="1" t="s">
        <v>3</v>
      </c>
      <c r="B375" s="2" t="s">
        <v>46</v>
      </c>
      <c r="C375" s="2" t="s">
        <v>122</v>
      </c>
      <c r="D375" s="2" t="str">
        <f t="shared" si="11"/>
        <v>kg_per_MWh_to_Metric_Tonne_per_kBtu</v>
      </c>
      <c r="E375" s="3">
        <f>0.001/3412.14</f>
        <v>2.9307121044271338E-7</v>
      </c>
    </row>
    <row r="376" spans="1:5" x14ac:dyDescent="0.2">
      <c r="A376" s="1" t="s">
        <v>3</v>
      </c>
      <c r="B376" s="2" t="s">
        <v>46</v>
      </c>
      <c r="C376" s="2" t="s">
        <v>123</v>
      </c>
      <c r="D376" s="2" t="str">
        <f t="shared" si="11"/>
        <v>kg_per_MWh_to_Metric_Tonne_per_MMBtu</v>
      </c>
      <c r="E376" s="3">
        <f>0.001/3.41214</f>
        <v>2.9307121044271339E-4</v>
      </c>
    </row>
    <row r="377" spans="1:5" x14ac:dyDescent="0.2">
      <c r="A377" s="1" t="s">
        <v>3</v>
      </c>
      <c r="B377" s="2" t="s">
        <v>46</v>
      </c>
      <c r="C377" s="2" t="s">
        <v>124</v>
      </c>
      <c r="D377" s="2" t="str">
        <f t="shared" si="11"/>
        <v>kg_per_MWh_to_Metric_Tonne_per_therm</v>
      </c>
      <c r="E377" s="3">
        <f>0.001/34.1214</f>
        <v>2.9307121044271336E-5</v>
      </c>
    </row>
    <row r="378" spans="1:5" x14ac:dyDescent="0.2">
      <c r="A378" s="1" t="s">
        <v>3</v>
      </c>
      <c r="B378" s="2" t="s">
        <v>47</v>
      </c>
      <c r="C378" s="2" t="s">
        <v>45</v>
      </c>
      <c r="D378" s="2" t="str">
        <f t="shared" si="11"/>
        <v>kg_per_kBtu_to_lb_per_Joules</v>
      </c>
      <c r="E378" s="3">
        <f>2.20462/1055.06</f>
        <v>2.0895683657801453E-3</v>
      </c>
    </row>
    <row r="379" spans="1:5" x14ac:dyDescent="0.2">
      <c r="A379" s="1" t="s">
        <v>3</v>
      </c>
      <c r="B379" s="2" t="s">
        <v>47</v>
      </c>
      <c r="C379" s="2" t="s">
        <v>39</v>
      </c>
      <c r="D379" s="2" t="str">
        <f t="shared" si="11"/>
        <v>kg_per_kBtu_to_lb_per_kWh</v>
      </c>
      <c r="E379" s="3">
        <f>2.20462/0.293071</f>
        <v>7.5224774883901837</v>
      </c>
    </row>
    <row r="380" spans="1:5" x14ac:dyDescent="0.2">
      <c r="A380" s="1" t="s">
        <v>3</v>
      </c>
      <c r="B380" s="2" t="s">
        <v>47</v>
      </c>
      <c r="C380" s="2" t="s">
        <v>40</v>
      </c>
      <c r="D380" s="2" t="str">
        <f t="shared" si="11"/>
        <v>kg_per_kBtu_to_lb_per_MWh</v>
      </c>
      <c r="E380" s="3">
        <f>2.20462/0.000293071</f>
        <v>7522.4774883901846</v>
      </c>
    </row>
    <row r="381" spans="1:5" x14ac:dyDescent="0.2">
      <c r="A381" s="1" t="s">
        <v>3</v>
      </c>
      <c r="B381" s="2" t="s">
        <v>47</v>
      </c>
      <c r="C381" s="2" t="s">
        <v>42</v>
      </c>
      <c r="D381" s="2" t="str">
        <f t="shared" si="11"/>
        <v>kg_per_kBtu_to_lb_per_MMBtu</v>
      </c>
      <c r="E381" s="3">
        <f>2.20462/0.001</f>
        <v>2204.62</v>
      </c>
    </row>
    <row r="382" spans="1:5" x14ac:dyDescent="0.2">
      <c r="A382" s="1" t="s">
        <v>3</v>
      </c>
      <c r="B382" s="2" t="s">
        <v>47</v>
      </c>
      <c r="C382" s="2" t="s">
        <v>43</v>
      </c>
      <c r="D382" s="2" t="str">
        <f t="shared" si="11"/>
        <v>kg_per_kBtu_to_lb_per_therm</v>
      </c>
      <c r="E382" s="3">
        <f>2.20462/0.01</f>
        <v>220.46199999999999</v>
      </c>
    </row>
    <row r="383" spans="1:5" x14ac:dyDescent="0.2">
      <c r="A383" s="1" t="s">
        <v>3</v>
      </c>
      <c r="B383" s="2" t="s">
        <v>47</v>
      </c>
      <c r="C383" s="2" t="s">
        <v>125</v>
      </c>
      <c r="D383" s="2" t="str">
        <f t="shared" si="11"/>
        <v>kg_per_kBtu_to_US_Ton_per_Joules</v>
      </c>
      <c r="E383" s="3">
        <f>0.00110231/1055.06</f>
        <v>1.0447841828900727E-6</v>
      </c>
    </row>
    <row r="384" spans="1:5" x14ac:dyDescent="0.2">
      <c r="A384" s="1" t="s">
        <v>3</v>
      </c>
      <c r="B384" s="2" t="s">
        <v>47</v>
      </c>
      <c r="C384" s="2" t="s">
        <v>115</v>
      </c>
      <c r="D384" s="2" t="str">
        <f t="shared" si="11"/>
        <v>kg_per_kBtu_to_US_Ton_per_kWh</v>
      </c>
      <c r="E384" s="3">
        <f>0.00110231/0.293071</f>
        <v>3.7612387441950924E-3</v>
      </c>
    </row>
    <row r="385" spans="1:5" x14ac:dyDescent="0.2">
      <c r="A385" s="1" t="s">
        <v>3</v>
      </c>
      <c r="B385" s="2" t="s">
        <v>47</v>
      </c>
      <c r="C385" s="2" t="s">
        <v>116</v>
      </c>
      <c r="D385" s="2" t="str">
        <f t="shared" si="11"/>
        <v>kg_per_kBtu_to_US_Ton_per_MWh</v>
      </c>
      <c r="E385" s="3">
        <f>0.00110231/0.000293071</f>
        <v>3.7612387441950927</v>
      </c>
    </row>
    <row r="386" spans="1:5" x14ac:dyDescent="0.2">
      <c r="A386" s="1" t="s">
        <v>3</v>
      </c>
      <c r="B386" s="2" t="s">
        <v>47</v>
      </c>
      <c r="C386" s="2" t="s">
        <v>118</v>
      </c>
      <c r="D386" s="2" t="str">
        <f t="shared" si="11"/>
        <v>kg_per_kBtu_to_US_Ton_per_MMBtu</v>
      </c>
      <c r="E386" s="3">
        <f>0.00110231/0.001</f>
        <v>1.1023099999999999</v>
      </c>
    </row>
    <row r="387" spans="1:5" x14ac:dyDescent="0.2">
      <c r="A387" s="1" t="s">
        <v>3</v>
      </c>
      <c r="B387" s="2" t="s">
        <v>47</v>
      </c>
      <c r="C387" s="2" t="s">
        <v>119</v>
      </c>
      <c r="D387" s="2" t="str">
        <f t="shared" si="11"/>
        <v>kg_per_kBtu_to_US_Ton_per_therm</v>
      </c>
      <c r="E387" s="3">
        <f>0.00110231/0.01</f>
        <v>0.110231</v>
      </c>
    </row>
    <row r="388" spans="1:5" x14ac:dyDescent="0.2">
      <c r="A388" s="1" t="s">
        <v>3</v>
      </c>
      <c r="B388" s="2" t="s">
        <v>47</v>
      </c>
      <c r="C388" s="2" t="s">
        <v>126</v>
      </c>
      <c r="D388" s="2" t="str">
        <f t="shared" si="11"/>
        <v>kg_per_kBtu_to_Metric_Tonne_per_Joules</v>
      </c>
      <c r="E388" s="3">
        <f>0.001/1055.06</f>
        <v>9.4781339449889112E-7</v>
      </c>
    </row>
    <row r="389" spans="1:5" x14ac:dyDescent="0.2">
      <c r="A389" s="1" t="s">
        <v>3</v>
      </c>
      <c r="B389" s="2" t="s">
        <v>47</v>
      </c>
      <c r="C389" s="2" t="s">
        <v>120</v>
      </c>
      <c r="D389" s="2" t="str">
        <f t="shared" si="11"/>
        <v>kg_per_kBtu_to_Metric_Tonne_per_kWh</v>
      </c>
      <c r="E389" s="3">
        <f>0.001/0.293071</f>
        <v>3.4121424501230074E-3</v>
      </c>
    </row>
    <row r="390" spans="1:5" x14ac:dyDescent="0.2">
      <c r="A390" s="1" t="s">
        <v>3</v>
      </c>
      <c r="B390" s="2" t="s">
        <v>47</v>
      </c>
      <c r="C390" s="2" t="s">
        <v>121</v>
      </c>
      <c r="D390" s="2" t="str">
        <f t="shared" si="11"/>
        <v>kg_per_kBtu_to_Metric_Tonne_per_MWh</v>
      </c>
      <c r="E390" s="3">
        <f>0.001/0.000293071</f>
        <v>3.412142450123008</v>
      </c>
    </row>
    <row r="391" spans="1:5" x14ac:dyDescent="0.2">
      <c r="A391" s="1" t="s">
        <v>3</v>
      </c>
      <c r="B391" s="2" t="s">
        <v>47</v>
      </c>
      <c r="C391" s="2" t="s">
        <v>124</v>
      </c>
      <c r="D391" s="2" t="str">
        <f t="shared" ref="D391:D397" si="12">B391 &amp; "_to_" &amp; C391</f>
        <v>kg_per_kBtu_to_Metric_Tonne_per_therm</v>
      </c>
      <c r="E391" s="3">
        <f>0.001/0.01</f>
        <v>0.1</v>
      </c>
    </row>
    <row r="392" spans="1:5" x14ac:dyDescent="0.2">
      <c r="A392" s="1" t="s">
        <v>3</v>
      </c>
      <c r="B392" s="2" t="s">
        <v>48</v>
      </c>
      <c r="C392" s="2" t="s">
        <v>45</v>
      </c>
      <c r="D392" s="2" t="str">
        <f t="shared" si="12"/>
        <v>kg_per_MMBtu_to_lb_per_Joules</v>
      </c>
      <c r="E392" s="3">
        <f>2.20462/1055060000</f>
        <v>2.089568365780145E-9</v>
      </c>
    </row>
    <row r="393" spans="1:5" x14ac:dyDescent="0.2">
      <c r="A393" s="1" t="s">
        <v>3</v>
      </c>
      <c r="B393" s="2" t="s">
        <v>48</v>
      </c>
      <c r="C393" s="2" t="s">
        <v>39</v>
      </c>
      <c r="D393" s="2" t="str">
        <f t="shared" si="12"/>
        <v>kg_per_MMBtu_to_lb_per_kWh</v>
      </c>
      <c r="E393" s="3">
        <f>2.20462/293.071</f>
        <v>7.5224774883901838E-3</v>
      </c>
    </row>
    <row r="394" spans="1:5" x14ac:dyDescent="0.2">
      <c r="A394" s="1" t="s">
        <v>3</v>
      </c>
      <c r="B394" s="2" t="s">
        <v>48</v>
      </c>
      <c r="C394" s="2" t="s">
        <v>40</v>
      </c>
      <c r="D394" s="2" t="str">
        <f t="shared" si="12"/>
        <v>kg_per_MMBtu_to_lb_per_MWh</v>
      </c>
      <c r="E394" s="3">
        <f>2.20462/0.293071</f>
        <v>7.5224774883901837</v>
      </c>
    </row>
    <row r="395" spans="1:5" x14ac:dyDescent="0.2">
      <c r="A395" s="1" t="s">
        <v>3</v>
      </c>
      <c r="B395" s="2" t="s">
        <v>48</v>
      </c>
      <c r="C395" s="2" t="s">
        <v>41</v>
      </c>
      <c r="D395" s="2" t="str">
        <f t="shared" si="12"/>
        <v>kg_per_MMBtu_to_lb_per_kBtu</v>
      </c>
      <c r="E395" s="3">
        <f>2.20462/1000</f>
        <v>2.20462E-3</v>
      </c>
    </row>
    <row r="396" spans="1:5" x14ac:dyDescent="0.2">
      <c r="A396" s="1" t="s">
        <v>3</v>
      </c>
      <c r="B396" s="2" t="s">
        <v>48</v>
      </c>
      <c r="C396" s="2" t="s">
        <v>43</v>
      </c>
      <c r="D396" s="2" t="str">
        <f t="shared" si="12"/>
        <v>kg_per_MMBtu_to_lb_per_therm</v>
      </c>
      <c r="E396" s="3">
        <f>2.20462/10</f>
        <v>0.22046199999999999</v>
      </c>
    </row>
    <row r="397" spans="1:5" x14ac:dyDescent="0.2">
      <c r="A397" s="1" t="s">
        <v>3</v>
      </c>
      <c r="B397" s="2" t="s">
        <v>48</v>
      </c>
      <c r="C397" s="2" t="s">
        <v>125</v>
      </c>
      <c r="D397" s="2" t="str">
        <f t="shared" si="12"/>
        <v>kg_per_MMBtu_to_US_Ton_per_Joules</v>
      </c>
      <c r="E397" s="3">
        <f>0.00110231/1055060000</f>
        <v>1.0447841828900727E-12</v>
      </c>
    </row>
    <row r="398" spans="1:5" x14ac:dyDescent="0.2">
      <c r="A398" s="1" t="s">
        <v>3</v>
      </c>
      <c r="B398" s="2" t="s">
        <v>48</v>
      </c>
      <c r="C398" s="2" t="s">
        <v>115</v>
      </c>
      <c r="D398" s="2" t="str">
        <f t="shared" ref="D398:D448" si="13">B398 &amp; "_to_" &amp; C398</f>
        <v>kg_per_MMBtu_to_US_Ton_per_kWh</v>
      </c>
      <c r="E398" s="3">
        <f>0.00110231/293.071</f>
        <v>3.7612387441950925E-6</v>
      </c>
    </row>
    <row r="399" spans="1:5" x14ac:dyDescent="0.2">
      <c r="A399" s="1" t="s">
        <v>3</v>
      </c>
      <c r="B399" s="2" t="s">
        <v>48</v>
      </c>
      <c r="C399" s="2" t="s">
        <v>116</v>
      </c>
      <c r="D399" s="2" t="str">
        <f t="shared" si="13"/>
        <v>kg_per_MMBtu_to_US_Ton_per_MWh</v>
      </c>
      <c r="E399" s="3">
        <f>0.00110231/0.293071</f>
        <v>3.7612387441950924E-3</v>
      </c>
    </row>
    <row r="400" spans="1:5" x14ac:dyDescent="0.2">
      <c r="A400" s="1" t="s">
        <v>3</v>
      </c>
      <c r="B400" s="2" t="s">
        <v>48</v>
      </c>
      <c r="C400" s="2" t="s">
        <v>117</v>
      </c>
      <c r="D400" s="2" t="str">
        <f>B400 &amp; "_to_" &amp; C400</f>
        <v>kg_per_MMBtu_to_US_Ton_per_kBtu</v>
      </c>
      <c r="E400" s="3">
        <f>0.00110231/1000</f>
        <v>1.1023100000000001E-6</v>
      </c>
    </row>
    <row r="401" spans="1:5" x14ac:dyDescent="0.2">
      <c r="A401" s="1" t="s">
        <v>3</v>
      </c>
      <c r="B401" s="2" t="s">
        <v>48</v>
      </c>
      <c r="C401" s="2" t="s">
        <v>119</v>
      </c>
      <c r="D401" s="2" t="str">
        <f>B401 &amp; "_to_" &amp; C401</f>
        <v>kg_per_MMBtu_to_US_Ton_per_therm</v>
      </c>
      <c r="E401" s="3">
        <f>0.00110231/10</f>
        <v>1.10231E-4</v>
      </c>
    </row>
    <row r="402" spans="1:5" x14ac:dyDescent="0.2">
      <c r="A402" s="1" t="s">
        <v>3</v>
      </c>
      <c r="B402" s="2" t="s">
        <v>48</v>
      </c>
      <c r="C402" s="2" t="s">
        <v>126</v>
      </c>
      <c r="D402" s="2" t="str">
        <f t="shared" si="13"/>
        <v>kg_per_MMBtu_to_Metric_Tonne_per_Joules</v>
      </c>
      <c r="E402" s="3">
        <f>0.001/1055060000</f>
        <v>9.4781339449889099E-13</v>
      </c>
    </row>
    <row r="403" spans="1:5" x14ac:dyDescent="0.2">
      <c r="A403" s="1" t="s">
        <v>3</v>
      </c>
      <c r="B403" s="2" t="s">
        <v>48</v>
      </c>
      <c r="C403" s="2" t="s">
        <v>120</v>
      </c>
      <c r="D403" s="2" t="str">
        <f t="shared" si="13"/>
        <v>kg_per_MMBtu_to_Metric_Tonne_per_kWh</v>
      </c>
      <c r="E403" s="3">
        <f>0.001/293.071</f>
        <v>3.4121424501230073E-6</v>
      </c>
    </row>
    <row r="404" spans="1:5" x14ac:dyDescent="0.2">
      <c r="A404" s="1" t="s">
        <v>3</v>
      </c>
      <c r="B404" s="2" t="s">
        <v>48</v>
      </c>
      <c r="C404" s="2" t="s">
        <v>121</v>
      </c>
      <c r="D404" s="2" t="str">
        <f t="shared" si="13"/>
        <v>kg_per_MMBtu_to_Metric_Tonne_per_MWh</v>
      </c>
      <c r="E404" s="3">
        <f>0.001/0.293071</f>
        <v>3.4121424501230074E-3</v>
      </c>
    </row>
    <row r="405" spans="1:5" x14ac:dyDescent="0.2">
      <c r="A405" s="1" t="s">
        <v>3</v>
      </c>
      <c r="B405" s="2" t="s">
        <v>48</v>
      </c>
      <c r="C405" s="2" t="s">
        <v>122</v>
      </c>
      <c r="D405" s="2" t="str">
        <f t="shared" si="13"/>
        <v>kg_per_MMBtu_to_Metric_Tonne_per_kBtu</v>
      </c>
      <c r="E405" s="3">
        <f>0.001/1000</f>
        <v>9.9999999999999995E-7</v>
      </c>
    </row>
    <row r="406" spans="1:5" x14ac:dyDescent="0.2">
      <c r="A406" s="1" t="s">
        <v>3</v>
      </c>
      <c r="B406" s="2" t="s">
        <v>48</v>
      </c>
      <c r="C406" s="2" t="s">
        <v>124</v>
      </c>
      <c r="D406" s="2" t="str">
        <f t="shared" si="13"/>
        <v>kg_per_MMBtu_to_Metric_Tonne_per_therm</v>
      </c>
      <c r="E406" s="3">
        <f>0.001/10</f>
        <v>1E-4</v>
      </c>
    </row>
    <row r="407" spans="1:5" x14ac:dyDescent="0.2">
      <c r="A407" s="1" t="s">
        <v>3</v>
      </c>
      <c r="B407" s="2" t="s">
        <v>49</v>
      </c>
      <c r="C407" s="2" t="s">
        <v>45</v>
      </c>
      <c r="D407" s="2" t="str">
        <f t="shared" si="13"/>
        <v>kg_per_therm_to_lb_per_Joules</v>
      </c>
      <c r="E407" s="3">
        <f>2.20462/105480</f>
        <v>2.0900834281380355E-5</v>
      </c>
    </row>
    <row r="408" spans="1:5" x14ac:dyDescent="0.2">
      <c r="A408" s="1" t="s">
        <v>3</v>
      </c>
      <c r="B408" s="2" t="s">
        <v>49</v>
      </c>
      <c r="C408" s="2" t="s">
        <v>39</v>
      </c>
      <c r="D408" s="2" t="str">
        <f t="shared" si="13"/>
        <v>kg_per_therm_to_lb_per_kWh</v>
      </c>
      <c r="E408" s="3">
        <f>2.20462/29.3071</f>
        <v>7.5224774883901849E-2</v>
      </c>
    </row>
    <row r="409" spans="1:5" x14ac:dyDescent="0.2">
      <c r="A409" s="1" t="s">
        <v>3</v>
      </c>
      <c r="B409" s="2" t="s">
        <v>49</v>
      </c>
      <c r="C409" s="2" t="s">
        <v>40</v>
      </c>
      <c r="D409" s="2" t="str">
        <f t="shared" si="13"/>
        <v>kg_per_therm_to_lb_per_MWh</v>
      </c>
      <c r="E409" s="3">
        <f>2.20462/0.0293071</f>
        <v>75.224774883901844</v>
      </c>
    </row>
    <row r="410" spans="1:5" x14ac:dyDescent="0.2">
      <c r="A410" s="1" t="s">
        <v>3</v>
      </c>
      <c r="B410" s="2" t="s">
        <v>49</v>
      </c>
      <c r="C410" s="2" t="s">
        <v>41</v>
      </c>
      <c r="D410" s="2" t="str">
        <f>B410 &amp; "_to_" &amp; C410</f>
        <v>kg_per_therm_to_lb_per_kBtu</v>
      </c>
      <c r="E410" s="3">
        <f>2.20462/100</f>
        <v>2.2046199999999998E-2</v>
      </c>
    </row>
    <row r="411" spans="1:5" x14ac:dyDescent="0.2">
      <c r="A411" s="1" t="s">
        <v>3</v>
      </c>
      <c r="B411" s="2" t="s">
        <v>49</v>
      </c>
      <c r="C411" s="2" t="s">
        <v>42</v>
      </c>
      <c r="D411" s="2" t="str">
        <f>B411 &amp; "_to_" &amp; C411</f>
        <v>kg_per_therm_to_lb_per_MMBtu</v>
      </c>
      <c r="E411" s="3">
        <f>2.20462/0.1</f>
        <v>22.046199999999995</v>
      </c>
    </row>
    <row r="412" spans="1:5" x14ac:dyDescent="0.2">
      <c r="A412" s="1" t="s">
        <v>3</v>
      </c>
      <c r="B412" s="2" t="s">
        <v>49</v>
      </c>
      <c r="C412" s="2" t="s">
        <v>125</v>
      </c>
      <c r="D412" s="2" t="str">
        <f t="shared" si="13"/>
        <v>kg_per_therm_to_US_Ton_per_Joules</v>
      </c>
      <c r="E412" s="3">
        <f>0.00110231/105480</f>
        <v>1.0450417140690179E-8</v>
      </c>
    </row>
    <row r="413" spans="1:5" x14ac:dyDescent="0.2">
      <c r="A413" s="1" t="s">
        <v>3</v>
      </c>
      <c r="B413" s="2" t="s">
        <v>49</v>
      </c>
      <c r="C413" s="2" t="s">
        <v>115</v>
      </c>
      <c r="D413" s="2" t="str">
        <f t="shared" si="13"/>
        <v>kg_per_therm_to_US_Ton_per_kWh</v>
      </c>
      <c r="E413" s="3">
        <f>0.00110231/29.3071</f>
        <v>3.761238744195093E-5</v>
      </c>
    </row>
    <row r="414" spans="1:5" x14ac:dyDescent="0.2">
      <c r="A414" s="1" t="s">
        <v>3</v>
      </c>
      <c r="B414" s="2" t="s">
        <v>49</v>
      </c>
      <c r="C414" s="2" t="s">
        <v>116</v>
      </c>
      <c r="D414" s="2" t="str">
        <f t="shared" si="13"/>
        <v>kg_per_therm_to_US_Ton_per_MWh</v>
      </c>
      <c r="E414" s="3">
        <f>0.00110231/0.0293071</f>
        <v>3.7612387441950931E-2</v>
      </c>
    </row>
    <row r="415" spans="1:5" x14ac:dyDescent="0.2">
      <c r="A415" s="1" t="s">
        <v>3</v>
      </c>
      <c r="B415" s="2" t="s">
        <v>49</v>
      </c>
      <c r="C415" s="2" t="s">
        <v>117</v>
      </c>
      <c r="D415" s="2" t="str">
        <f t="shared" si="13"/>
        <v>kg_per_therm_to_US_Ton_per_kBtu</v>
      </c>
      <c r="E415" s="3">
        <f>0.00110231/100</f>
        <v>1.10231E-5</v>
      </c>
    </row>
    <row r="416" spans="1:5" x14ac:dyDescent="0.2">
      <c r="A416" s="1" t="s">
        <v>3</v>
      </c>
      <c r="B416" s="2" t="s">
        <v>49</v>
      </c>
      <c r="C416" s="2" t="s">
        <v>118</v>
      </c>
      <c r="D416" s="2" t="str">
        <f t="shared" si="13"/>
        <v>kg_per_therm_to_US_Ton_per_MMBtu</v>
      </c>
      <c r="E416" s="3">
        <f>0.00110231/0.1</f>
        <v>1.1023099999999999E-2</v>
      </c>
    </row>
    <row r="417" spans="1:5" x14ac:dyDescent="0.2">
      <c r="A417" s="1" t="s">
        <v>3</v>
      </c>
      <c r="B417" s="2" t="s">
        <v>49</v>
      </c>
      <c r="C417" s="2" t="s">
        <v>126</v>
      </c>
      <c r="D417" s="2" t="str">
        <f t="shared" si="13"/>
        <v>kg_per_therm_to_Metric_Tonne_per_Joules</v>
      </c>
      <c r="E417" s="3">
        <f>0.001/105480</f>
        <v>9.4804702313234741E-9</v>
      </c>
    </row>
    <row r="418" spans="1:5" x14ac:dyDescent="0.2">
      <c r="A418" s="1" t="s">
        <v>3</v>
      </c>
      <c r="B418" s="2" t="s">
        <v>49</v>
      </c>
      <c r="C418" s="2" t="s">
        <v>120</v>
      </c>
      <c r="D418" s="2" t="str">
        <f t="shared" ref="D418:D437" si="14">B418 &amp; "_to_" &amp; C418</f>
        <v>kg_per_therm_to_Metric_Tonne_per_kWh</v>
      </c>
      <c r="E418" s="3">
        <f>0.001/29.3071</f>
        <v>3.412142450123008E-5</v>
      </c>
    </row>
    <row r="419" spans="1:5" x14ac:dyDescent="0.2">
      <c r="A419" s="1" t="s">
        <v>3</v>
      </c>
      <c r="B419" s="2" t="s">
        <v>49</v>
      </c>
      <c r="C419" s="2" t="s">
        <v>121</v>
      </c>
      <c r="D419" s="2" t="str">
        <f t="shared" si="14"/>
        <v>kg_per_therm_to_Metric_Tonne_per_MWh</v>
      </c>
      <c r="E419" s="3">
        <f>0.001/0.0293071</f>
        <v>3.4121424501230076E-2</v>
      </c>
    </row>
    <row r="420" spans="1:5" x14ac:dyDescent="0.2">
      <c r="A420" s="1" t="s">
        <v>3</v>
      </c>
      <c r="B420" s="2" t="s">
        <v>49</v>
      </c>
      <c r="C420" s="2" t="s">
        <v>122</v>
      </c>
      <c r="D420" s="2" t="str">
        <f t="shared" si="14"/>
        <v>kg_per_therm_to_Metric_Tonne_per_kBtu</v>
      </c>
      <c r="E420" s="3">
        <f>0.001/100</f>
        <v>1.0000000000000001E-5</v>
      </c>
    </row>
    <row r="421" spans="1:5" x14ac:dyDescent="0.2">
      <c r="A421" s="1" t="s">
        <v>3</v>
      </c>
      <c r="B421" s="2" t="s">
        <v>49</v>
      </c>
      <c r="C421" s="2" t="s">
        <v>123</v>
      </c>
      <c r="D421" s="2" t="str">
        <f t="shared" si="14"/>
        <v>kg_per_therm_to_Metric_Tonne_per_MMBtu</v>
      </c>
      <c r="E421" s="3">
        <f>0.001/0.1</f>
        <v>0.01</v>
      </c>
    </row>
    <row r="422" spans="1:5" x14ac:dyDescent="0.2">
      <c r="A422" s="1" t="s">
        <v>3</v>
      </c>
      <c r="B422" s="2" t="s">
        <v>45</v>
      </c>
      <c r="C422" s="2" t="s">
        <v>44</v>
      </c>
      <c r="D422" s="2" t="str">
        <f t="shared" si="14"/>
        <v>lb_per_Joules_to_kg_per_kWh</v>
      </c>
      <c r="E422" s="3">
        <f>0.453592/0.000000277778</f>
        <v>1632929.8936560852</v>
      </c>
    </row>
    <row r="423" spans="1:5" x14ac:dyDescent="0.2">
      <c r="A423" s="1" t="s">
        <v>3</v>
      </c>
      <c r="B423" s="2" t="s">
        <v>45</v>
      </c>
      <c r="C423" s="2" t="s">
        <v>46</v>
      </c>
      <c r="D423" s="2" t="str">
        <f t="shared" si="14"/>
        <v>lb_per_Joules_to_kg_per_MWh</v>
      </c>
      <c r="E423" s="3">
        <f>0.453592/0.000000000277778</f>
        <v>1632929893.6560853</v>
      </c>
    </row>
    <row r="424" spans="1:5" x14ac:dyDescent="0.2">
      <c r="A424" s="1" t="s">
        <v>3</v>
      </c>
      <c r="B424" s="2" t="s">
        <v>45</v>
      </c>
      <c r="C424" s="2" t="s">
        <v>47</v>
      </c>
      <c r="D424" s="2" t="str">
        <f t="shared" si="14"/>
        <v>lb_per_Joules_to_kg_per_kBtu</v>
      </c>
      <c r="E424" s="3">
        <f>0.453592/0.000947817</f>
        <v>478.56495504933969</v>
      </c>
    </row>
    <row r="425" spans="1:5" x14ac:dyDescent="0.2">
      <c r="A425" s="1" t="s">
        <v>3</v>
      </c>
      <c r="B425" s="2" t="s">
        <v>45</v>
      </c>
      <c r="C425" s="2" t="s">
        <v>48</v>
      </c>
      <c r="D425" s="2" t="str">
        <f t="shared" si="14"/>
        <v>lb_per_Joules_to_kg_per_MMBtu</v>
      </c>
      <c r="E425" s="3">
        <f>0.453592/0.000000947817</f>
        <v>478564.95504933968</v>
      </c>
    </row>
    <row r="426" spans="1:5" x14ac:dyDescent="0.2">
      <c r="A426" s="1" t="s">
        <v>3</v>
      </c>
      <c r="B426" s="2" t="s">
        <v>45</v>
      </c>
      <c r="C426" s="2" t="s">
        <v>49</v>
      </c>
      <c r="D426" s="2" t="str">
        <f t="shared" si="14"/>
        <v>lb_per_Joules_to_kg_per_therm</v>
      </c>
      <c r="E426" s="3">
        <f>0.453592/0.00000948043</f>
        <v>47845.087195412023</v>
      </c>
    </row>
    <row r="427" spans="1:5" x14ac:dyDescent="0.2">
      <c r="A427" s="1" t="s">
        <v>3</v>
      </c>
      <c r="B427" s="2" t="s">
        <v>45</v>
      </c>
      <c r="C427" s="2" t="s">
        <v>115</v>
      </c>
      <c r="D427" s="2" t="str">
        <f t="shared" si="14"/>
        <v>lb_per_Joules_to_US_Ton_per_kWh</v>
      </c>
      <c r="E427" s="3">
        <f>0.0005/0.000000277778</f>
        <v>1799.9985600011521</v>
      </c>
    </row>
    <row r="428" spans="1:5" x14ac:dyDescent="0.2">
      <c r="A428" s="1" t="s">
        <v>3</v>
      </c>
      <c r="B428" s="2" t="s">
        <v>45</v>
      </c>
      <c r="C428" s="2" t="s">
        <v>116</v>
      </c>
      <c r="D428" s="2" t="str">
        <f t="shared" si="14"/>
        <v>lb_per_Joules_to_US_Ton_per_MWh</v>
      </c>
      <c r="E428" s="3">
        <f>0.0005/0.000000000277778</f>
        <v>1799998.5600011521</v>
      </c>
    </row>
    <row r="429" spans="1:5" x14ac:dyDescent="0.2">
      <c r="A429" s="1" t="s">
        <v>3</v>
      </c>
      <c r="B429" s="2" t="s">
        <v>45</v>
      </c>
      <c r="C429" s="2" t="s">
        <v>117</v>
      </c>
      <c r="D429" s="2" t="str">
        <f t="shared" si="14"/>
        <v>lb_per_Joules_to_US_Ton_per_kBtu</v>
      </c>
      <c r="E429" s="3">
        <f>0.0005/0.000947817</f>
        <v>0.52752799327296307</v>
      </c>
    </row>
    <row r="430" spans="1:5" x14ac:dyDescent="0.2">
      <c r="A430" s="1" t="s">
        <v>3</v>
      </c>
      <c r="B430" s="2" t="s">
        <v>45</v>
      </c>
      <c r="C430" s="2" t="s">
        <v>118</v>
      </c>
      <c r="D430" s="2" t="str">
        <f t="shared" si="14"/>
        <v>lb_per_Joules_to_US_Ton_per_MMBtu</v>
      </c>
      <c r="E430" s="3">
        <f>0.0005/0.000000947817</f>
        <v>527.52799327296304</v>
      </c>
    </row>
    <row r="431" spans="1:5" x14ac:dyDescent="0.2">
      <c r="A431" s="1" t="s">
        <v>3</v>
      </c>
      <c r="B431" s="2" t="s">
        <v>45</v>
      </c>
      <c r="C431" s="2" t="s">
        <v>119</v>
      </c>
      <c r="D431" s="2" t="str">
        <f t="shared" si="14"/>
        <v>lb_per_Joules_to_US_Ton_per_therm</v>
      </c>
      <c r="E431" s="3">
        <f>0.0005/0.00000948043</f>
        <v>52.740223808413752</v>
      </c>
    </row>
    <row r="432" spans="1:5" x14ac:dyDescent="0.2">
      <c r="A432" s="1" t="s">
        <v>3</v>
      </c>
      <c r="B432" s="2" t="s">
        <v>45</v>
      </c>
      <c r="C432" s="2" t="s">
        <v>120</v>
      </c>
      <c r="D432" s="2" t="str">
        <f t="shared" si="14"/>
        <v>lb_per_Joules_to_Metric_Tonne_per_kWh</v>
      </c>
      <c r="E432" s="3">
        <f>0.000453592/0.000000277778</f>
        <v>1632.9298936560851</v>
      </c>
    </row>
    <row r="433" spans="1:5" x14ac:dyDescent="0.2">
      <c r="A433" s="1" t="s">
        <v>3</v>
      </c>
      <c r="B433" s="2" t="s">
        <v>45</v>
      </c>
      <c r="C433" s="2" t="s">
        <v>121</v>
      </c>
      <c r="D433" s="2" t="str">
        <f t="shared" si="14"/>
        <v>lb_per_Joules_to_Metric_Tonne_per_MWh</v>
      </c>
      <c r="E433" s="3">
        <f>0.000453592/0.000000000277778</f>
        <v>1632929.8936560852</v>
      </c>
    </row>
    <row r="434" spans="1:5" x14ac:dyDescent="0.2">
      <c r="A434" s="1" t="s">
        <v>3</v>
      </c>
      <c r="B434" s="2" t="s">
        <v>45</v>
      </c>
      <c r="C434" s="2" t="s">
        <v>122</v>
      </c>
      <c r="D434" s="2" t="str">
        <f t="shared" si="14"/>
        <v>lb_per_Joules_to_Metric_Tonne_per_kBtu</v>
      </c>
      <c r="E434" s="3">
        <f>0.000453592/0.000947817</f>
        <v>0.47856495504933971</v>
      </c>
    </row>
    <row r="435" spans="1:5" x14ac:dyDescent="0.2">
      <c r="A435" s="1" t="s">
        <v>3</v>
      </c>
      <c r="B435" s="2" t="s">
        <v>45</v>
      </c>
      <c r="C435" s="2" t="s">
        <v>123</v>
      </c>
      <c r="D435" s="2" t="str">
        <f t="shared" si="14"/>
        <v>lb_per_Joules_to_Metric_Tonne_per_MMBtu</v>
      </c>
      <c r="E435" s="3">
        <f>0.000453592/0.000000947817</f>
        <v>478.56495504933969</v>
      </c>
    </row>
    <row r="436" spans="1:5" x14ac:dyDescent="0.2">
      <c r="A436" s="1" t="s">
        <v>3</v>
      </c>
      <c r="B436" s="2" t="s">
        <v>45</v>
      </c>
      <c r="C436" s="2" t="s">
        <v>124</v>
      </c>
      <c r="D436" s="2" t="str">
        <f t="shared" si="14"/>
        <v>lb_per_Joules_to_Metric_Tonne_per_therm</v>
      </c>
      <c r="E436" s="3">
        <f>0.000453592/0.00000948043</f>
        <v>47.84508719541202</v>
      </c>
    </row>
    <row r="437" spans="1:5" x14ac:dyDescent="0.2">
      <c r="A437" s="1" t="s">
        <v>3</v>
      </c>
      <c r="B437" s="2" t="s">
        <v>39</v>
      </c>
      <c r="C437" s="2" t="s">
        <v>38</v>
      </c>
      <c r="D437" s="2" t="str">
        <f t="shared" si="14"/>
        <v>lb_per_kWh_to_kg_per_Joules</v>
      </c>
      <c r="E437" s="3">
        <f>0.453592/3600000</f>
        <v>1.2599777777777779E-7</v>
      </c>
    </row>
    <row r="438" spans="1:5" x14ac:dyDescent="0.2">
      <c r="A438" s="1" t="s">
        <v>3</v>
      </c>
      <c r="B438" s="2" t="s">
        <v>39</v>
      </c>
      <c r="C438" s="2" t="s">
        <v>46</v>
      </c>
      <c r="D438" s="2" t="str">
        <f t="shared" si="13"/>
        <v>lb_per_kWh_to_kg_per_MWh</v>
      </c>
      <c r="E438" s="3">
        <f>0.453592/0.001</f>
        <v>453.59199999999998</v>
      </c>
    </row>
    <row r="439" spans="1:5" x14ac:dyDescent="0.2">
      <c r="A439" s="1" t="s">
        <v>3</v>
      </c>
      <c r="B439" s="2" t="s">
        <v>39</v>
      </c>
      <c r="C439" s="2" t="s">
        <v>47</v>
      </c>
      <c r="D439" s="2" t="str">
        <f>B439 &amp; "_to_" &amp; C439</f>
        <v>lb_per_kWh_to_kg_per_kBtu</v>
      </c>
      <c r="E439" s="3">
        <f>0.453592/3.41214</f>
        <v>0.13293475648713124</v>
      </c>
    </row>
    <row r="440" spans="1:5" x14ac:dyDescent="0.2">
      <c r="A440" s="1" t="s">
        <v>3</v>
      </c>
      <c r="B440" s="2" t="s">
        <v>39</v>
      </c>
      <c r="C440" s="2" t="s">
        <v>48</v>
      </c>
      <c r="D440" s="2" t="str">
        <f>B440 &amp; "_to_" &amp; C440</f>
        <v>lb_per_kWh_to_kg_per_MMBtu</v>
      </c>
      <c r="E440" s="3">
        <f>0.453592/0.00341214</f>
        <v>132.93475648713124</v>
      </c>
    </row>
    <row r="441" spans="1:5" x14ac:dyDescent="0.2">
      <c r="A441" s="1" t="s">
        <v>3</v>
      </c>
      <c r="B441" s="2" t="s">
        <v>39</v>
      </c>
      <c r="C441" s="2" t="s">
        <v>49</v>
      </c>
      <c r="D441" s="2" t="str">
        <f>B441 &amp; "_to_" &amp; C441</f>
        <v>lb_per_kWh_to_kg_per_therm</v>
      </c>
      <c r="E441" s="3">
        <f>0.453592/0.0341214</f>
        <v>13.293475648713123</v>
      </c>
    </row>
    <row r="442" spans="1:5" x14ac:dyDescent="0.2">
      <c r="A442" s="1" t="s">
        <v>3</v>
      </c>
      <c r="B442" s="2" t="s">
        <v>39</v>
      </c>
      <c r="C442" s="2" t="s">
        <v>125</v>
      </c>
      <c r="D442" s="2" t="str">
        <f t="shared" si="13"/>
        <v>lb_per_kWh_to_US_Ton_per_Joules</v>
      </c>
      <c r="E442" s="3">
        <f>0.0005/3600000</f>
        <v>1.3888888888888888E-10</v>
      </c>
    </row>
    <row r="443" spans="1:5" x14ac:dyDescent="0.2">
      <c r="A443" s="1" t="s">
        <v>3</v>
      </c>
      <c r="B443" s="2" t="s">
        <v>39</v>
      </c>
      <c r="C443" s="2" t="s">
        <v>116</v>
      </c>
      <c r="D443" s="2" t="str">
        <f t="shared" si="13"/>
        <v>lb_per_kWh_to_US_Ton_per_MWh</v>
      </c>
      <c r="E443" s="3">
        <f>0.0005/0.001</f>
        <v>0.5</v>
      </c>
    </row>
    <row r="444" spans="1:5" x14ac:dyDescent="0.2">
      <c r="A444" s="1" t="s">
        <v>3</v>
      </c>
      <c r="B444" s="2" t="s">
        <v>39</v>
      </c>
      <c r="C444" s="2" t="s">
        <v>117</v>
      </c>
      <c r="D444" s="2" t="str">
        <f t="shared" si="13"/>
        <v>lb_per_kWh_to_US_Ton_per_kBtu</v>
      </c>
      <c r="E444" s="3">
        <f>0.0005/3.41214</f>
        <v>1.4653560522135669E-4</v>
      </c>
    </row>
    <row r="445" spans="1:5" x14ac:dyDescent="0.2">
      <c r="A445" s="1" t="s">
        <v>3</v>
      </c>
      <c r="B445" s="2" t="s">
        <v>39</v>
      </c>
      <c r="C445" s="2" t="s">
        <v>118</v>
      </c>
      <c r="D445" s="2" t="str">
        <f t="shared" si="13"/>
        <v>lb_per_kWh_to_US_Ton_per_MMBtu</v>
      </c>
      <c r="E445" s="3">
        <f>0.0005/0.00341214</f>
        <v>0.1465356052213567</v>
      </c>
    </row>
    <row r="446" spans="1:5" x14ac:dyDescent="0.2">
      <c r="A446" s="1" t="s">
        <v>3</v>
      </c>
      <c r="B446" s="2" t="s">
        <v>39</v>
      </c>
      <c r="C446" s="2" t="s">
        <v>119</v>
      </c>
      <c r="D446" s="2" t="str">
        <f t="shared" si="13"/>
        <v>lb_per_kWh_to_US_Ton_per_therm</v>
      </c>
      <c r="E446" s="3">
        <f>0.0005/0.0341214</f>
        <v>1.4653560522135668E-2</v>
      </c>
    </row>
    <row r="447" spans="1:5" x14ac:dyDescent="0.2">
      <c r="A447" s="1" t="s">
        <v>3</v>
      </c>
      <c r="B447" s="2" t="s">
        <v>39</v>
      </c>
      <c r="C447" s="2" t="s">
        <v>126</v>
      </c>
      <c r="D447" s="2" t="str">
        <f t="shared" si="13"/>
        <v>lb_per_kWh_to_Metric_Tonne_per_Joules</v>
      </c>
      <c r="E447" s="3">
        <f>0.000453592/3600000</f>
        <v>1.2599777777777777E-10</v>
      </c>
    </row>
    <row r="448" spans="1:5" x14ac:dyDescent="0.2">
      <c r="A448" s="1" t="s">
        <v>3</v>
      </c>
      <c r="B448" s="2" t="s">
        <v>39</v>
      </c>
      <c r="C448" s="2" t="s">
        <v>121</v>
      </c>
      <c r="D448" s="2" t="str">
        <f t="shared" si="13"/>
        <v>lb_per_kWh_to_Metric_Tonne_per_MWh</v>
      </c>
      <c r="E448" s="3">
        <f>0.000453592/0.001</f>
        <v>0.453592</v>
      </c>
    </row>
    <row r="449" spans="1:5" x14ac:dyDescent="0.2">
      <c r="A449" s="1" t="s">
        <v>3</v>
      </c>
      <c r="B449" s="2" t="s">
        <v>39</v>
      </c>
      <c r="C449" s="2" t="s">
        <v>122</v>
      </c>
      <c r="D449" s="2" t="str">
        <f t="shared" ref="D449:D512" si="15">B449 &amp; "_to_" &amp; C449</f>
        <v>lb_per_kWh_to_Metric_Tonne_per_kBtu</v>
      </c>
      <c r="E449" s="3">
        <f>0.000453592/3.41214</f>
        <v>1.3293475648713124E-4</v>
      </c>
    </row>
    <row r="450" spans="1:5" x14ac:dyDescent="0.2">
      <c r="A450" s="1" t="s">
        <v>3</v>
      </c>
      <c r="B450" s="2" t="s">
        <v>39</v>
      </c>
      <c r="C450" s="2" t="s">
        <v>123</v>
      </c>
      <c r="D450" s="2" t="str">
        <f>B450 &amp; "_to_" &amp; C450</f>
        <v>lb_per_kWh_to_Metric_Tonne_per_MMBtu</v>
      </c>
      <c r="E450" s="3">
        <f>0.000453592/0.00341214</f>
        <v>0.13293475648713124</v>
      </c>
    </row>
    <row r="451" spans="1:5" x14ac:dyDescent="0.2">
      <c r="A451" s="1" t="s">
        <v>3</v>
      </c>
      <c r="B451" s="2" t="s">
        <v>39</v>
      </c>
      <c r="C451" s="2" t="s">
        <v>124</v>
      </c>
      <c r="D451" s="2" t="str">
        <f>B451 &amp; "_to_" &amp; C451</f>
        <v>lb_per_kWh_to_Metric_Tonne_per_therm</v>
      </c>
      <c r="E451" s="3">
        <f>0.000453592/0.0341214</f>
        <v>1.3293475648713124E-2</v>
      </c>
    </row>
    <row r="452" spans="1:5" x14ac:dyDescent="0.2">
      <c r="A452" s="1" t="s">
        <v>3</v>
      </c>
      <c r="B452" s="2" t="s">
        <v>40</v>
      </c>
      <c r="C452" s="2" t="s">
        <v>38</v>
      </c>
      <c r="D452" s="2" t="str">
        <f t="shared" si="15"/>
        <v>lb_per_MWh_to_kg_per_Joules</v>
      </c>
      <c r="E452" s="3">
        <f>0.453592/3600000000</f>
        <v>1.2599777777777777E-10</v>
      </c>
    </row>
    <row r="453" spans="1:5" x14ac:dyDescent="0.2">
      <c r="A453" s="1" t="s">
        <v>3</v>
      </c>
      <c r="B453" s="2" t="s">
        <v>40</v>
      </c>
      <c r="C453" s="2" t="s">
        <v>44</v>
      </c>
      <c r="D453" s="2" t="str">
        <f t="shared" si="15"/>
        <v>lb_per_MWh_to_kg_per_kWh</v>
      </c>
      <c r="E453" s="3">
        <f>0.453592/1000</f>
        <v>4.53592E-4</v>
      </c>
    </row>
    <row r="454" spans="1:5" x14ac:dyDescent="0.2">
      <c r="A454" s="1" t="s">
        <v>3</v>
      </c>
      <c r="B454" s="2" t="s">
        <v>40</v>
      </c>
      <c r="C454" s="2" t="s">
        <v>47</v>
      </c>
      <c r="D454" s="2" t="str">
        <f t="shared" si="15"/>
        <v>lb_per_MWh_to_kg_per_kBtu</v>
      </c>
      <c r="E454" s="3">
        <f>0.453592/3412.14</f>
        <v>1.3293475648713124E-4</v>
      </c>
    </row>
    <row r="455" spans="1:5" x14ac:dyDescent="0.2">
      <c r="A455" s="1" t="s">
        <v>3</v>
      </c>
      <c r="B455" s="2" t="s">
        <v>40</v>
      </c>
      <c r="C455" s="2" t="s">
        <v>48</v>
      </c>
      <c r="D455" s="2" t="str">
        <f t="shared" si="15"/>
        <v>lb_per_MWh_to_kg_per_MMBtu</v>
      </c>
      <c r="E455" s="3">
        <f>0.453592/3.41214</f>
        <v>0.13293475648713124</v>
      </c>
    </row>
    <row r="456" spans="1:5" x14ac:dyDescent="0.2">
      <c r="A456" s="1" t="s">
        <v>3</v>
      </c>
      <c r="B456" s="2" t="s">
        <v>40</v>
      </c>
      <c r="C456" s="2" t="s">
        <v>49</v>
      </c>
      <c r="D456" s="2" t="str">
        <f t="shared" si="15"/>
        <v>lb_per_MWh_to_kg_per_therm</v>
      </c>
      <c r="E456" s="3">
        <f>0.453592/34.1214</f>
        <v>1.3293475648713124E-2</v>
      </c>
    </row>
    <row r="457" spans="1:5" x14ac:dyDescent="0.2">
      <c r="A457" s="1" t="s">
        <v>3</v>
      </c>
      <c r="B457" s="2" t="s">
        <v>40</v>
      </c>
      <c r="C457" s="2" t="s">
        <v>125</v>
      </c>
      <c r="D457" s="2" t="str">
        <f t="shared" si="15"/>
        <v>lb_per_MWh_to_US_Ton_per_Joules</v>
      </c>
      <c r="E457" s="3">
        <f>0.0005/3600000000</f>
        <v>1.388888888888889E-13</v>
      </c>
    </row>
    <row r="458" spans="1:5" x14ac:dyDescent="0.2">
      <c r="A458" s="1" t="s">
        <v>3</v>
      </c>
      <c r="B458" s="2" t="s">
        <v>40</v>
      </c>
      <c r="C458" s="2" t="s">
        <v>115</v>
      </c>
      <c r="D458" s="2" t="str">
        <f t="shared" si="15"/>
        <v>lb_per_MWh_to_US_Ton_per_kWh</v>
      </c>
      <c r="E458" s="3">
        <f>0.0005/1000</f>
        <v>4.9999999999999998E-7</v>
      </c>
    </row>
    <row r="459" spans="1:5" x14ac:dyDescent="0.2">
      <c r="A459" s="1" t="s">
        <v>3</v>
      </c>
      <c r="B459" s="2" t="s">
        <v>40</v>
      </c>
      <c r="C459" s="2" t="s">
        <v>117</v>
      </c>
      <c r="D459" s="2" t="str">
        <f t="shared" si="15"/>
        <v>lb_per_MWh_to_US_Ton_per_kBtu</v>
      </c>
      <c r="E459" s="3">
        <f>0.0005/3412.14</f>
        <v>1.4653560522135669E-7</v>
      </c>
    </row>
    <row r="460" spans="1:5" x14ac:dyDescent="0.2">
      <c r="A460" s="1" t="s">
        <v>3</v>
      </c>
      <c r="B460" s="2" t="s">
        <v>40</v>
      </c>
      <c r="C460" s="2" t="s">
        <v>118</v>
      </c>
      <c r="D460" s="2" t="str">
        <f>B460 &amp; "_to_" &amp; C460</f>
        <v>lb_per_MWh_to_US_Ton_per_MMBtu</v>
      </c>
      <c r="E460" s="3">
        <f>0.0005/3.41214</f>
        <v>1.4653560522135669E-4</v>
      </c>
    </row>
    <row r="461" spans="1:5" x14ac:dyDescent="0.2">
      <c r="A461" s="1" t="s">
        <v>3</v>
      </c>
      <c r="B461" s="2" t="s">
        <v>40</v>
      </c>
      <c r="C461" s="2" t="s">
        <v>119</v>
      </c>
      <c r="D461" s="2" t="str">
        <f>B461 &amp; "_to_" &amp; C461</f>
        <v>lb_per_MWh_to_US_Ton_per_therm</v>
      </c>
      <c r="E461" s="3">
        <f>0.0005/34.1214</f>
        <v>1.4653560522135668E-5</v>
      </c>
    </row>
    <row r="462" spans="1:5" x14ac:dyDescent="0.2">
      <c r="A462" s="1" t="s">
        <v>3</v>
      </c>
      <c r="B462" s="2" t="s">
        <v>40</v>
      </c>
      <c r="C462" s="2" t="s">
        <v>126</v>
      </c>
      <c r="D462" s="2" t="str">
        <f t="shared" si="15"/>
        <v>lb_per_MWh_to_Metric_Tonne_per_Joules</v>
      </c>
      <c r="E462" s="3">
        <f>0.000453592/3600000000</f>
        <v>1.2599777777777778E-13</v>
      </c>
    </row>
    <row r="463" spans="1:5" x14ac:dyDescent="0.2">
      <c r="A463" s="1" t="s">
        <v>3</v>
      </c>
      <c r="B463" s="2" t="s">
        <v>40</v>
      </c>
      <c r="C463" s="2" t="s">
        <v>120</v>
      </c>
      <c r="D463" s="2" t="str">
        <f t="shared" si="15"/>
        <v>lb_per_MWh_to_Metric_Tonne_per_kWh</v>
      </c>
      <c r="E463" s="3">
        <f>0.000453592/1000</f>
        <v>4.5359200000000003E-7</v>
      </c>
    </row>
    <row r="464" spans="1:5" x14ac:dyDescent="0.2">
      <c r="A464" s="1" t="s">
        <v>3</v>
      </c>
      <c r="B464" s="2" t="s">
        <v>40</v>
      </c>
      <c r="C464" s="2" t="s">
        <v>122</v>
      </c>
      <c r="D464" s="2" t="str">
        <f t="shared" si="15"/>
        <v>lb_per_MWh_to_Metric_Tonne_per_kBtu</v>
      </c>
      <c r="E464" s="3">
        <f>0.000453592/3412.14</f>
        <v>1.3293475648713125E-7</v>
      </c>
    </row>
    <row r="465" spans="1:5" x14ac:dyDescent="0.2">
      <c r="A465" s="1" t="s">
        <v>3</v>
      </c>
      <c r="B465" s="2" t="s">
        <v>40</v>
      </c>
      <c r="C465" s="2" t="s">
        <v>123</v>
      </c>
      <c r="D465" s="2" t="str">
        <f t="shared" si="15"/>
        <v>lb_per_MWh_to_Metric_Tonne_per_MMBtu</v>
      </c>
      <c r="E465" s="3">
        <f>0.000453592/3.41214</f>
        <v>1.3293475648713124E-4</v>
      </c>
    </row>
    <row r="466" spans="1:5" x14ac:dyDescent="0.2">
      <c r="A466" s="1" t="s">
        <v>3</v>
      </c>
      <c r="B466" s="2" t="s">
        <v>40</v>
      </c>
      <c r="C466" s="2" t="s">
        <v>124</v>
      </c>
      <c r="D466" s="2" t="str">
        <f t="shared" si="15"/>
        <v>lb_per_MWh_to_Metric_Tonne_per_therm</v>
      </c>
      <c r="E466" s="3">
        <f>0.000453592/34.1214</f>
        <v>1.3293475648713124E-5</v>
      </c>
    </row>
    <row r="467" spans="1:5" x14ac:dyDescent="0.2">
      <c r="A467" s="1" t="s">
        <v>3</v>
      </c>
      <c r="B467" s="2" t="s">
        <v>41</v>
      </c>
      <c r="C467" s="2" t="s">
        <v>38</v>
      </c>
      <c r="D467" s="2" t="str">
        <f t="shared" si="15"/>
        <v>lb_per_kBtu_to_kg_per_Joules</v>
      </c>
      <c r="E467" s="3">
        <f>0.453592/1055.06</f>
        <v>4.2992057323754102E-4</v>
      </c>
    </row>
    <row r="468" spans="1:5" x14ac:dyDescent="0.2">
      <c r="A468" s="1" t="s">
        <v>3</v>
      </c>
      <c r="B468" s="2" t="s">
        <v>41</v>
      </c>
      <c r="C468" s="2" t="s">
        <v>44</v>
      </c>
      <c r="D468" s="2" t="str">
        <f t="shared" si="15"/>
        <v>lb_per_kBtu_to_kg_per_kWh</v>
      </c>
      <c r="E468" s="3">
        <f>0.453592/0.293071</f>
        <v>1.5477205182361953</v>
      </c>
    </row>
    <row r="469" spans="1:5" x14ac:dyDescent="0.2">
      <c r="A469" s="1" t="s">
        <v>3</v>
      </c>
      <c r="B469" s="2" t="s">
        <v>41</v>
      </c>
      <c r="C469" s="2" t="s">
        <v>46</v>
      </c>
      <c r="D469" s="2" t="str">
        <f t="shared" si="15"/>
        <v>lb_per_kBtu_to_kg_per_MWh</v>
      </c>
      <c r="E469" s="3">
        <f>0.453592/0.000293071</f>
        <v>1547.7205182361954</v>
      </c>
    </row>
    <row r="470" spans="1:5" x14ac:dyDescent="0.2">
      <c r="A470" s="1" t="s">
        <v>3</v>
      </c>
      <c r="B470" s="2" t="s">
        <v>41</v>
      </c>
      <c r="C470" s="2" t="s">
        <v>48</v>
      </c>
      <c r="D470" s="2" t="str">
        <f>B470 &amp; "_to_" &amp; C470</f>
        <v>lb_per_kBtu_to_kg_per_MMBtu</v>
      </c>
      <c r="E470" s="3">
        <f>0.453592/0.001</f>
        <v>453.59199999999998</v>
      </c>
    </row>
    <row r="471" spans="1:5" x14ac:dyDescent="0.2">
      <c r="A471" s="1" t="s">
        <v>3</v>
      </c>
      <c r="B471" s="2" t="s">
        <v>41</v>
      </c>
      <c r="C471" s="2" t="s">
        <v>49</v>
      </c>
      <c r="D471" s="2" t="str">
        <f>B471 &amp; "_to_" &amp; C471</f>
        <v>lb_per_kBtu_to_kg_per_therm</v>
      </c>
      <c r="E471" s="3">
        <f>0.453592/0.01</f>
        <v>45.359200000000001</v>
      </c>
    </row>
    <row r="472" spans="1:5" x14ac:dyDescent="0.2">
      <c r="A472" s="1" t="s">
        <v>3</v>
      </c>
      <c r="B472" s="2" t="s">
        <v>41</v>
      </c>
      <c r="C472" s="2" t="s">
        <v>125</v>
      </c>
      <c r="D472" s="2" t="str">
        <f t="shared" si="15"/>
        <v>lb_per_kBtu_to_US_Ton_per_Joules</v>
      </c>
      <c r="E472" s="3">
        <f>0.0005/1055.06</f>
        <v>4.7390669724944556E-7</v>
      </c>
    </row>
    <row r="473" spans="1:5" x14ac:dyDescent="0.2">
      <c r="A473" s="1" t="s">
        <v>3</v>
      </c>
      <c r="B473" s="2" t="s">
        <v>41</v>
      </c>
      <c r="C473" s="2" t="s">
        <v>115</v>
      </c>
      <c r="D473" s="2" t="str">
        <f t="shared" si="15"/>
        <v>lb_per_kBtu_to_US_Ton_per_kWh</v>
      </c>
      <c r="E473" s="3">
        <f>0.0005/0.293071</f>
        <v>1.7060712250615037E-3</v>
      </c>
    </row>
    <row r="474" spans="1:5" x14ac:dyDescent="0.2">
      <c r="A474" s="1" t="s">
        <v>3</v>
      </c>
      <c r="B474" s="2" t="s">
        <v>41</v>
      </c>
      <c r="C474" s="2" t="s">
        <v>116</v>
      </c>
      <c r="D474" s="2" t="str">
        <f t="shared" si="15"/>
        <v>lb_per_kBtu_to_US_Ton_per_MWh</v>
      </c>
      <c r="E474" s="3">
        <f>0.0005/0.000293071</f>
        <v>1.706071225061504</v>
      </c>
    </row>
    <row r="475" spans="1:5" x14ac:dyDescent="0.2">
      <c r="A475" s="1" t="s">
        <v>3</v>
      </c>
      <c r="B475" s="2" t="s">
        <v>41</v>
      </c>
      <c r="C475" s="2" t="s">
        <v>118</v>
      </c>
      <c r="D475" s="2" t="str">
        <f t="shared" si="15"/>
        <v>lb_per_kBtu_to_US_Ton_per_MMBtu</v>
      </c>
      <c r="E475" s="3">
        <f>0.0005/0.001</f>
        <v>0.5</v>
      </c>
    </row>
    <row r="476" spans="1:5" x14ac:dyDescent="0.2">
      <c r="A476" s="1" t="s">
        <v>3</v>
      </c>
      <c r="B476" s="2" t="s">
        <v>41</v>
      </c>
      <c r="C476" s="2" t="s">
        <v>119</v>
      </c>
      <c r="D476" s="2" t="str">
        <f t="shared" si="15"/>
        <v>lb_per_kBtu_to_US_Ton_per_therm</v>
      </c>
      <c r="E476" s="3">
        <f>0.0005/0.01</f>
        <v>0.05</v>
      </c>
    </row>
    <row r="477" spans="1:5" x14ac:dyDescent="0.2">
      <c r="A477" s="1" t="s">
        <v>3</v>
      </c>
      <c r="B477" s="2" t="s">
        <v>41</v>
      </c>
      <c r="C477" s="2" t="s">
        <v>126</v>
      </c>
      <c r="D477" s="2" t="str">
        <f t="shared" si="15"/>
        <v>lb_per_kBtu_to_Metric_Tonne_per_Joules</v>
      </c>
      <c r="E477" s="3">
        <f>0.000453592/1055.06</f>
        <v>4.2992057323754101E-7</v>
      </c>
    </row>
    <row r="478" spans="1:5" x14ac:dyDescent="0.2">
      <c r="A478" s="1" t="s">
        <v>3</v>
      </c>
      <c r="B478" s="2" t="s">
        <v>41</v>
      </c>
      <c r="C478" s="2" t="s">
        <v>120</v>
      </c>
      <c r="D478" s="2" t="str">
        <f t="shared" si="15"/>
        <v>lb_per_kBtu_to_Metric_Tonne_per_kWh</v>
      </c>
      <c r="E478" s="3">
        <f>0.000453592/0.293071</f>
        <v>1.5477205182361951E-3</v>
      </c>
    </row>
    <row r="479" spans="1:5" x14ac:dyDescent="0.2">
      <c r="A479" s="1" t="s">
        <v>3</v>
      </c>
      <c r="B479" s="2" t="s">
        <v>41</v>
      </c>
      <c r="C479" s="2" t="s">
        <v>121</v>
      </c>
      <c r="D479" s="2" t="str">
        <f t="shared" si="15"/>
        <v>lb_per_kBtu_to_Metric_Tonne_per_MWh</v>
      </c>
      <c r="E479" s="3">
        <f>0.000453592/0.000293071</f>
        <v>1.5477205182361953</v>
      </c>
    </row>
    <row r="480" spans="1:5" x14ac:dyDescent="0.2">
      <c r="A480" s="1" t="s">
        <v>3</v>
      </c>
      <c r="B480" s="2" t="s">
        <v>41</v>
      </c>
      <c r="C480" s="2" t="s">
        <v>123</v>
      </c>
      <c r="D480" s="2" t="str">
        <f>B480 &amp; "_to_" &amp; C480</f>
        <v>lb_per_kBtu_to_Metric_Tonne_per_MMBtu</v>
      </c>
      <c r="E480" s="3">
        <f>0.000453592/0.001</f>
        <v>0.453592</v>
      </c>
    </row>
    <row r="481" spans="1:5" x14ac:dyDescent="0.2">
      <c r="A481" s="1" t="s">
        <v>3</v>
      </c>
      <c r="B481" s="2" t="s">
        <v>41</v>
      </c>
      <c r="C481" s="2" t="s">
        <v>124</v>
      </c>
      <c r="D481" s="2" t="str">
        <f>B481 &amp; "_to_" &amp; C481</f>
        <v>lb_per_kBtu_to_Metric_Tonne_per_therm</v>
      </c>
      <c r="E481" s="3">
        <f>0.000453592/0.01</f>
        <v>4.5359200000000002E-2</v>
      </c>
    </row>
    <row r="482" spans="1:5" x14ac:dyDescent="0.2">
      <c r="A482" s="1" t="s">
        <v>3</v>
      </c>
      <c r="B482" s="2" t="s">
        <v>42</v>
      </c>
      <c r="C482" s="2" t="s">
        <v>38</v>
      </c>
      <c r="D482" s="2" t="str">
        <f t="shared" si="15"/>
        <v>lb_per_MMBtu_to_kg_per_Joules</v>
      </c>
      <c r="E482" s="3">
        <f>0.453592/1055060000</f>
        <v>4.2992057323754098E-10</v>
      </c>
    </row>
    <row r="483" spans="1:5" x14ac:dyDescent="0.2">
      <c r="A483" s="1" t="s">
        <v>3</v>
      </c>
      <c r="B483" s="2" t="s">
        <v>42</v>
      </c>
      <c r="C483" s="2" t="s">
        <v>44</v>
      </c>
      <c r="D483" s="2" t="str">
        <f t="shared" si="15"/>
        <v>lb_per_MMBtu_to_kg_per_kWh</v>
      </c>
      <c r="E483" s="3">
        <f>0.453592/293.071</f>
        <v>1.5477205182361951E-3</v>
      </c>
    </row>
    <row r="484" spans="1:5" x14ac:dyDescent="0.2">
      <c r="A484" s="1" t="s">
        <v>3</v>
      </c>
      <c r="B484" s="2" t="s">
        <v>42</v>
      </c>
      <c r="C484" s="2" t="s">
        <v>46</v>
      </c>
      <c r="D484" s="2" t="str">
        <f t="shared" si="15"/>
        <v>lb_per_MMBtu_to_kg_per_MWh</v>
      </c>
      <c r="E484" s="3">
        <f>0.453592/0.293071</f>
        <v>1.5477205182361953</v>
      </c>
    </row>
    <row r="485" spans="1:5" x14ac:dyDescent="0.2">
      <c r="A485" s="1" t="s">
        <v>3</v>
      </c>
      <c r="B485" s="2" t="s">
        <v>42</v>
      </c>
      <c r="C485" s="2" t="s">
        <v>47</v>
      </c>
      <c r="D485" s="2" t="str">
        <f t="shared" si="15"/>
        <v>lb_per_MMBtu_to_kg_per_kBtu</v>
      </c>
      <c r="E485" s="3">
        <f>0.453592/1000</f>
        <v>4.53592E-4</v>
      </c>
    </row>
    <row r="486" spans="1:5" x14ac:dyDescent="0.2">
      <c r="A486" s="1" t="s">
        <v>3</v>
      </c>
      <c r="B486" s="2" t="s">
        <v>42</v>
      </c>
      <c r="C486" s="2" t="s">
        <v>49</v>
      </c>
      <c r="D486" s="2" t="str">
        <f t="shared" si="15"/>
        <v>lb_per_MMBtu_to_kg_per_therm</v>
      </c>
      <c r="E486" s="3">
        <f>0.453592/10</f>
        <v>4.5359200000000002E-2</v>
      </c>
    </row>
    <row r="487" spans="1:5" x14ac:dyDescent="0.2">
      <c r="A487" s="1" t="s">
        <v>3</v>
      </c>
      <c r="B487" s="2" t="s">
        <v>42</v>
      </c>
      <c r="C487" s="2" t="s">
        <v>125</v>
      </c>
      <c r="D487" s="2" t="str">
        <f t="shared" si="15"/>
        <v>lb_per_MMBtu_to_US_Ton_per_Joules</v>
      </c>
      <c r="E487" s="3">
        <f>0.0005/1055060000</f>
        <v>4.739066972494455E-13</v>
      </c>
    </row>
    <row r="488" spans="1:5" x14ac:dyDescent="0.2">
      <c r="A488" s="1" t="s">
        <v>3</v>
      </c>
      <c r="B488" s="2" t="s">
        <v>42</v>
      </c>
      <c r="C488" s="2" t="s">
        <v>115</v>
      </c>
      <c r="D488" s="2" t="str">
        <f t="shared" si="15"/>
        <v>lb_per_MMBtu_to_US_Ton_per_kWh</v>
      </c>
      <c r="E488" s="3">
        <f>0.0005/293.071</f>
        <v>1.7060712250615037E-6</v>
      </c>
    </row>
    <row r="489" spans="1:5" x14ac:dyDescent="0.2">
      <c r="A489" s="1" t="s">
        <v>3</v>
      </c>
      <c r="B489" s="2" t="s">
        <v>42</v>
      </c>
      <c r="C489" s="2" t="s">
        <v>116</v>
      </c>
      <c r="D489" s="2" t="str">
        <f t="shared" si="15"/>
        <v>lb_per_MMBtu_to_US_Ton_per_MWh</v>
      </c>
      <c r="E489" s="3">
        <f>0.0005/0.293071</f>
        <v>1.7060712250615037E-3</v>
      </c>
    </row>
    <row r="490" spans="1:5" x14ac:dyDescent="0.2">
      <c r="A490" s="1" t="s">
        <v>3</v>
      </c>
      <c r="B490" s="2" t="s">
        <v>42</v>
      </c>
      <c r="C490" s="2" t="s">
        <v>117</v>
      </c>
      <c r="D490" s="2" t="str">
        <f>B490 &amp; "_to_" &amp; C490</f>
        <v>lb_per_MMBtu_to_US_Ton_per_kBtu</v>
      </c>
      <c r="E490" s="3">
        <f>0.0005/1000</f>
        <v>4.9999999999999998E-7</v>
      </c>
    </row>
    <row r="491" spans="1:5" x14ac:dyDescent="0.2">
      <c r="A491" s="1" t="s">
        <v>3</v>
      </c>
      <c r="B491" s="2" t="s">
        <v>42</v>
      </c>
      <c r="C491" s="2" t="s">
        <v>119</v>
      </c>
      <c r="D491" s="2" t="str">
        <f>B491 &amp; "_to_" &amp; C491</f>
        <v>lb_per_MMBtu_to_US_Ton_per_therm</v>
      </c>
      <c r="E491" s="3">
        <f>0.0005/10</f>
        <v>5.0000000000000002E-5</v>
      </c>
    </row>
    <row r="492" spans="1:5" x14ac:dyDescent="0.2">
      <c r="A492" s="1" t="s">
        <v>3</v>
      </c>
      <c r="B492" s="2" t="s">
        <v>42</v>
      </c>
      <c r="C492" s="2" t="s">
        <v>126</v>
      </c>
      <c r="D492" s="2" t="str">
        <f t="shared" si="15"/>
        <v>lb_per_MMBtu_to_Metric_Tonne_per_Joules</v>
      </c>
      <c r="E492" s="3">
        <f>0.000453592/1055060000</f>
        <v>4.2992057323754098E-13</v>
      </c>
    </row>
    <row r="493" spans="1:5" x14ac:dyDescent="0.2">
      <c r="A493" s="1" t="s">
        <v>3</v>
      </c>
      <c r="B493" s="2" t="s">
        <v>42</v>
      </c>
      <c r="C493" s="2" t="s">
        <v>120</v>
      </c>
      <c r="D493" s="2" t="str">
        <f t="shared" si="15"/>
        <v>lb_per_MMBtu_to_Metric_Tonne_per_kWh</v>
      </c>
      <c r="E493" s="3">
        <f>0.000453592/293.071</f>
        <v>1.5477205182361953E-6</v>
      </c>
    </row>
    <row r="494" spans="1:5" x14ac:dyDescent="0.2">
      <c r="A494" s="1" t="s">
        <v>3</v>
      </c>
      <c r="B494" s="2" t="s">
        <v>42</v>
      </c>
      <c r="C494" s="2" t="s">
        <v>121</v>
      </c>
      <c r="D494" s="2" t="str">
        <f t="shared" si="15"/>
        <v>lb_per_MMBtu_to_Metric_Tonne_per_MWh</v>
      </c>
      <c r="E494" s="3">
        <f>0.000453592/0.293071</f>
        <v>1.5477205182361951E-3</v>
      </c>
    </row>
    <row r="495" spans="1:5" x14ac:dyDescent="0.2">
      <c r="A495" s="1" t="s">
        <v>3</v>
      </c>
      <c r="B495" s="2" t="s">
        <v>42</v>
      </c>
      <c r="C495" s="2" t="s">
        <v>122</v>
      </c>
      <c r="D495" s="2" t="str">
        <f t="shared" si="15"/>
        <v>lb_per_MMBtu_to_Metric_Tonne_per_kBtu</v>
      </c>
      <c r="E495" s="3">
        <f>0.000453592/1000</f>
        <v>4.5359200000000003E-7</v>
      </c>
    </row>
    <row r="496" spans="1:5" x14ac:dyDescent="0.2">
      <c r="A496" s="1" t="s">
        <v>3</v>
      </c>
      <c r="B496" s="2" t="s">
        <v>42</v>
      </c>
      <c r="C496" s="2" t="s">
        <v>124</v>
      </c>
      <c r="D496" s="2" t="str">
        <f t="shared" si="15"/>
        <v>lb_per_MMBtu_to_Metric_Tonne_per_therm</v>
      </c>
      <c r="E496" s="3">
        <f>0.000453592/10</f>
        <v>4.5359199999999998E-5</v>
      </c>
    </row>
    <row r="497" spans="1:5" x14ac:dyDescent="0.2">
      <c r="A497" s="1" t="s">
        <v>3</v>
      </c>
      <c r="B497" s="2" t="s">
        <v>43</v>
      </c>
      <c r="C497" s="2" t="s">
        <v>38</v>
      </c>
      <c r="D497" s="2" t="str">
        <f t="shared" si="15"/>
        <v>lb_per_therm_to_kg_per_Joules</v>
      </c>
      <c r="E497" s="3">
        <f>0.453592/105480</f>
        <v>4.3002654531664768E-6</v>
      </c>
    </row>
    <row r="498" spans="1:5" x14ac:dyDescent="0.2">
      <c r="A498" s="1" t="s">
        <v>3</v>
      </c>
      <c r="B498" s="2" t="s">
        <v>43</v>
      </c>
      <c r="C498" s="2" t="s">
        <v>44</v>
      </c>
      <c r="D498" s="2" t="str">
        <f t="shared" si="15"/>
        <v>lb_per_therm_to_kg_per_kWh</v>
      </c>
      <c r="E498" s="3">
        <f>0.453592/29.3071</f>
        <v>1.5477205182361954E-2</v>
      </c>
    </row>
    <row r="499" spans="1:5" x14ac:dyDescent="0.2">
      <c r="A499" s="1" t="s">
        <v>3</v>
      </c>
      <c r="B499" s="2" t="s">
        <v>43</v>
      </c>
      <c r="C499" s="2" t="s">
        <v>46</v>
      </c>
      <c r="D499" s="2" t="str">
        <f t="shared" si="15"/>
        <v>lb_per_therm_to_kg_per_MWh</v>
      </c>
      <c r="E499" s="3">
        <f>0.453592/0.0293071</f>
        <v>15.477205182361953</v>
      </c>
    </row>
    <row r="500" spans="1:5" x14ac:dyDescent="0.2">
      <c r="A500" s="1" t="s">
        <v>3</v>
      </c>
      <c r="B500" s="2" t="s">
        <v>43</v>
      </c>
      <c r="C500" s="2" t="s">
        <v>47</v>
      </c>
      <c r="D500" s="2" t="str">
        <f>B500 &amp; "_to_" &amp; C500</f>
        <v>lb_per_therm_to_kg_per_kBtu</v>
      </c>
      <c r="E500" s="3">
        <f>0.453592/100</f>
        <v>4.5359199999999997E-3</v>
      </c>
    </row>
    <row r="501" spans="1:5" x14ac:dyDescent="0.2">
      <c r="A501" s="1" t="s">
        <v>3</v>
      </c>
      <c r="B501" s="2" t="s">
        <v>43</v>
      </c>
      <c r="C501" s="2" t="s">
        <v>48</v>
      </c>
      <c r="D501" s="2" t="str">
        <f>B501 &amp; "_to_" &amp; C501</f>
        <v>lb_per_therm_to_kg_per_MMBtu</v>
      </c>
      <c r="E501" s="3">
        <f>0.453592/0.1</f>
        <v>4.53592</v>
      </c>
    </row>
    <row r="502" spans="1:5" x14ac:dyDescent="0.2">
      <c r="A502" s="1" t="s">
        <v>3</v>
      </c>
      <c r="B502" s="2" t="s">
        <v>43</v>
      </c>
      <c r="C502" s="2" t="s">
        <v>125</v>
      </c>
      <c r="D502" s="2" t="str">
        <f t="shared" si="15"/>
        <v>lb_per_therm_to_US_Ton_per_Joules</v>
      </c>
      <c r="E502" s="3">
        <f>0.0005/105480</f>
        <v>4.7402351156617371E-9</v>
      </c>
    </row>
    <row r="503" spans="1:5" x14ac:dyDescent="0.2">
      <c r="A503" s="1" t="s">
        <v>3</v>
      </c>
      <c r="B503" s="2" t="s">
        <v>43</v>
      </c>
      <c r="C503" s="2" t="s">
        <v>115</v>
      </c>
      <c r="D503" s="2" t="str">
        <f t="shared" si="15"/>
        <v>lb_per_therm_to_US_Ton_per_kWh</v>
      </c>
      <c r="E503" s="3">
        <f>0.0005/29.3071</f>
        <v>1.706071225061504E-5</v>
      </c>
    </row>
    <row r="504" spans="1:5" x14ac:dyDescent="0.2">
      <c r="A504" s="1" t="s">
        <v>3</v>
      </c>
      <c r="B504" s="2" t="s">
        <v>43</v>
      </c>
      <c r="C504" s="2" t="s">
        <v>116</v>
      </c>
      <c r="D504" s="2" t="str">
        <f t="shared" si="15"/>
        <v>lb_per_therm_to_US_Ton_per_MWh</v>
      </c>
      <c r="E504" s="3">
        <f>0.0005/0.0293071</f>
        <v>1.7060712250615038E-2</v>
      </c>
    </row>
    <row r="505" spans="1:5" x14ac:dyDescent="0.2">
      <c r="A505" s="1" t="s">
        <v>3</v>
      </c>
      <c r="B505" s="2" t="s">
        <v>43</v>
      </c>
      <c r="C505" s="2" t="s">
        <v>117</v>
      </c>
      <c r="D505" s="2" t="str">
        <f t="shared" si="15"/>
        <v>lb_per_therm_to_US_Ton_per_kBtu</v>
      </c>
      <c r="E505" s="3">
        <f>0.0005/100</f>
        <v>5.0000000000000004E-6</v>
      </c>
    </row>
    <row r="506" spans="1:5" x14ac:dyDescent="0.2">
      <c r="A506" s="1" t="s">
        <v>3</v>
      </c>
      <c r="B506" s="2" t="s">
        <v>43</v>
      </c>
      <c r="C506" s="2" t="s">
        <v>118</v>
      </c>
      <c r="D506" s="2" t="str">
        <f t="shared" si="15"/>
        <v>lb_per_therm_to_US_Ton_per_MMBtu</v>
      </c>
      <c r="E506" s="3">
        <f>0.0005/0.1</f>
        <v>5.0000000000000001E-3</v>
      </c>
    </row>
    <row r="507" spans="1:5" x14ac:dyDescent="0.2">
      <c r="A507" s="1" t="s">
        <v>3</v>
      </c>
      <c r="B507" s="2" t="s">
        <v>43</v>
      </c>
      <c r="C507" s="2" t="s">
        <v>126</v>
      </c>
      <c r="D507" s="2" t="str">
        <f t="shared" si="15"/>
        <v>lb_per_therm_to_Metric_Tonne_per_Joules</v>
      </c>
      <c r="E507" s="3">
        <f>0.000453592/105480</f>
        <v>4.300265453166477E-9</v>
      </c>
    </row>
    <row r="508" spans="1:5" x14ac:dyDescent="0.2">
      <c r="A508" s="1" t="s">
        <v>3</v>
      </c>
      <c r="B508" s="2" t="s">
        <v>43</v>
      </c>
      <c r="C508" s="2" t="s">
        <v>120</v>
      </c>
      <c r="D508" s="2" t="str">
        <f t="shared" si="15"/>
        <v>lb_per_therm_to_Metric_Tonne_per_kWh</v>
      </c>
      <c r="E508" s="3">
        <f>0.000453592/29.3071</f>
        <v>1.5477205182361953E-5</v>
      </c>
    </row>
    <row r="509" spans="1:5" x14ac:dyDescent="0.2">
      <c r="A509" s="1" t="s">
        <v>3</v>
      </c>
      <c r="B509" s="2" t="s">
        <v>43</v>
      </c>
      <c r="C509" s="2" t="s">
        <v>121</v>
      </c>
      <c r="D509" s="2" t="str">
        <f t="shared" si="15"/>
        <v>lb_per_therm_to_Metric_Tonne_per_MWh</v>
      </c>
      <c r="E509" s="3">
        <f>0.000453592/0.0293071</f>
        <v>1.5477205182361954E-2</v>
      </c>
    </row>
    <row r="510" spans="1:5" x14ac:dyDescent="0.2">
      <c r="A510" s="1" t="s">
        <v>3</v>
      </c>
      <c r="B510" s="2" t="s">
        <v>43</v>
      </c>
      <c r="C510" s="2" t="s">
        <v>122</v>
      </c>
      <c r="D510" s="2" t="str">
        <f>B510 &amp; "_to_" &amp; C510</f>
        <v>lb_per_therm_to_Metric_Tonne_per_kBtu</v>
      </c>
      <c r="E510" s="3">
        <f>0.000453592/100</f>
        <v>4.5359199999999998E-6</v>
      </c>
    </row>
    <row r="511" spans="1:5" x14ac:dyDescent="0.2">
      <c r="A511" s="1" t="s">
        <v>3</v>
      </c>
      <c r="B511" s="2" t="s">
        <v>43</v>
      </c>
      <c r="C511" s="2" t="s">
        <v>123</v>
      </c>
      <c r="D511" s="2" t="str">
        <f>B511 &amp; "_to_" &amp; C511</f>
        <v>lb_per_therm_to_Metric_Tonne_per_MMBtu</v>
      </c>
      <c r="E511" s="3">
        <f>0.000453592/0.1</f>
        <v>4.5359199999999997E-3</v>
      </c>
    </row>
    <row r="512" spans="1:5" x14ac:dyDescent="0.2">
      <c r="A512" s="1" t="s">
        <v>3</v>
      </c>
      <c r="B512" s="2" t="s">
        <v>125</v>
      </c>
      <c r="C512" s="2" t="s">
        <v>44</v>
      </c>
      <c r="D512" s="2" t="str">
        <f t="shared" si="15"/>
        <v>US_Ton_per_Joules_to_kg_per_kWh</v>
      </c>
      <c r="E512" s="3">
        <f>907.185/0.000000277778</f>
        <v>3265863387.3092899</v>
      </c>
    </row>
    <row r="513" spans="1:5" x14ac:dyDescent="0.2">
      <c r="A513" s="1" t="s">
        <v>3</v>
      </c>
      <c r="B513" s="2" t="s">
        <v>125</v>
      </c>
      <c r="C513" s="2" t="s">
        <v>46</v>
      </c>
      <c r="D513" s="2" t="str">
        <f t="shared" ref="D513:D576" si="16">B513 &amp; "_to_" &amp; C513</f>
        <v>US_Ton_per_Joules_to_kg_per_MWh</v>
      </c>
      <c r="E513" s="3">
        <f>907.185/0.000000000277778</f>
        <v>3265863387309.29</v>
      </c>
    </row>
    <row r="514" spans="1:5" x14ac:dyDescent="0.2">
      <c r="A514" s="1" t="s">
        <v>3</v>
      </c>
      <c r="B514" s="2" t="s">
        <v>125</v>
      </c>
      <c r="C514" s="2" t="s">
        <v>47</v>
      </c>
      <c r="D514" s="2" t="str">
        <f t="shared" si="16"/>
        <v>US_Ton_per_Joules_to_kg_per_kBtu</v>
      </c>
      <c r="E514" s="3">
        <f>907.185/0.000947817</f>
        <v>957130.96515466587</v>
      </c>
    </row>
    <row r="515" spans="1:5" x14ac:dyDescent="0.2">
      <c r="A515" s="1" t="s">
        <v>3</v>
      </c>
      <c r="B515" s="2" t="s">
        <v>125</v>
      </c>
      <c r="C515" s="2" t="s">
        <v>48</v>
      </c>
      <c r="D515" s="2" t="str">
        <f t="shared" si="16"/>
        <v>US_Ton_per_Joules_to_kg_per_MMBtu</v>
      </c>
      <c r="E515" s="3">
        <f>907.185/0.000000947817</f>
        <v>957130965.15466583</v>
      </c>
    </row>
    <row r="516" spans="1:5" x14ac:dyDescent="0.2">
      <c r="A516" s="1" t="s">
        <v>3</v>
      </c>
      <c r="B516" s="2" t="s">
        <v>125</v>
      </c>
      <c r="C516" s="2" t="s">
        <v>49</v>
      </c>
      <c r="D516" s="2" t="str">
        <f t="shared" si="16"/>
        <v>US_Ton_per_Joules_to_kg_per_therm</v>
      </c>
      <c r="E516" s="3">
        <f>907.185/0.00000948043</f>
        <v>95690279.871271655</v>
      </c>
    </row>
    <row r="517" spans="1:5" x14ac:dyDescent="0.2">
      <c r="A517" s="1" t="s">
        <v>3</v>
      </c>
      <c r="B517" s="2" t="s">
        <v>125</v>
      </c>
      <c r="C517" s="2" t="s">
        <v>39</v>
      </c>
      <c r="D517" s="2" t="str">
        <f t="shared" si="16"/>
        <v>US_Ton_per_Joules_to_lb_per_kWh</v>
      </c>
      <c r="E517" s="3">
        <f>2000/0.000000277778</f>
        <v>7199994240.0046082</v>
      </c>
    </row>
    <row r="518" spans="1:5" x14ac:dyDescent="0.2">
      <c r="A518" s="1" t="s">
        <v>3</v>
      </c>
      <c r="B518" s="2" t="s">
        <v>125</v>
      </c>
      <c r="C518" s="2" t="s">
        <v>40</v>
      </c>
      <c r="D518" s="2" t="str">
        <f t="shared" ref="D518:D537" si="17">B518 &amp; "_to_" &amp; C518</f>
        <v>US_Ton_per_Joules_to_lb_per_MWh</v>
      </c>
      <c r="E518" s="3">
        <f>2000/0.000000000277778</f>
        <v>7199994240004.6084</v>
      </c>
    </row>
    <row r="519" spans="1:5" x14ac:dyDescent="0.2">
      <c r="A519" s="1" t="s">
        <v>3</v>
      </c>
      <c r="B519" s="2" t="s">
        <v>125</v>
      </c>
      <c r="C519" s="2" t="s">
        <v>41</v>
      </c>
      <c r="D519" s="2" t="str">
        <f t="shared" si="17"/>
        <v>US_Ton_per_Joules_to_lb_per_kBtu</v>
      </c>
      <c r="E519" s="3">
        <f>2000/0.000947817</f>
        <v>2110111.9730918519</v>
      </c>
    </row>
    <row r="520" spans="1:5" x14ac:dyDescent="0.2">
      <c r="A520" s="1" t="s">
        <v>3</v>
      </c>
      <c r="B520" s="2" t="s">
        <v>125</v>
      </c>
      <c r="C520" s="2" t="s">
        <v>42</v>
      </c>
      <c r="D520" s="2" t="str">
        <f t="shared" si="17"/>
        <v>US_Ton_per_Joules_to_lb_per_MMBtu</v>
      </c>
      <c r="E520" s="3">
        <f>2000/0.000000947817</f>
        <v>2110111973.0918522</v>
      </c>
    </row>
    <row r="521" spans="1:5" x14ac:dyDescent="0.2">
      <c r="A521" s="1" t="s">
        <v>3</v>
      </c>
      <c r="B521" s="2" t="s">
        <v>125</v>
      </c>
      <c r="C521" s="2" t="s">
        <v>43</v>
      </c>
      <c r="D521" s="2" t="str">
        <f t="shared" si="17"/>
        <v>US_Ton_per_Joules_to_lb_per_therm</v>
      </c>
      <c r="E521" s="3">
        <f>2000/0.00000948043</f>
        <v>210960895.23365501</v>
      </c>
    </row>
    <row r="522" spans="1:5" x14ac:dyDescent="0.2">
      <c r="A522" s="1" t="s">
        <v>3</v>
      </c>
      <c r="B522" s="2" t="s">
        <v>125</v>
      </c>
      <c r="C522" s="2" t="s">
        <v>120</v>
      </c>
      <c r="D522" s="2" t="str">
        <f t="shared" si="17"/>
        <v>US_Ton_per_Joules_to_Metric_Tonne_per_kWh</v>
      </c>
      <c r="E522" s="3">
        <f>0.907185/0.000000277778</f>
        <v>3265863.3873092905</v>
      </c>
    </row>
    <row r="523" spans="1:5" x14ac:dyDescent="0.2">
      <c r="A523" s="1" t="s">
        <v>3</v>
      </c>
      <c r="B523" s="2" t="s">
        <v>125</v>
      </c>
      <c r="C523" s="2" t="s">
        <v>121</v>
      </c>
      <c r="D523" s="2" t="str">
        <f t="shared" si="17"/>
        <v>US_Ton_per_Joules_to_Metric_Tonne_per_MWh</v>
      </c>
      <c r="E523" s="3">
        <f>0.907185/0.000000000277778</f>
        <v>3265863387.3092904</v>
      </c>
    </row>
    <row r="524" spans="1:5" x14ac:dyDescent="0.2">
      <c r="A524" s="1" t="s">
        <v>3</v>
      </c>
      <c r="B524" s="2" t="s">
        <v>125</v>
      </c>
      <c r="C524" s="2" t="s">
        <v>122</v>
      </c>
      <c r="D524" s="2" t="str">
        <f t="shared" si="17"/>
        <v>US_Ton_per_Joules_to_Metric_Tonne_per_kBtu</v>
      </c>
      <c r="E524" s="3">
        <f>0.907185/0.000947817</f>
        <v>957.130965154666</v>
      </c>
    </row>
    <row r="525" spans="1:5" x14ac:dyDescent="0.2">
      <c r="A525" s="1" t="s">
        <v>3</v>
      </c>
      <c r="B525" s="2" t="s">
        <v>125</v>
      </c>
      <c r="C525" s="2" t="s">
        <v>123</v>
      </c>
      <c r="D525" s="2" t="str">
        <f t="shared" si="17"/>
        <v>US_Ton_per_Joules_to_Metric_Tonne_per_MMBtu</v>
      </c>
      <c r="E525" s="3">
        <f>0.907185/0.000000947817</f>
        <v>957130.96515466599</v>
      </c>
    </row>
    <row r="526" spans="1:5" x14ac:dyDescent="0.2">
      <c r="A526" s="1" t="s">
        <v>3</v>
      </c>
      <c r="B526" s="2" t="s">
        <v>125</v>
      </c>
      <c r="C526" s="2" t="s">
        <v>124</v>
      </c>
      <c r="D526" s="2" t="str">
        <f t="shared" si="17"/>
        <v>US_Ton_per_Joules_to_Metric_Tonne_per_therm</v>
      </c>
      <c r="E526" s="3">
        <f>0.907185/0.00000948043</f>
        <v>95690.279871271661</v>
      </c>
    </row>
    <row r="527" spans="1:5" x14ac:dyDescent="0.2">
      <c r="A527" s="1" t="s">
        <v>3</v>
      </c>
      <c r="B527" s="2" t="s">
        <v>115</v>
      </c>
      <c r="C527" s="2" t="s">
        <v>38</v>
      </c>
      <c r="D527" s="2" t="str">
        <f t="shared" si="17"/>
        <v>US_Ton_per_kWh_to_kg_per_Joules</v>
      </c>
      <c r="E527" s="3">
        <f>907.185/3600000</f>
        <v>2.519958333333333E-4</v>
      </c>
    </row>
    <row r="528" spans="1:5" x14ac:dyDescent="0.2">
      <c r="A528" s="1" t="s">
        <v>3</v>
      </c>
      <c r="B528" s="2" t="s">
        <v>115</v>
      </c>
      <c r="C528" s="2" t="s">
        <v>46</v>
      </c>
      <c r="D528" s="2" t="str">
        <f t="shared" si="17"/>
        <v>US_Ton_per_kWh_to_kg_per_MWh</v>
      </c>
      <c r="E528" s="3">
        <f>907.185/0.001</f>
        <v>907184.99999999988</v>
      </c>
    </row>
    <row r="529" spans="1:5" x14ac:dyDescent="0.2">
      <c r="A529" s="1" t="s">
        <v>3</v>
      </c>
      <c r="B529" s="2" t="s">
        <v>115</v>
      </c>
      <c r="C529" s="2" t="s">
        <v>47</v>
      </c>
      <c r="D529" s="2" t="str">
        <f t="shared" si="17"/>
        <v>US_Ton_per_kWh_to_kg_per_kBtu</v>
      </c>
      <c r="E529" s="3">
        <f>907.185/3.41214</f>
        <v>265.8698060454729</v>
      </c>
    </row>
    <row r="530" spans="1:5" x14ac:dyDescent="0.2">
      <c r="A530" s="1" t="s">
        <v>3</v>
      </c>
      <c r="B530" s="2" t="s">
        <v>115</v>
      </c>
      <c r="C530" s="2" t="s">
        <v>48</v>
      </c>
      <c r="D530" s="2" t="str">
        <f t="shared" si="17"/>
        <v>US_Ton_per_kWh_to_kg_per_MMBtu</v>
      </c>
      <c r="E530" s="3">
        <f>907.185/0.00341214</f>
        <v>265869.80604547291</v>
      </c>
    </row>
    <row r="531" spans="1:5" x14ac:dyDescent="0.2">
      <c r="A531" s="1" t="s">
        <v>3</v>
      </c>
      <c r="B531" s="2" t="s">
        <v>115</v>
      </c>
      <c r="C531" s="2" t="s">
        <v>49</v>
      </c>
      <c r="D531" s="2" t="str">
        <f t="shared" si="17"/>
        <v>US_Ton_per_kWh_to_kg_per_therm</v>
      </c>
      <c r="E531" s="3">
        <f>907.185/0.0341214</f>
        <v>26586.980604547291</v>
      </c>
    </row>
    <row r="532" spans="1:5" x14ac:dyDescent="0.2">
      <c r="A532" s="1" t="s">
        <v>3</v>
      </c>
      <c r="B532" s="2" t="s">
        <v>115</v>
      </c>
      <c r="C532" s="2" t="s">
        <v>45</v>
      </c>
      <c r="D532" s="2" t="str">
        <f t="shared" si="17"/>
        <v>US_Ton_per_kWh_to_lb_per_Joules</v>
      </c>
      <c r="E532" s="3">
        <f>2000/3600000</f>
        <v>5.5555555555555556E-4</v>
      </c>
    </row>
    <row r="533" spans="1:5" x14ac:dyDescent="0.2">
      <c r="A533" s="1" t="s">
        <v>3</v>
      </c>
      <c r="B533" s="2" t="s">
        <v>115</v>
      </c>
      <c r="C533" s="2" t="s">
        <v>40</v>
      </c>
      <c r="D533" s="2" t="str">
        <f t="shared" si="17"/>
        <v>US_Ton_per_kWh_to_lb_per_MWh</v>
      </c>
      <c r="E533" s="3">
        <f>2000/0.001</f>
        <v>2000000</v>
      </c>
    </row>
    <row r="534" spans="1:5" x14ac:dyDescent="0.2">
      <c r="A534" s="1" t="s">
        <v>3</v>
      </c>
      <c r="B534" s="2" t="s">
        <v>115</v>
      </c>
      <c r="C534" s="2" t="s">
        <v>41</v>
      </c>
      <c r="D534" s="2" t="str">
        <f t="shared" si="17"/>
        <v>US_Ton_per_kWh_to_lb_per_kBtu</v>
      </c>
      <c r="E534" s="3">
        <f>2000/3.41214</f>
        <v>586.14242088542676</v>
      </c>
    </row>
    <row r="535" spans="1:5" x14ac:dyDescent="0.2">
      <c r="A535" s="1" t="s">
        <v>3</v>
      </c>
      <c r="B535" s="2" t="s">
        <v>115</v>
      </c>
      <c r="C535" s="2" t="s">
        <v>42</v>
      </c>
      <c r="D535" s="2" t="str">
        <f t="shared" si="17"/>
        <v>US_Ton_per_kWh_to_lb_per_MMBtu</v>
      </c>
      <c r="E535" s="3">
        <f>2000/0.00341214</f>
        <v>586142.42088542669</v>
      </c>
    </row>
    <row r="536" spans="1:5" x14ac:dyDescent="0.2">
      <c r="A536" s="1" t="s">
        <v>3</v>
      </c>
      <c r="B536" s="2" t="s">
        <v>115</v>
      </c>
      <c r="C536" s="2" t="s">
        <v>43</v>
      </c>
      <c r="D536" s="2" t="str">
        <f t="shared" si="17"/>
        <v>US_Ton_per_kWh_to_lb_per_therm</v>
      </c>
      <c r="E536" s="3">
        <f>2000/0.0341214</f>
        <v>58614.242088542669</v>
      </c>
    </row>
    <row r="537" spans="1:5" x14ac:dyDescent="0.2">
      <c r="A537" s="1" t="s">
        <v>3</v>
      </c>
      <c r="B537" s="2" t="s">
        <v>115</v>
      </c>
      <c r="C537" s="2" t="s">
        <v>126</v>
      </c>
      <c r="D537" s="2" t="str">
        <f t="shared" si="17"/>
        <v>US_Ton_per_kWh_to_Metric_Tonne_per_Joules</v>
      </c>
      <c r="E537" s="3">
        <f>0.907185/3600000</f>
        <v>2.5199583333333336E-7</v>
      </c>
    </row>
    <row r="538" spans="1:5" x14ac:dyDescent="0.2">
      <c r="A538" s="1" t="s">
        <v>3</v>
      </c>
      <c r="B538" s="2" t="s">
        <v>115</v>
      </c>
      <c r="C538" s="2" t="s">
        <v>121</v>
      </c>
      <c r="D538" s="2" t="str">
        <f t="shared" si="16"/>
        <v>US_Ton_per_kWh_to_Metric_Tonne_per_MWh</v>
      </c>
      <c r="E538" s="3">
        <f>0.907185/0.001</f>
        <v>907.18499999999995</v>
      </c>
    </row>
    <row r="539" spans="1:5" x14ac:dyDescent="0.2">
      <c r="A539" s="1" t="s">
        <v>3</v>
      </c>
      <c r="B539" s="2" t="s">
        <v>115</v>
      </c>
      <c r="C539" s="2" t="s">
        <v>122</v>
      </c>
      <c r="D539" s="2" t="str">
        <f t="shared" si="16"/>
        <v>US_Ton_per_kWh_to_Metric_Tonne_per_kBtu</v>
      </c>
      <c r="E539" s="3">
        <f>0.907185/3.41214</f>
        <v>0.26586980604547295</v>
      </c>
    </row>
    <row r="540" spans="1:5" x14ac:dyDescent="0.2">
      <c r="A540" s="1" t="s">
        <v>3</v>
      </c>
      <c r="B540" s="2" t="s">
        <v>115</v>
      </c>
      <c r="C540" s="2" t="s">
        <v>123</v>
      </c>
      <c r="D540" s="2" t="str">
        <f>B540 &amp; "_to_" &amp; C540</f>
        <v>US_Ton_per_kWh_to_Metric_Tonne_per_MMBtu</v>
      </c>
      <c r="E540" s="3">
        <f>0.907185/0.00341214</f>
        <v>265.8698060454729</v>
      </c>
    </row>
    <row r="541" spans="1:5" x14ac:dyDescent="0.2">
      <c r="A541" s="1" t="s">
        <v>3</v>
      </c>
      <c r="B541" s="2" t="s">
        <v>115</v>
      </c>
      <c r="C541" s="2" t="s">
        <v>124</v>
      </c>
      <c r="D541" s="2" t="str">
        <f>B541 &amp; "_to_" &amp; C541</f>
        <v>US_Ton_per_kWh_to_Metric_Tonne_per_therm</v>
      </c>
      <c r="E541" s="3">
        <f>0.907185/0.0341214</f>
        <v>26.586980604547293</v>
      </c>
    </row>
    <row r="542" spans="1:5" x14ac:dyDescent="0.2">
      <c r="A542" s="1" t="s">
        <v>3</v>
      </c>
      <c r="B542" s="2" t="s">
        <v>116</v>
      </c>
      <c r="C542" s="2" t="s">
        <v>38</v>
      </c>
      <c r="D542" s="2" t="str">
        <f t="shared" si="16"/>
        <v>US_Ton_per_MWh_to_kg_per_Joules</v>
      </c>
      <c r="E542" s="3">
        <f>907.185/3600000000</f>
        <v>2.519958333333333E-7</v>
      </c>
    </row>
    <row r="543" spans="1:5" x14ac:dyDescent="0.2">
      <c r="A543" s="1" t="s">
        <v>3</v>
      </c>
      <c r="B543" s="2" t="s">
        <v>116</v>
      </c>
      <c r="C543" s="2" t="s">
        <v>44</v>
      </c>
      <c r="D543" s="2" t="str">
        <f t="shared" si="16"/>
        <v>US_Ton_per_MWh_to_kg_per_kWh</v>
      </c>
      <c r="E543" s="3">
        <f>907.185/1000</f>
        <v>0.90718499999999991</v>
      </c>
    </row>
    <row r="544" spans="1:5" x14ac:dyDescent="0.2">
      <c r="A544" s="1" t="s">
        <v>3</v>
      </c>
      <c r="B544" s="2" t="s">
        <v>116</v>
      </c>
      <c r="C544" s="2" t="s">
        <v>47</v>
      </c>
      <c r="D544" s="2" t="str">
        <f t="shared" si="16"/>
        <v>US_Ton_per_MWh_to_kg_per_kBtu</v>
      </c>
      <c r="E544" s="3">
        <f>907.185/3412.14</f>
        <v>0.26586980604547295</v>
      </c>
    </row>
    <row r="545" spans="1:5" x14ac:dyDescent="0.2">
      <c r="A545" s="1" t="s">
        <v>3</v>
      </c>
      <c r="B545" s="2" t="s">
        <v>116</v>
      </c>
      <c r="C545" s="2" t="s">
        <v>48</v>
      </c>
      <c r="D545" s="2" t="str">
        <f t="shared" si="16"/>
        <v>US_Ton_per_MWh_to_kg_per_MMBtu</v>
      </c>
      <c r="E545" s="3">
        <f>907.185/3.41214</f>
        <v>265.8698060454729</v>
      </c>
    </row>
    <row r="546" spans="1:5" x14ac:dyDescent="0.2">
      <c r="A546" s="1" t="s">
        <v>3</v>
      </c>
      <c r="B546" s="2" t="s">
        <v>116</v>
      </c>
      <c r="C546" s="2" t="s">
        <v>49</v>
      </c>
      <c r="D546" s="2" t="str">
        <f t="shared" si="16"/>
        <v>US_Ton_per_MWh_to_kg_per_therm</v>
      </c>
      <c r="E546" s="3">
        <f>907.185/34.1214</f>
        <v>26.586980604547289</v>
      </c>
    </row>
    <row r="547" spans="1:5" x14ac:dyDescent="0.2">
      <c r="A547" s="1" t="s">
        <v>3</v>
      </c>
      <c r="B547" s="2" t="s">
        <v>116</v>
      </c>
      <c r="C547" s="2" t="s">
        <v>45</v>
      </c>
      <c r="D547" s="2" t="str">
        <f t="shared" si="16"/>
        <v>US_Ton_per_MWh_to_lb_per_Joules</v>
      </c>
      <c r="E547" s="3">
        <f>2000/3600000000</f>
        <v>5.5555555555555552E-7</v>
      </c>
    </row>
    <row r="548" spans="1:5" x14ac:dyDescent="0.2">
      <c r="A548" s="1" t="s">
        <v>3</v>
      </c>
      <c r="B548" s="2" t="s">
        <v>116</v>
      </c>
      <c r="C548" s="2" t="s">
        <v>39</v>
      </c>
      <c r="D548" s="2" t="str">
        <f t="shared" si="16"/>
        <v>US_Ton_per_MWh_to_lb_per_kWh</v>
      </c>
      <c r="E548" s="3">
        <f>2000/1000</f>
        <v>2</v>
      </c>
    </row>
    <row r="549" spans="1:5" x14ac:dyDescent="0.2">
      <c r="A549" s="1" t="s">
        <v>3</v>
      </c>
      <c r="B549" s="2" t="s">
        <v>116</v>
      </c>
      <c r="C549" s="2" t="s">
        <v>41</v>
      </c>
      <c r="D549" s="2" t="str">
        <f t="shared" si="16"/>
        <v>US_Ton_per_MWh_to_lb_per_kBtu</v>
      </c>
      <c r="E549" s="3">
        <f>2000/3412.14</f>
        <v>0.58614242088542678</v>
      </c>
    </row>
    <row r="550" spans="1:5" x14ac:dyDescent="0.2">
      <c r="A550" s="1" t="s">
        <v>3</v>
      </c>
      <c r="B550" s="2" t="s">
        <v>116</v>
      </c>
      <c r="C550" s="2" t="s">
        <v>42</v>
      </c>
      <c r="D550" s="2" t="str">
        <f>B550 &amp; "_to_" &amp; C550</f>
        <v>US_Ton_per_MWh_to_lb_per_MMBtu</v>
      </c>
      <c r="E550" s="3">
        <f>2000/3.41214</f>
        <v>586.14242088542676</v>
      </c>
    </row>
    <row r="551" spans="1:5" x14ac:dyDescent="0.2">
      <c r="A551" s="1" t="s">
        <v>3</v>
      </c>
      <c r="B551" s="2" t="s">
        <v>116</v>
      </c>
      <c r="C551" s="2" t="s">
        <v>43</v>
      </c>
      <c r="D551" s="2" t="str">
        <f>B551 &amp; "_to_" &amp; C551</f>
        <v>US_Ton_per_MWh_to_lb_per_therm</v>
      </c>
      <c r="E551" s="3">
        <f>2000/34.1214</f>
        <v>58.614242088542674</v>
      </c>
    </row>
    <row r="552" spans="1:5" x14ac:dyDescent="0.2">
      <c r="A552" s="1" t="s">
        <v>3</v>
      </c>
      <c r="B552" s="2" t="s">
        <v>116</v>
      </c>
      <c r="C552" s="2" t="s">
        <v>126</v>
      </c>
      <c r="D552" s="2" t="str">
        <f t="shared" si="16"/>
        <v>US_Ton_per_MWh_to_Metric_Tonne_per_Joules</v>
      </c>
      <c r="E552" s="3">
        <f>0.907185/3600000000</f>
        <v>2.5199583333333334E-10</v>
      </c>
    </row>
    <row r="553" spans="1:5" x14ac:dyDescent="0.2">
      <c r="A553" s="1" t="s">
        <v>3</v>
      </c>
      <c r="B553" s="2" t="s">
        <v>116</v>
      </c>
      <c r="C553" s="2" t="s">
        <v>120</v>
      </c>
      <c r="D553" s="2" t="str">
        <f t="shared" si="16"/>
        <v>US_Ton_per_MWh_to_Metric_Tonne_per_kWh</v>
      </c>
      <c r="E553" s="3">
        <f>0.907185/1000</f>
        <v>9.0718500000000002E-4</v>
      </c>
    </row>
    <row r="554" spans="1:5" x14ac:dyDescent="0.2">
      <c r="A554" s="1" t="s">
        <v>3</v>
      </c>
      <c r="B554" s="2" t="s">
        <v>116</v>
      </c>
      <c r="C554" s="2" t="s">
        <v>122</v>
      </c>
      <c r="D554" s="2" t="str">
        <f t="shared" si="16"/>
        <v>US_Ton_per_MWh_to_Metric_Tonne_per_kBtu</v>
      </c>
      <c r="E554" s="3">
        <f>0.907185/3412.14</f>
        <v>2.6586980604547295E-4</v>
      </c>
    </row>
    <row r="555" spans="1:5" x14ac:dyDescent="0.2">
      <c r="A555" s="1" t="s">
        <v>3</v>
      </c>
      <c r="B555" s="2" t="s">
        <v>116</v>
      </c>
      <c r="C555" s="2" t="s">
        <v>123</v>
      </c>
      <c r="D555" s="2" t="str">
        <f t="shared" si="16"/>
        <v>US_Ton_per_MWh_to_Metric_Tonne_per_MMBtu</v>
      </c>
      <c r="E555" s="3">
        <f>0.907185/3.41214</f>
        <v>0.26586980604547295</v>
      </c>
    </row>
    <row r="556" spans="1:5" x14ac:dyDescent="0.2">
      <c r="A556" s="1" t="s">
        <v>3</v>
      </c>
      <c r="B556" s="2" t="s">
        <v>116</v>
      </c>
      <c r="C556" s="2" t="s">
        <v>124</v>
      </c>
      <c r="D556" s="2" t="str">
        <f t="shared" si="16"/>
        <v>US_Ton_per_MWh_to_Metric_Tonne_per_therm</v>
      </c>
      <c r="E556" s="3">
        <f>0.907185/34.1214</f>
        <v>2.6586980604547294E-2</v>
      </c>
    </row>
    <row r="557" spans="1:5" x14ac:dyDescent="0.2">
      <c r="A557" s="1" t="s">
        <v>3</v>
      </c>
      <c r="B557" s="2" t="s">
        <v>117</v>
      </c>
      <c r="C557" s="2" t="s">
        <v>38</v>
      </c>
      <c r="D557" s="2" t="str">
        <f t="shared" si="16"/>
        <v>US_Ton_per_kBtu_to_kg_per_Joules</v>
      </c>
      <c r="E557" s="3">
        <f>907.185/1055.06</f>
        <v>0.85984209428847647</v>
      </c>
    </row>
    <row r="558" spans="1:5" x14ac:dyDescent="0.2">
      <c r="A558" s="1" t="s">
        <v>3</v>
      </c>
      <c r="B558" s="2" t="s">
        <v>117</v>
      </c>
      <c r="C558" s="2" t="s">
        <v>44</v>
      </c>
      <c r="D558" s="2" t="str">
        <f t="shared" si="16"/>
        <v>US_Ton_per_kBtu_to_kg_per_kWh</v>
      </c>
      <c r="E558" s="3">
        <f>907.185/0.293071</f>
        <v>3095.4444486148404</v>
      </c>
    </row>
    <row r="559" spans="1:5" x14ac:dyDescent="0.2">
      <c r="A559" s="1" t="s">
        <v>3</v>
      </c>
      <c r="B559" s="2" t="s">
        <v>117</v>
      </c>
      <c r="C559" s="2" t="s">
        <v>46</v>
      </c>
      <c r="D559" s="2" t="str">
        <f t="shared" si="16"/>
        <v>US_Ton_per_kBtu_to_kg_per_MWh</v>
      </c>
      <c r="E559" s="3">
        <f>907.185/0.000293071</f>
        <v>3095444.4486148404</v>
      </c>
    </row>
    <row r="560" spans="1:5" x14ac:dyDescent="0.2">
      <c r="A560" s="1" t="s">
        <v>3</v>
      </c>
      <c r="B560" s="2" t="s">
        <v>117</v>
      </c>
      <c r="C560" s="2" t="s">
        <v>48</v>
      </c>
      <c r="D560" s="2" t="str">
        <f>B560 &amp; "_to_" &amp; C560</f>
        <v>US_Ton_per_kBtu_to_kg_per_MMBtu</v>
      </c>
      <c r="E560" s="3">
        <f>907.185/0.001</f>
        <v>907184.99999999988</v>
      </c>
    </row>
    <row r="561" spans="1:5" x14ac:dyDescent="0.2">
      <c r="A561" s="1" t="s">
        <v>3</v>
      </c>
      <c r="B561" s="2" t="s">
        <v>117</v>
      </c>
      <c r="C561" s="2" t="s">
        <v>49</v>
      </c>
      <c r="D561" s="2" t="str">
        <f>B561 &amp; "_to_" &amp; C561</f>
        <v>US_Ton_per_kBtu_to_kg_per_therm</v>
      </c>
      <c r="E561" s="3">
        <f>907.185/0.01</f>
        <v>90718.499999999985</v>
      </c>
    </row>
    <row r="562" spans="1:5" x14ac:dyDescent="0.2">
      <c r="A562" s="1" t="s">
        <v>3</v>
      </c>
      <c r="B562" s="2" t="s">
        <v>117</v>
      </c>
      <c r="C562" s="2" t="s">
        <v>45</v>
      </c>
      <c r="D562" s="2" t="str">
        <f t="shared" si="16"/>
        <v>US_Ton_per_kBtu_to_lb_per_Joules</v>
      </c>
      <c r="E562" s="3">
        <f>2000/1055.06</f>
        <v>1.8956267889977823</v>
      </c>
    </row>
    <row r="563" spans="1:5" x14ac:dyDescent="0.2">
      <c r="A563" s="1" t="s">
        <v>3</v>
      </c>
      <c r="B563" s="2" t="s">
        <v>117</v>
      </c>
      <c r="C563" s="2" t="s">
        <v>39</v>
      </c>
      <c r="D563" s="2" t="str">
        <f t="shared" si="16"/>
        <v>US_Ton_per_kBtu_to_lb_per_kWh</v>
      </c>
      <c r="E563" s="3">
        <f>2000/0.293071</f>
        <v>6824.2849002460152</v>
      </c>
    </row>
    <row r="564" spans="1:5" x14ac:dyDescent="0.2">
      <c r="A564" s="1" t="s">
        <v>3</v>
      </c>
      <c r="B564" s="2" t="s">
        <v>117</v>
      </c>
      <c r="C564" s="2" t="s">
        <v>40</v>
      </c>
      <c r="D564" s="2" t="str">
        <f t="shared" si="16"/>
        <v>US_Ton_per_kBtu_to_lb_per_MWh</v>
      </c>
      <c r="E564" s="3">
        <f>2000/0.000293071</f>
        <v>6824284.9002460157</v>
      </c>
    </row>
    <row r="565" spans="1:5" x14ac:dyDescent="0.2">
      <c r="A565" s="1" t="s">
        <v>3</v>
      </c>
      <c r="B565" s="2" t="s">
        <v>117</v>
      </c>
      <c r="C565" s="2" t="s">
        <v>42</v>
      </c>
      <c r="D565" s="2" t="str">
        <f t="shared" si="16"/>
        <v>US_Ton_per_kBtu_to_lb_per_MMBtu</v>
      </c>
      <c r="E565" s="3">
        <f>2000/0.001</f>
        <v>2000000</v>
      </c>
    </row>
    <row r="566" spans="1:5" x14ac:dyDescent="0.2">
      <c r="A566" s="1" t="s">
        <v>3</v>
      </c>
      <c r="B566" s="2" t="s">
        <v>117</v>
      </c>
      <c r="C566" s="2" t="s">
        <v>43</v>
      </c>
      <c r="D566" s="2" t="str">
        <f t="shared" si="16"/>
        <v>US_Ton_per_kBtu_to_lb_per_therm</v>
      </c>
      <c r="E566" s="3">
        <f>2000/0.01</f>
        <v>200000</v>
      </c>
    </row>
    <row r="567" spans="1:5" x14ac:dyDescent="0.2">
      <c r="A567" s="1" t="s">
        <v>3</v>
      </c>
      <c r="B567" s="2" t="s">
        <v>117</v>
      </c>
      <c r="C567" s="2" t="s">
        <v>126</v>
      </c>
      <c r="D567" s="2" t="str">
        <f t="shared" si="16"/>
        <v>US_Ton_per_kBtu_to_Metric_Tonne_per_Joules</v>
      </c>
      <c r="E567" s="3">
        <f>0.907185/1055.06</f>
        <v>8.5984209428847653E-4</v>
      </c>
    </row>
    <row r="568" spans="1:5" x14ac:dyDescent="0.2">
      <c r="A568" s="1" t="s">
        <v>3</v>
      </c>
      <c r="B568" s="2" t="s">
        <v>117</v>
      </c>
      <c r="C568" s="2" t="s">
        <v>120</v>
      </c>
      <c r="D568" s="2" t="str">
        <f t="shared" si="16"/>
        <v>US_Ton_per_kBtu_to_Metric_Tonne_per_kWh</v>
      </c>
      <c r="E568" s="3">
        <f>0.907185/0.293071</f>
        <v>3.0954444486148405</v>
      </c>
    </row>
    <row r="569" spans="1:5" x14ac:dyDescent="0.2">
      <c r="A569" s="1" t="s">
        <v>3</v>
      </c>
      <c r="B569" s="2" t="s">
        <v>117</v>
      </c>
      <c r="C569" s="2" t="s">
        <v>121</v>
      </c>
      <c r="D569" s="2" t="str">
        <f t="shared" si="16"/>
        <v>US_Ton_per_kBtu_to_Metric_Tonne_per_MWh</v>
      </c>
      <c r="E569" s="3">
        <f>0.907185/0.000293071</f>
        <v>3095.4444486148409</v>
      </c>
    </row>
    <row r="570" spans="1:5" x14ac:dyDescent="0.2">
      <c r="A570" s="1" t="s">
        <v>3</v>
      </c>
      <c r="B570" s="2" t="s">
        <v>117</v>
      </c>
      <c r="C570" s="2" t="s">
        <v>123</v>
      </c>
      <c r="D570" s="2" t="str">
        <f>B570 &amp; "_to_" &amp; C570</f>
        <v>US_Ton_per_kBtu_to_Metric_Tonne_per_MMBtu</v>
      </c>
      <c r="E570" s="3">
        <f>0.907185/0.001</f>
        <v>907.18499999999995</v>
      </c>
    </row>
    <row r="571" spans="1:5" x14ac:dyDescent="0.2">
      <c r="A571" s="1" t="s">
        <v>3</v>
      </c>
      <c r="B571" s="2" t="s">
        <v>117</v>
      </c>
      <c r="C571" s="2" t="s">
        <v>124</v>
      </c>
      <c r="D571" s="2" t="str">
        <f>B571 &amp; "_to_" &amp; C571</f>
        <v>US_Ton_per_kBtu_to_Metric_Tonne_per_therm</v>
      </c>
      <c r="E571" s="3">
        <f>0.907185/0.01</f>
        <v>90.718500000000006</v>
      </c>
    </row>
    <row r="572" spans="1:5" x14ac:dyDescent="0.2">
      <c r="A572" s="1" t="s">
        <v>3</v>
      </c>
      <c r="B572" s="2" t="s">
        <v>118</v>
      </c>
      <c r="C572" s="2" t="s">
        <v>38</v>
      </c>
      <c r="D572" s="2" t="str">
        <f t="shared" si="16"/>
        <v>US_Ton_per_MMBtu_to_kg_per_Joules</v>
      </c>
      <c r="E572" s="3">
        <f>907.185/1055060000</f>
        <v>8.5984209428847647E-7</v>
      </c>
    </row>
    <row r="573" spans="1:5" x14ac:dyDescent="0.2">
      <c r="A573" s="1" t="s">
        <v>3</v>
      </c>
      <c r="B573" s="2" t="s">
        <v>118</v>
      </c>
      <c r="C573" s="2" t="s">
        <v>44</v>
      </c>
      <c r="D573" s="2" t="str">
        <f t="shared" si="16"/>
        <v>US_Ton_per_MMBtu_to_kg_per_kWh</v>
      </c>
      <c r="E573" s="3">
        <f>907.185/293.071</f>
        <v>3.0954444486148405</v>
      </c>
    </row>
    <row r="574" spans="1:5" x14ac:dyDescent="0.2">
      <c r="A574" s="1" t="s">
        <v>3</v>
      </c>
      <c r="B574" s="2" t="s">
        <v>118</v>
      </c>
      <c r="C574" s="2" t="s">
        <v>46</v>
      </c>
      <c r="D574" s="2" t="str">
        <f t="shared" si="16"/>
        <v>US_Ton_per_MMBtu_to_kg_per_MWh</v>
      </c>
      <c r="E574" s="3">
        <f>907.185/0.293071</f>
        <v>3095.4444486148404</v>
      </c>
    </row>
    <row r="575" spans="1:5" x14ac:dyDescent="0.2">
      <c r="A575" s="1" t="s">
        <v>3</v>
      </c>
      <c r="B575" s="2" t="s">
        <v>118</v>
      </c>
      <c r="C575" s="2" t="s">
        <v>47</v>
      </c>
      <c r="D575" s="2" t="str">
        <f t="shared" si="16"/>
        <v>US_Ton_per_MMBtu_to_kg_per_kBtu</v>
      </c>
      <c r="E575" s="3">
        <f>907.185/1000</f>
        <v>0.90718499999999991</v>
      </c>
    </row>
    <row r="576" spans="1:5" x14ac:dyDescent="0.2">
      <c r="A576" s="1" t="s">
        <v>3</v>
      </c>
      <c r="B576" s="2" t="s">
        <v>118</v>
      </c>
      <c r="C576" s="2" t="s">
        <v>49</v>
      </c>
      <c r="D576" s="2" t="str">
        <f t="shared" si="16"/>
        <v>US_Ton_per_MMBtu_to_kg_per_therm</v>
      </c>
      <c r="E576" s="3">
        <f>907.185/10</f>
        <v>90.718499999999992</v>
      </c>
    </row>
    <row r="577" spans="1:5" x14ac:dyDescent="0.2">
      <c r="A577" s="1" t="s">
        <v>3</v>
      </c>
      <c r="B577" s="2" t="s">
        <v>118</v>
      </c>
      <c r="C577" s="2" t="s">
        <v>45</v>
      </c>
      <c r="D577" s="2" t="str">
        <f t="shared" ref="D577:D638" si="18">B577 &amp; "_to_" &amp; C577</f>
        <v>US_Ton_per_MMBtu_to_lb_per_Joules</v>
      </c>
      <c r="E577" s="3">
        <f>2000/1055060000</f>
        <v>1.895626788997782E-6</v>
      </c>
    </row>
    <row r="578" spans="1:5" x14ac:dyDescent="0.2">
      <c r="A578" s="1" t="s">
        <v>3</v>
      </c>
      <c r="B578" s="2" t="s">
        <v>118</v>
      </c>
      <c r="C578" s="2" t="s">
        <v>39</v>
      </c>
      <c r="D578" s="2" t="str">
        <f t="shared" si="18"/>
        <v>US_Ton_per_MMBtu_to_lb_per_kWh</v>
      </c>
      <c r="E578" s="3">
        <f>2000/293.071</f>
        <v>6.8242849002460151</v>
      </c>
    </row>
    <row r="579" spans="1:5" x14ac:dyDescent="0.2">
      <c r="A579" s="1" t="s">
        <v>3</v>
      </c>
      <c r="B579" s="2" t="s">
        <v>118</v>
      </c>
      <c r="C579" s="2" t="s">
        <v>40</v>
      </c>
      <c r="D579" s="2" t="str">
        <f t="shared" si="18"/>
        <v>US_Ton_per_MMBtu_to_lb_per_MWh</v>
      </c>
      <c r="E579" s="3">
        <f>2000/0.293071</f>
        <v>6824.2849002460152</v>
      </c>
    </row>
    <row r="580" spans="1:5" x14ac:dyDescent="0.2">
      <c r="A580" s="1" t="s">
        <v>3</v>
      </c>
      <c r="B580" s="2" t="s">
        <v>118</v>
      </c>
      <c r="C580" s="2" t="s">
        <v>41</v>
      </c>
      <c r="D580" s="2" t="str">
        <f>B580 &amp; "_to_" &amp; C580</f>
        <v>US_Ton_per_MMBtu_to_lb_per_kBtu</v>
      </c>
      <c r="E580" s="3">
        <f>2000/1000</f>
        <v>2</v>
      </c>
    </row>
    <row r="581" spans="1:5" x14ac:dyDescent="0.2">
      <c r="A581" s="1" t="s">
        <v>3</v>
      </c>
      <c r="B581" s="2" t="s">
        <v>118</v>
      </c>
      <c r="C581" s="2" t="s">
        <v>43</v>
      </c>
      <c r="D581" s="2" t="str">
        <f>B581 &amp; "_to_" &amp; C581</f>
        <v>US_Ton_per_MMBtu_to_lb_per_therm</v>
      </c>
      <c r="E581" s="3">
        <f>2000/10</f>
        <v>200</v>
      </c>
    </row>
    <row r="582" spans="1:5" x14ac:dyDescent="0.2">
      <c r="A582" s="1" t="s">
        <v>3</v>
      </c>
      <c r="B582" s="2" t="s">
        <v>118</v>
      </c>
      <c r="C582" s="2" t="s">
        <v>126</v>
      </c>
      <c r="D582" s="2" t="str">
        <f t="shared" si="18"/>
        <v>US_Ton_per_MMBtu_to_Metric_Tonne_per_Joules</v>
      </c>
      <c r="E582" s="3">
        <f>0.907185/1055060000</f>
        <v>8.5984209428847653E-10</v>
      </c>
    </row>
    <row r="583" spans="1:5" x14ac:dyDescent="0.2">
      <c r="A583" s="1" t="s">
        <v>3</v>
      </c>
      <c r="B583" s="2" t="s">
        <v>118</v>
      </c>
      <c r="C583" s="2" t="s">
        <v>120</v>
      </c>
      <c r="D583" s="2" t="str">
        <f t="shared" si="18"/>
        <v>US_Ton_per_MMBtu_to_Metric_Tonne_per_kWh</v>
      </c>
      <c r="E583" s="3">
        <f>0.907185/293.071</f>
        <v>3.0954444486148407E-3</v>
      </c>
    </row>
    <row r="584" spans="1:5" x14ac:dyDescent="0.2">
      <c r="A584" s="1" t="s">
        <v>3</v>
      </c>
      <c r="B584" s="2" t="s">
        <v>118</v>
      </c>
      <c r="C584" s="2" t="s">
        <v>121</v>
      </c>
      <c r="D584" s="2" t="str">
        <f t="shared" si="18"/>
        <v>US_Ton_per_MMBtu_to_Metric_Tonne_per_MWh</v>
      </c>
      <c r="E584" s="3">
        <f>0.907185/0.293071</f>
        <v>3.0954444486148405</v>
      </c>
    </row>
    <row r="585" spans="1:5" x14ac:dyDescent="0.2">
      <c r="A585" s="1" t="s">
        <v>3</v>
      </c>
      <c r="B585" s="2" t="s">
        <v>118</v>
      </c>
      <c r="C585" s="2" t="s">
        <v>122</v>
      </c>
      <c r="D585" s="2" t="str">
        <f t="shared" si="18"/>
        <v>US_Ton_per_MMBtu_to_Metric_Tonne_per_kBtu</v>
      </c>
      <c r="E585" s="3">
        <f>0.907185/1000</f>
        <v>9.0718500000000002E-4</v>
      </c>
    </row>
    <row r="586" spans="1:5" x14ac:dyDescent="0.2">
      <c r="A586" s="1" t="s">
        <v>3</v>
      </c>
      <c r="B586" s="2" t="s">
        <v>118</v>
      </c>
      <c r="C586" s="2" t="s">
        <v>124</v>
      </c>
      <c r="D586" s="2" t="str">
        <f t="shared" si="18"/>
        <v>US_Ton_per_MMBtu_to_Metric_Tonne_per_therm</v>
      </c>
      <c r="E586" s="3">
        <f>0.907185/10</f>
        <v>9.0718500000000007E-2</v>
      </c>
    </row>
    <row r="587" spans="1:5" x14ac:dyDescent="0.2">
      <c r="A587" s="1" t="s">
        <v>3</v>
      </c>
      <c r="B587" s="2" t="s">
        <v>119</v>
      </c>
      <c r="C587" s="2" t="s">
        <v>38</v>
      </c>
      <c r="D587" s="2" t="str">
        <f t="shared" si="18"/>
        <v>US_Ton_per_therm_to_kg_per_Joules</v>
      </c>
      <c r="E587" s="3">
        <f>907.185/105480</f>
        <v>8.6005403868031852E-3</v>
      </c>
    </row>
    <row r="588" spans="1:5" x14ac:dyDescent="0.2">
      <c r="A588" s="1" t="s">
        <v>3</v>
      </c>
      <c r="B588" s="2" t="s">
        <v>119</v>
      </c>
      <c r="C588" s="2" t="s">
        <v>44</v>
      </c>
      <c r="D588" s="2" t="str">
        <f t="shared" si="18"/>
        <v>US_Ton_per_therm_to_kg_per_kWh</v>
      </c>
      <c r="E588" s="3">
        <f>907.185/29.3071</f>
        <v>30.954444486148407</v>
      </c>
    </row>
    <row r="589" spans="1:5" x14ac:dyDescent="0.2">
      <c r="A589" s="1" t="s">
        <v>3</v>
      </c>
      <c r="B589" s="2" t="s">
        <v>119</v>
      </c>
      <c r="C589" s="2" t="s">
        <v>46</v>
      </c>
      <c r="D589" s="2" t="str">
        <f t="shared" si="18"/>
        <v>US_Ton_per_therm_to_kg_per_MWh</v>
      </c>
      <c r="E589" s="3">
        <f>907.185/0.0293071</f>
        <v>30954.444486148408</v>
      </c>
    </row>
    <row r="590" spans="1:5" x14ac:dyDescent="0.2">
      <c r="A590" s="1" t="s">
        <v>3</v>
      </c>
      <c r="B590" s="2" t="s">
        <v>119</v>
      </c>
      <c r="C590" s="2" t="s">
        <v>47</v>
      </c>
      <c r="D590" s="2" t="str">
        <f>B590 &amp; "_to_" &amp; C590</f>
        <v>US_Ton_per_therm_to_kg_per_kBtu</v>
      </c>
      <c r="E590" s="3">
        <f>907.185/100</f>
        <v>9.0718499999999995</v>
      </c>
    </row>
    <row r="591" spans="1:5" x14ac:dyDescent="0.2">
      <c r="A591" s="1" t="s">
        <v>3</v>
      </c>
      <c r="B591" s="2" t="s">
        <v>119</v>
      </c>
      <c r="C591" s="2" t="s">
        <v>48</v>
      </c>
      <c r="D591" s="2" t="str">
        <f>B591 &amp; "_to_" &amp; C591</f>
        <v>US_Ton_per_therm_to_kg_per_MMBtu</v>
      </c>
      <c r="E591" s="3">
        <f>907.185/0.1</f>
        <v>9071.8499999999985</v>
      </c>
    </row>
    <row r="592" spans="1:5" x14ac:dyDescent="0.2">
      <c r="A592" s="1" t="s">
        <v>3</v>
      </c>
      <c r="B592" s="2" t="s">
        <v>119</v>
      </c>
      <c r="C592" s="2" t="s">
        <v>45</v>
      </c>
      <c r="D592" s="2" t="str">
        <f t="shared" si="18"/>
        <v>US_Ton_per_therm_to_lb_per_Joules</v>
      </c>
      <c r="E592" s="3">
        <f>2000/105480</f>
        <v>1.8960940462646948E-2</v>
      </c>
    </row>
    <row r="593" spans="1:5" x14ac:dyDescent="0.2">
      <c r="A593" s="1" t="s">
        <v>3</v>
      </c>
      <c r="B593" s="2" t="s">
        <v>119</v>
      </c>
      <c r="C593" s="2" t="s">
        <v>39</v>
      </c>
      <c r="D593" s="2" t="str">
        <f t="shared" si="18"/>
        <v>US_Ton_per_therm_to_lb_per_kWh</v>
      </c>
      <c r="E593" s="3">
        <f>2000/29.3071</f>
        <v>68.242849002460162</v>
      </c>
    </row>
    <row r="594" spans="1:5" x14ac:dyDescent="0.2">
      <c r="A594" s="1" t="s">
        <v>3</v>
      </c>
      <c r="B594" s="2" t="s">
        <v>119</v>
      </c>
      <c r="C594" s="2" t="s">
        <v>40</v>
      </c>
      <c r="D594" s="2" t="str">
        <f t="shared" si="18"/>
        <v>US_Ton_per_therm_to_lb_per_MWh</v>
      </c>
      <c r="E594" s="3">
        <f>2000/0.0293071</f>
        <v>68242.849002460163</v>
      </c>
    </row>
    <row r="595" spans="1:5" x14ac:dyDescent="0.2">
      <c r="A595" s="1" t="s">
        <v>3</v>
      </c>
      <c r="B595" s="2" t="s">
        <v>119</v>
      </c>
      <c r="C595" s="2" t="s">
        <v>41</v>
      </c>
      <c r="D595" s="2" t="str">
        <f t="shared" si="18"/>
        <v>US_Ton_per_therm_to_lb_per_kBtu</v>
      </c>
      <c r="E595" s="3">
        <f>2000/100</f>
        <v>20</v>
      </c>
    </row>
    <row r="596" spans="1:5" x14ac:dyDescent="0.2">
      <c r="A596" s="1" t="s">
        <v>3</v>
      </c>
      <c r="B596" s="2" t="s">
        <v>119</v>
      </c>
      <c r="C596" s="2" t="s">
        <v>42</v>
      </c>
      <c r="D596" s="2" t="str">
        <f t="shared" si="18"/>
        <v>US_Ton_per_therm_to_lb_per_MMBtu</v>
      </c>
      <c r="E596" s="3">
        <f>2000/0.1</f>
        <v>20000</v>
      </c>
    </row>
    <row r="597" spans="1:5" x14ac:dyDescent="0.2">
      <c r="A597" s="1" t="s">
        <v>3</v>
      </c>
      <c r="B597" s="2" t="s">
        <v>119</v>
      </c>
      <c r="C597" s="2" t="s">
        <v>126</v>
      </c>
      <c r="D597" s="2" t="str">
        <f t="shared" si="18"/>
        <v>US_Ton_per_therm_to_Metric_Tonne_per_Joules</v>
      </c>
      <c r="E597" s="3">
        <f>0.907185/105480</f>
        <v>8.6005403868031853E-6</v>
      </c>
    </row>
    <row r="598" spans="1:5" x14ac:dyDescent="0.2">
      <c r="A598" s="1" t="s">
        <v>3</v>
      </c>
      <c r="B598" s="2" t="s">
        <v>119</v>
      </c>
      <c r="C598" s="2" t="s">
        <v>120</v>
      </c>
      <c r="D598" s="2" t="str">
        <f t="shared" si="18"/>
        <v>US_Ton_per_therm_to_Metric_Tonne_per_kWh</v>
      </c>
      <c r="E598" s="3">
        <f>0.907185/29.3071</f>
        <v>3.0954444486148411E-2</v>
      </c>
    </row>
    <row r="599" spans="1:5" x14ac:dyDescent="0.2">
      <c r="A599" s="1" t="s">
        <v>3</v>
      </c>
      <c r="B599" s="2" t="s">
        <v>119</v>
      </c>
      <c r="C599" s="2" t="s">
        <v>121</v>
      </c>
      <c r="D599" s="2" t="str">
        <f t="shared" si="18"/>
        <v>US_Ton_per_therm_to_Metric_Tonne_per_MWh</v>
      </c>
      <c r="E599" s="3">
        <f>0.907185/0.0293071</f>
        <v>30.954444486148411</v>
      </c>
    </row>
    <row r="600" spans="1:5" x14ac:dyDescent="0.2">
      <c r="A600" s="1" t="s">
        <v>3</v>
      </c>
      <c r="B600" s="2" t="s">
        <v>119</v>
      </c>
      <c r="C600" s="2" t="s">
        <v>122</v>
      </c>
      <c r="D600" s="2" t="str">
        <f>B600 &amp; "_to_" &amp; C600</f>
        <v>US_Ton_per_therm_to_Metric_Tonne_per_kBtu</v>
      </c>
      <c r="E600" s="3">
        <f>0.907185/100</f>
        <v>9.0718499999999994E-3</v>
      </c>
    </row>
    <row r="601" spans="1:5" x14ac:dyDescent="0.2">
      <c r="A601" s="1" t="s">
        <v>3</v>
      </c>
      <c r="B601" s="2" t="s">
        <v>119</v>
      </c>
      <c r="C601" s="2" t="s">
        <v>123</v>
      </c>
      <c r="D601" s="2" t="str">
        <f>B601 &amp; "_to_" &amp; C601</f>
        <v>US_Ton_per_therm_to_Metric_Tonne_per_MMBtu</v>
      </c>
      <c r="E601" s="3">
        <f>0.907185/0.1</f>
        <v>9.0718499999999995</v>
      </c>
    </row>
    <row r="602" spans="1:5" x14ac:dyDescent="0.2">
      <c r="A602" s="1" t="s">
        <v>3</v>
      </c>
      <c r="B602" s="2" t="s">
        <v>126</v>
      </c>
      <c r="C602" s="2" t="s">
        <v>44</v>
      </c>
      <c r="D602" s="2" t="str">
        <f t="shared" si="18"/>
        <v>Metric_Tonne_per_Joules_to_kg_per_kWh</v>
      </c>
      <c r="E602" s="3">
        <f>1000/0.000000277778</f>
        <v>3599997120.0023041</v>
      </c>
    </row>
    <row r="603" spans="1:5" x14ac:dyDescent="0.2">
      <c r="A603" s="1" t="s">
        <v>3</v>
      </c>
      <c r="B603" s="2" t="s">
        <v>126</v>
      </c>
      <c r="C603" s="2" t="s">
        <v>46</v>
      </c>
      <c r="D603" s="2" t="str">
        <f t="shared" si="18"/>
        <v>Metric_Tonne_per_Joules_to_kg_per_MWh</v>
      </c>
      <c r="E603" s="3">
        <f>1000/0.000000000277778</f>
        <v>3599997120002.3042</v>
      </c>
    </row>
    <row r="604" spans="1:5" x14ac:dyDescent="0.2">
      <c r="A604" s="1" t="s">
        <v>3</v>
      </c>
      <c r="B604" s="2" t="s">
        <v>126</v>
      </c>
      <c r="C604" s="2" t="s">
        <v>47</v>
      </c>
      <c r="D604" s="2" t="str">
        <f t="shared" si="18"/>
        <v>Metric_Tonne_per_Joules_to_kg_per_kBtu</v>
      </c>
      <c r="E604" s="3">
        <f>1000/0.000947817</f>
        <v>1055055.986545926</v>
      </c>
    </row>
    <row r="605" spans="1:5" x14ac:dyDescent="0.2">
      <c r="A605" s="1" t="s">
        <v>3</v>
      </c>
      <c r="B605" s="2" t="s">
        <v>126</v>
      </c>
      <c r="C605" s="2" t="s">
        <v>48</v>
      </c>
      <c r="D605" s="2" t="str">
        <f t="shared" si="18"/>
        <v>Metric_Tonne_per_Joules_to_kg_per_MMBtu</v>
      </c>
      <c r="E605" s="3">
        <f>1000/0.000000947817</f>
        <v>1055055986.5459261</v>
      </c>
    </row>
    <row r="606" spans="1:5" x14ac:dyDescent="0.2">
      <c r="A606" s="1" t="s">
        <v>3</v>
      </c>
      <c r="B606" s="2" t="s">
        <v>126</v>
      </c>
      <c r="C606" s="2" t="s">
        <v>49</v>
      </c>
      <c r="D606" s="2" t="str">
        <f t="shared" si="18"/>
        <v>Metric_Tonne_per_Joules_to_kg_per_therm</v>
      </c>
      <c r="E606" s="3">
        <f>1000/0.00000948043</f>
        <v>105480447.6168275</v>
      </c>
    </row>
    <row r="607" spans="1:5" x14ac:dyDescent="0.2">
      <c r="A607" s="1" t="s">
        <v>3</v>
      </c>
      <c r="B607" s="2" t="s">
        <v>126</v>
      </c>
      <c r="C607" s="2" t="s">
        <v>39</v>
      </c>
      <c r="D607" s="2" t="str">
        <f t="shared" si="18"/>
        <v>Metric_Tonne_per_Joules_to_lb_per_kWh</v>
      </c>
      <c r="E607" s="3">
        <f>2204.62/0.000000277778</f>
        <v>7936625650.6994791</v>
      </c>
    </row>
    <row r="608" spans="1:5" x14ac:dyDescent="0.2">
      <c r="A608" s="1" t="s">
        <v>3</v>
      </c>
      <c r="B608" s="2" t="s">
        <v>126</v>
      </c>
      <c r="C608" s="2" t="s">
        <v>40</v>
      </c>
      <c r="D608" s="2" t="str">
        <f t="shared" si="18"/>
        <v>Metric_Tonne_per_Joules_to_lb_per_MWh</v>
      </c>
      <c r="E608" s="3">
        <f>2204.62/0.000000000277778</f>
        <v>7936625650699.4795</v>
      </c>
    </row>
    <row r="609" spans="1:5" x14ac:dyDescent="0.2">
      <c r="A609" s="1" t="s">
        <v>3</v>
      </c>
      <c r="B609" s="2" t="s">
        <v>126</v>
      </c>
      <c r="C609" s="2" t="s">
        <v>41</v>
      </c>
      <c r="D609" s="2" t="str">
        <f t="shared" si="18"/>
        <v>Metric_Tonne_per_Joules_to_lb_per_kBtu</v>
      </c>
      <c r="E609" s="3">
        <f>2204.62/0.000947817</f>
        <v>2325997.5290588792</v>
      </c>
    </row>
    <row r="610" spans="1:5" x14ac:dyDescent="0.2">
      <c r="A610" s="1" t="s">
        <v>3</v>
      </c>
      <c r="B610" s="2" t="s">
        <v>126</v>
      </c>
      <c r="C610" s="2" t="s">
        <v>42</v>
      </c>
      <c r="D610" s="2" t="str">
        <f>B610 &amp; "_to_" &amp; C610</f>
        <v>Metric_Tonne_per_Joules_to_lb_per_MMBtu</v>
      </c>
      <c r="E610" s="3">
        <f>2204.62/0.000000947817</f>
        <v>2325997529.0588794</v>
      </c>
    </row>
    <row r="611" spans="1:5" x14ac:dyDescent="0.2">
      <c r="A611" s="1" t="s">
        <v>3</v>
      </c>
      <c r="B611" s="2" t="s">
        <v>126</v>
      </c>
      <c r="C611" s="2" t="s">
        <v>43</v>
      </c>
      <c r="D611" s="2" t="str">
        <f>B611 &amp; "_to_" &amp; C611</f>
        <v>Metric_Tonne_per_Joules_to_lb_per_therm</v>
      </c>
      <c r="E611" s="3">
        <f>2204.62/0.00000948043</f>
        <v>232544304.42501023</v>
      </c>
    </row>
    <row r="612" spans="1:5" x14ac:dyDescent="0.2">
      <c r="A612" s="1" t="s">
        <v>3</v>
      </c>
      <c r="B612" s="2" t="s">
        <v>126</v>
      </c>
      <c r="C612" s="2" t="s">
        <v>115</v>
      </c>
      <c r="D612" s="2" t="str">
        <f t="shared" si="18"/>
        <v>Metric_Tonne_per_Joules_to_US_Ton_per_kWh</v>
      </c>
      <c r="E612" s="3">
        <f>1.10231/0.000000277778</f>
        <v>3968312.8253497398</v>
      </c>
    </row>
    <row r="613" spans="1:5" x14ac:dyDescent="0.2">
      <c r="A613" s="1" t="s">
        <v>3</v>
      </c>
      <c r="B613" s="2" t="s">
        <v>126</v>
      </c>
      <c r="C613" s="2" t="s">
        <v>116</v>
      </c>
      <c r="D613" s="2" t="str">
        <f t="shared" si="18"/>
        <v>Metric_Tonne_per_Joules_to_US_Ton_per_MWh</v>
      </c>
      <c r="E613" s="3">
        <f>1.10231/0.000000000277778</f>
        <v>3968312825.3497396</v>
      </c>
    </row>
    <row r="614" spans="1:5" x14ac:dyDescent="0.2">
      <c r="A614" s="1" t="s">
        <v>3</v>
      </c>
      <c r="B614" s="2" t="s">
        <v>126</v>
      </c>
      <c r="C614" s="2" t="s">
        <v>117</v>
      </c>
      <c r="D614" s="2" t="str">
        <f t="shared" si="18"/>
        <v>Metric_Tonne_per_Joules_to_US_Ton_per_kBtu</v>
      </c>
      <c r="E614" s="3">
        <f>1.10231/0.000947817</f>
        <v>1162.9987645294398</v>
      </c>
    </row>
    <row r="615" spans="1:5" x14ac:dyDescent="0.2">
      <c r="A615" s="1" t="s">
        <v>3</v>
      </c>
      <c r="B615" s="2" t="s">
        <v>126</v>
      </c>
      <c r="C615" s="2" t="s">
        <v>118</v>
      </c>
      <c r="D615" s="2" t="str">
        <f t="shared" si="18"/>
        <v>Metric_Tonne_per_Joules_to_US_Ton_per_MMBtu</v>
      </c>
      <c r="E615" s="3">
        <f>1.10231/0.000000947817</f>
        <v>1162998.7645294396</v>
      </c>
    </row>
    <row r="616" spans="1:5" x14ac:dyDescent="0.2">
      <c r="A616" s="1" t="s">
        <v>3</v>
      </c>
      <c r="B616" s="2" t="s">
        <v>126</v>
      </c>
      <c r="C616" s="2" t="s">
        <v>119</v>
      </c>
      <c r="D616" s="2" t="str">
        <f t="shared" si="18"/>
        <v>Metric_Tonne_per_Joules_to_US_Ton_per_therm</v>
      </c>
      <c r="E616" s="3">
        <f>1.10231/0.00000948043</f>
        <v>116272.15221250511</v>
      </c>
    </row>
    <row r="617" spans="1:5" x14ac:dyDescent="0.2">
      <c r="A617" s="1" t="s">
        <v>3</v>
      </c>
      <c r="B617" s="2" t="s">
        <v>120</v>
      </c>
      <c r="C617" s="2" t="s">
        <v>38</v>
      </c>
      <c r="D617" s="2" t="str">
        <f t="shared" si="18"/>
        <v>Metric_Tonne_per_kWh_to_kg_per_Joules</v>
      </c>
      <c r="E617" s="3">
        <f>1000/3600000</f>
        <v>2.7777777777777778E-4</v>
      </c>
    </row>
    <row r="618" spans="1:5" x14ac:dyDescent="0.2">
      <c r="A618" s="1" t="s">
        <v>3</v>
      </c>
      <c r="B618" s="2" t="s">
        <v>120</v>
      </c>
      <c r="C618" s="2" t="s">
        <v>46</v>
      </c>
      <c r="D618" s="2" t="str">
        <f t="shared" ref="D618:D636" si="19">B618 &amp; "_to_" &amp; C618</f>
        <v>Metric_Tonne_per_kWh_to_kg_per_MWh</v>
      </c>
      <c r="E618" s="3">
        <f>1000/0.001</f>
        <v>1000000</v>
      </c>
    </row>
    <row r="619" spans="1:5" x14ac:dyDescent="0.2">
      <c r="A619" s="1" t="s">
        <v>3</v>
      </c>
      <c r="B619" s="2" t="s">
        <v>120</v>
      </c>
      <c r="C619" s="2" t="s">
        <v>47</v>
      </c>
      <c r="D619" s="2" t="str">
        <f t="shared" si="19"/>
        <v>Metric_Tonne_per_kWh_to_kg_per_kBtu</v>
      </c>
      <c r="E619" s="3">
        <f>1000/3.41214</f>
        <v>293.07121044271338</v>
      </c>
    </row>
    <row r="620" spans="1:5" x14ac:dyDescent="0.2">
      <c r="A620" s="1" t="s">
        <v>3</v>
      </c>
      <c r="B620" s="2" t="s">
        <v>120</v>
      </c>
      <c r="C620" s="2" t="s">
        <v>48</v>
      </c>
      <c r="D620" s="2" t="str">
        <f t="shared" si="19"/>
        <v>Metric_Tonne_per_kWh_to_kg_per_MMBtu</v>
      </c>
      <c r="E620" s="3">
        <f>1000/0.00341214</f>
        <v>293071.21044271335</v>
      </c>
    </row>
    <row r="621" spans="1:5" x14ac:dyDescent="0.2">
      <c r="A621" s="1" t="s">
        <v>3</v>
      </c>
      <c r="B621" s="2" t="s">
        <v>120</v>
      </c>
      <c r="C621" s="2" t="s">
        <v>49</v>
      </c>
      <c r="D621" s="2" t="str">
        <f t="shared" si="19"/>
        <v>Metric_Tonne_per_kWh_to_kg_per_therm</v>
      </c>
      <c r="E621" s="3">
        <f>1000/0.0341214</f>
        <v>29307.121044271335</v>
      </c>
    </row>
    <row r="622" spans="1:5" x14ac:dyDescent="0.2">
      <c r="A622" s="1" t="s">
        <v>3</v>
      </c>
      <c r="B622" s="2" t="s">
        <v>120</v>
      </c>
      <c r="C622" s="2" t="s">
        <v>45</v>
      </c>
      <c r="D622" s="2" t="str">
        <f t="shared" si="19"/>
        <v>Metric_Tonne_per_kWh_to_lb_per_Joules</v>
      </c>
      <c r="E622" s="3">
        <f>2204.62/3600000</f>
        <v>6.123944444444444E-4</v>
      </c>
    </row>
    <row r="623" spans="1:5" x14ac:dyDescent="0.2">
      <c r="A623" s="1" t="s">
        <v>3</v>
      </c>
      <c r="B623" s="2" t="s">
        <v>120</v>
      </c>
      <c r="C623" s="2" t="s">
        <v>40</v>
      </c>
      <c r="D623" s="2" t="str">
        <f t="shared" si="19"/>
        <v>Metric_Tonne_per_kWh_to_lb_per_MWh</v>
      </c>
      <c r="E623" s="3">
        <f>2204.62/0.001</f>
        <v>2204620</v>
      </c>
    </row>
    <row r="624" spans="1:5" x14ac:dyDescent="0.2">
      <c r="A624" s="1" t="s">
        <v>3</v>
      </c>
      <c r="B624" s="2" t="s">
        <v>120</v>
      </c>
      <c r="C624" s="2" t="s">
        <v>41</v>
      </c>
      <c r="D624" s="2" t="str">
        <f t="shared" si="19"/>
        <v>Metric_Tonne_per_kWh_to_lb_per_kBtu</v>
      </c>
      <c r="E624" s="3">
        <f>2204.62/3.41214</f>
        <v>646.11065196621473</v>
      </c>
    </row>
    <row r="625" spans="1:5" x14ac:dyDescent="0.2">
      <c r="A625" s="1" t="s">
        <v>3</v>
      </c>
      <c r="B625" s="2" t="s">
        <v>120</v>
      </c>
      <c r="C625" s="2" t="s">
        <v>42</v>
      </c>
      <c r="D625" s="2" t="str">
        <f t="shared" si="19"/>
        <v>Metric_Tonne_per_kWh_to_lb_per_MMBtu</v>
      </c>
      <c r="E625" s="3">
        <f>2204.62/0.00341214</f>
        <v>646110.65196621465</v>
      </c>
    </row>
    <row r="626" spans="1:5" x14ac:dyDescent="0.2">
      <c r="A626" s="1" t="s">
        <v>3</v>
      </c>
      <c r="B626" s="2" t="s">
        <v>120</v>
      </c>
      <c r="C626" s="2" t="s">
        <v>43</v>
      </c>
      <c r="D626" s="2" t="str">
        <f t="shared" si="19"/>
        <v>Metric_Tonne_per_kWh_to_lb_per_therm</v>
      </c>
      <c r="E626" s="3">
        <f>2204.62/0.0341214</f>
        <v>64611.065196621465</v>
      </c>
    </row>
    <row r="627" spans="1:5" x14ac:dyDescent="0.2">
      <c r="A627" s="1" t="s">
        <v>3</v>
      </c>
      <c r="B627" s="2" t="s">
        <v>120</v>
      </c>
      <c r="C627" s="2" t="s">
        <v>125</v>
      </c>
      <c r="D627" s="2" t="str">
        <f t="shared" si="19"/>
        <v>Metric_Tonne_per_kWh_to_US_Ton_per_Joules</v>
      </c>
      <c r="E627" s="3">
        <f>1.10231/3600000</f>
        <v>3.0619722222222217E-7</v>
      </c>
    </row>
    <row r="628" spans="1:5" x14ac:dyDescent="0.2">
      <c r="A628" s="1" t="s">
        <v>3</v>
      </c>
      <c r="B628" s="2" t="s">
        <v>120</v>
      </c>
      <c r="C628" s="2" t="s">
        <v>116</v>
      </c>
      <c r="D628" s="2" t="str">
        <f t="shared" si="19"/>
        <v>Metric_Tonne_per_kWh_to_US_Ton_per_MWh</v>
      </c>
      <c r="E628" s="3">
        <f>1.10231/0.001</f>
        <v>1102.31</v>
      </c>
    </row>
    <row r="629" spans="1:5" x14ac:dyDescent="0.2">
      <c r="A629" s="1" t="s">
        <v>3</v>
      </c>
      <c r="B629" s="2" t="s">
        <v>120</v>
      </c>
      <c r="C629" s="2" t="s">
        <v>117</v>
      </c>
      <c r="D629" s="2" t="str">
        <f t="shared" si="19"/>
        <v>Metric_Tonne_per_kWh_to_US_Ton_per_kBtu</v>
      </c>
      <c r="E629" s="3">
        <f>1.10231/3.41214</f>
        <v>0.32305532598310738</v>
      </c>
    </row>
    <row r="630" spans="1:5" x14ac:dyDescent="0.2">
      <c r="A630" s="1" t="s">
        <v>3</v>
      </c>
      <c r="B630" s="2" t="s">
        <v>120</v>
      </c>
      <c r="C630" s="2" t="s">
        <v>118</v>
      </c>
      <c r="D630" s="2" t="str">
        <f t="shared" si="19"/>
        <v>Metric_Tonne_per_kWh_to_US_Ton_per_MMBtu</v>
      </c>
      <c r="E630" s="3">
        <f>1.10231/0.00341214</f>
        <v>323.05532598310731</v>
      </c>
    </row>
    <row r="631" spans="1:5" x14ac:dyDescent="0.2">
      <c r="A631" s="1" t="s">
        <v>3</v>
      </c>
      <c r="B631" s="2" t="s">
        <v>120</v>
      </c>
      <c r="C631" s="2" t="s">
        <v>119</v>
      </c>
      <c r="D631" s="2" t="str">
        <f t="shared" si="19"/>
        <v>Metric_Tonne_per_kWh_to_US_Ton_per_therm</v>
      </c>
      <c r="E631" s="3">
        <f>1.10231/0.0341214</f>
        <v>32.305532598310734</v>
      </c>
    </row>
    <row r="632" spans="1:5" x14ac:dyDescent="0.2">
      <c r="A632" s="1" t="s">
        <v>3</v>
      </c>
      <c r="B632" s="2" t="s">
        <v>121</v>
      </c>
      <c r="C632" s="2" t="s">
        <v>38</v>
      </c>
      <c r="D632" s="2" t="str">
        <f t="shared" si="19"/>
        <v>Metric_Tonne_per_MWh_to_kg_per_Joules</v>
      </c>
      <c r="E632" s="3">
        <f>1000/3600000000</f>
        <v>2.7777777777777776E-7</v>
      </c>
    </row>
    <row r="633" spans="1:5" x14ac:dyDescent="0.2">
      <c r="A633" s="1" t="s">
        <v>3</v>
      </c>
      <c r="B633" s="2" t="s">
        <v>121</v>
      </c>
      <c r="C633" s="2" t="s">
        <v>47</v>
      </c>
      <c r="D633" s="2" t="str">
        <f t="shared" si="19"/>
        <v>Metric_Tonne_per_MWh_to_kg_per_kBtu</v>
      </c>
      <c r="E633" s="3">
        <f>1000/3412.14</f>
        <v>0.29307121044271339</v>
      </c>
    </row>
    <row r="634" spans="1:5" x14ac:dyDescent="0.2">
      <c r="A634" s="1" t="s">
        <v>3</v>
      </c>
      <c r="B634" s="2" t="s">
        <v>121</v>
      </c>
      <c r="C634" s="2" t="s">
        <v>48</v>
      </c>
      <c r="D634" s="2" t="str">
        <f t="shared" si="19"/>
        <v>Metric_Tonne_per_MWh_to_kg_per_MMBtu</v>
      </c>
      <c r="E634" s="3">
        <f>1000/3.41214</f>
        <v>293.07121044271338</v>
      </c>
    </row>
    <row r="635" spans="1:5" x14ac:dyDescent="0.2">
      <c r="A635" s="1" t="s">
        <v>3</v>
      </c>
      <c r="B635" s="2" t="s">
        <v>121</v>
      </c>
      <c r="C635" s="2" t="s">
        <v>49</v>
      </c>
      <c r="D635" s="2" t="str">
        <f t="shared" si="19"/>
        <v>Metric_Tonne_per_MWh_to_kg_per_therm</v>
      </c>
      <c r="E635" s="3">
        <f>1000/34.1214</f>
        <v>29.307121044271337</v>
      </c>
    </row>
    <row r="636" spans="1:5" x14ac:dyDescent="0.2">
      <c r="A636" s="1" t="s">
        <v>3</v>
      </c>
      <c r="B636" s="2" t="s">
        <v>121</v>
      </c>
      <c r="C636" s="2" t="s">
        <v>45</v>
      </c>
      <c r="D636" s="2" t="str">
        <f t="shared" si="19"/>
        <v>Metric_Tonne_per_MWh_to_lb_per_Joules</v>
      </c>
      <c r="E636" s="3">
        <f>2204.62/3600000000</f>
        <v>6.1239444444444445E-7</v>
      </c>
    </row>
    <row r="637" spans="1:5" x14ac:dyDescent="0.2">
      <c r="A637" s="1" t="s">
        <v>3</v>
      </c>
      <c r="B637" s="2" t="s">
        <v>121</v>
      </c>
      <c r="C637" s="2" t="s">
        <v>39</v>
      </c>
      <c r="D637" s="2" t="str">
        <f t="shared" si="18"/>
        <v>Metric_Tonne_per_MWh_to_lb_per_kWh</v>
      </c>
      <c r="E637" s="3">
        <f>2204.62/1000</f>
        <v>2.2046199999999998</v>
      </c>
    </row>
    <row r="638" spans="1:5" x14ac:dyDescent="0.2">
      <c r="A638" s="1" t="s">
        <v>3</v>
      </c>
      <c r="B638" s="2" t="s">
        <v>121</v>
      </c>
      <c r="C638" s="2" t="s">
        <v>41</v>
      </c>
      <c r="D638" s="2" t="str">
        <f t="shared" si="18"/>
        <v>Metric_Tonne_per_MWh_to_lb_per_kBtu</v>
      </c>
      <c r="E638" s="3">
        <f>2204.62/3412.14</f>
        <v>0.64611065196621476</v>
      </c>
    </row>
    <row r="639" spans="1:5" x14ac:dyDescent="0.2">
      <c r="A639" s="1" t="s">
        <v>3</v>
      </c>
      <c r="B639" s="2" t="s">
        <v>121</v>
      </c>
      <c r="C639" s="2" t="s">
        <v>42</v>
      </c>
      <c r="D639" s="2" t="str">
        <f>B639 &amp; "_to_" &amp; C639</f>
        <v>Metric_Tonne_per_MWh_to_lb_per_MMBtu</v>
      </c>
      <c r="E639" s="3">
        <f>2204.62/3.41214</f>
        <v>646.11065196621473</v>
      </c>
    </row>
    <row r="640" spans="1:5" x14ac:dyDescent="0.2">
      <c r="A640" s="1" t="s">
        <v>3</v>
      </c>
      <c r="B640" s="2" t="s">
        <v>121</v>
      </c>
      <c r="C640" s="2" t="s">
        <v>43</v>
      </c>
      <c r="D640" s="2" t="str">
        <f>B640 &amp; "_to_" &amp; C640</f>
        <v>Metric_Tonne_per_MWh_to_lb_per_therm</v>
      </c>
      <c r="E640" s="3">
        <f>2204.62/34.1214</f>
        <v>64.611065196621468</v>
      </c>
    </row>
    <row r="641" spans="1:5" x14ac:dyDescent="0.2">
      <c r="A641" s="1" t="s">
        <v>3</v>
      </c>
      <c r="B641" s="2" t="s">
        <v>121</v>
      </c>
      <c r="C641" s="2" t="s">
        <v>125</v>
      </c>
      <c r="D641" s="2" t="str">
        <f t="shared" ref="D641:D702" si="20">B641 &amp; "_to_" &amp; C641</f>
        <v>Metric_Tonne_per_MWh_to_US_Ton_per_Joules</v>
      </c>
      <c r="E641" s="3">
        <f>1.10231/3600000000</f>
        <v>3.0619722222222217E-10</v>
      </c>
    </row>
    <row r="642" spans="1:5" x14ac:dyDescent="0.2">
      <c r="A642" s="1" t="s">
        <v>3</v>
      </c>
      <c r="B642" s="2" t="s">
        <v>121</v>
      </c>
      <c r="C642" s="2" t="s">
        <v>115</v>
      </c>
      <c r="D642" s="2" t="str">
        <f t="shared" si="20"/>
        <v>Metric_Tonne_per_MWh_to_US_Ton_per_kWh</v>
      </c>
      <c r="E642" s="3">
        <f>1.10231/1000</f>
        <v>1.10231E-3</v>
      </c>
    </row>
    <row r="643" spans="1:5" x14ac:dyDescent="0.2">
      <c r="A643" s="1" t="s">
        <v>3</v>
      </c>
      <c r="B643" s="2" t="s">
        <v>121</v>
      </c>
      <c r="C643" s="2" t="s">
        <v>117</v>
      </c>
      <c r="D643" s="2" t="str">
        <f t="shared" si="20"/>
        <v>Metric_Tonne_per_MWh_to_US_Ton_per_kBtu</v>
      </c>
      <c r="E643" s="3">
        <f>1.10231/3412.14</f>
        <v>3.2305532598310736E-4</v>
      </c>
    </row>
    <row r="644" spans="1:5" x14ac:dyDescent="0.2">
      <c r="A644" s="1" t="s">
        <v>3</v>
      </c>
      <c r="B644" s="2" t="s">
        <v>121</v>
      </c>
      <c r="C644" s="2" t="s">
        <v>118</v>
      </c>
      <c r="D644" s="2" t="str">
        <f t="shared" si="20"/>
        <v>Metric_Tonne_per_MWh_to_US_Ton_per_MMBtu</v>
      </c>
      <c r="E644" s="3">
        <f>1.10231/3.41214</f>
        <v>0.32305532598310738</v>
      </c>
    </row>
    <row r="645" spans="1:5" x14ac:dyDescent="0.2">
      <c r="A645" s="1" t="s">
        <v>3</v>
      </c>
      <c r="B645" s="2" t="s">
        <v>121</v>
      </c>
      <c r="C645" s="2" t="s">
        <v>119</v>
      </c>
      <c r="D645" s="2" t="str">
        <f t="shared" si="20"/>
        <v>Metric_Tonne_per_MWh_to_US_Ton_per_therm</v>
      </c>
      <c r="E645" s="3">
        <f>1.10231/34.1214</f>
        <v>3.2305532598310732E-2</v>
      </c>
    </row>
    <row r="646" spans="1:5" x14ac:dyDescent="0.2">
      <c r="A646" s="1" t="s">
        <v>3</v>
      </c>
      <c r="B646" s="2" t="s">
        <v>122</v>
      </c>
      <c r="C646" s="2" t="s">
        <v>38</v>
      </c>
      <c r="D646" s="2" t="str">
        <f t="shared" si="20"/>
        <v>Metric_Tonne_per_kBtu_to_kg_per_Joules</v>
      </c>
      <c r="E646" s="3">
        <f>1000/1055.06</f>
        <v>0.94781339449889113</v>
      </c>
    </row>
    <row r="647" spans="1:5" x14ac:dyDescent="0.2">
      <c r="A647" s="1" t="s">
        <v>3</v>
      </c>
      <c r="B647" s="2" t="s">
        <v>122</v>
      </c>
      <c r="C647" s="2" t="s">
        <v>44</v>
      </c>
      <c r="D647" s="2" t="str">
        <f t="shared" si="20"/>
        <v>Metric_Tonne_per_kBtu_to_kg_per_kWh</v>
      </c>
      <c r="E647" s="3">
        <f>1000/0.293071</f>
        <v>3412.1424501230076</v>
      </c>
    </row>
    <row r="648" spans="1:5" x14ac:dyDescent="0.2">
      <c r="A648" s="1" t="s">
        <v>3</v>
      </c>
      <c r="B648" s="2" t="s">
        <v>122</v>
      </c>
      <c r="C648" s="2" t="s">
        <v>46</v>
      </c>
      <c r="D648" s="2" t="str">
        <f t="shared" si="20"/>
        <v>Metric_Tonne_per_kBtu_to_kg_per_MWh</v>
      </c>
      <c r="E648" s="3">
        <f>1000/0.000293071</f>
        <v>3412142.4501230079</v>
      </c>
    </row>
    <row r="649" spans="1:5" x14ac:dyDescent="0.2">
      <c r="A649" s="1" t="s">
        <v>3</v>
      </c>
      <c r="B649" s="2" t="s">
        <v>122</v>
      </c>
      <c r="C649" s="2" t="s">
        <v>48</v>
      </c>
      <c r="D649" s="2" t="str">
        <f>B649 &amp; "_to_" &amp; C649</f>
        <v>Metric_Tonne_per_kBtu_to_kg_per_MMBtu</v>
      </c>
      <c r="E649" s="3">
        <f>1000/0.001</f>
        <v>1000000</v>
      </c>
    </row>
    <row r="650" spans="1:5" x14ac:dyDescent="0.2">
      <c r="A650" s="1" t="s">
        <v>3</v>
      </c>
      <c r="B650" s="2" t="s">
        <v>122</v>
      </c>
      <c r="C650" s="2" t="s">
        <v>49</v>
      </c>
      <c r="D650" s="2" t="str">
        <f>B650 &amp; "_to_" &amp; C650</f>
        <v>Metric_Tonne_per_kBtu_to_kg_per_therm</v>
      </c>
      <c r="E650" s="3">
        <f>1000/0.01</f>
        <v>100000</v>
      </c>
    </row>
    <row r="651" spans="1:5" x14ac:dyDescent="0.2">
      <c r="A651" s="1" t="s">
        <v>3</v>
      </c>
      <c r="B651" s="2" t="s">
        <v>122</v>
      </c>
      <c r="C651" s="2" t="s">
        <v>45</v>
      </c>
      <c r="D651" s="2" t="str">
        <f t="shared" si="20"/>
        <v>Metric_Tonne_per_kBtu_to_lb_per_Joules</v>
      </c>
      <c r="E651" s="3">
        <f>2204.62/1055.06</f>
        <v>2.0895683657801452</v>
      </c>
    </row>
    <row r="652" spans="1:5" x14ac:dyDescent="0.2">
      <c r="A652" s="1" t="s">
        <v>3</v>
      </c>
      <c r="B652" s="2" t="s">
        <v>122</v>
      </c>
      <c r="C652" s="2" t="s">
        <v>39</v>
      </c>
      <c r="D652" s="2" t="str">
        <f t="shared" si="20"/>
        <v>Metric_Tonne_per_kBtu_to_lb_per_kWh</v>
      </c>
      <c r="E652" s="3">
        <f>2204.62/0.293071</f>
        <v>7522.4774883901846</v>
      </c>
    </row>
    <row r="653" spans="1:5" x14ac:dyDescent="0.2">
      <c r="A653" s="1" t="s">
        <v>3</v>
      </c>
      <c r="B653" s="2" t="s">
        <v>122</v>
      </c>
      <c r="C653" s="2" t="s">
        <v>40</v>
      </c>
      <c r="D653" s="2" t="str">
        <f t="shared" si="20"/>
        <v>Metric_Tonne_per_kBtu_to_lb_per_MWh</v>
      </c>
      <c r="E653" s="3">
        <f>2204.62/0.000293071</f>
        <v>7522477.4883901849</v>
      </c>
    </row>
    <row r="654" spans="1:5" x14ac:dyDescent="0.2">
      <c r="A654" s="1" t="s">
        <v>3</v>
      </c>
      <c r="B654" s="2" t="s">
        <v>122</v>
      </c>
      <c r="C654" s="2" t="s">
        <v>42</v>
      </c>
      <c r="D654" s="2" t="str">
        <f t="shared" si="20"/>
        <v>Metric_Tonne_per_kBtu_to_lb_per_MMBtu</v>
      </c>
      <c r="E654" s="3">
        <f>2204.62/0.001</f>
        <v>2204620</v>
      </c>
    </row>
    <row r="655" spans="1:5" x14ac:dyDescent="0.2">
      <c r="A655" s="1" t="s">
        <v>3</v>
      </c>
      <c r="B655" s="2" t="s">
        <v>122</v>
      </c>
      <c r="C655" s="2" t="s">
        <v>43</v>
      </c>
      <c r="D655" s="2" t="str">
        <f t="shared" si="20"/>
        <v>Metric_Tonne_per_kBtu_to_lb_per_therm</v>
      </c>
      <c r="E655" s="3">
        <f>2204.62/0.01</f>
        <v>220461.99999999997</v>
      </c>
    </row>
    <row r="656" spans="1:5" x14ac:dyDescent="0.2">
      <c r="A656" s="1" t="s">
        <v>3</v>
      </c>
      <c r="B656" s="2" t="s">
        <v>122</v>
      </c>
      <c r="C656" s="2" t="s">
        <v>125</v>
      </c>
      <c r="D656" s="2" t="str">
        <f t="shared" si="20"/>
        <v>Metric_Tonne_per_kBtu_to_US_Ton_per_Joules</v>
      </c>
      <c r="E656" s="3">
        <f>1.10231/1055.06</f>
        <v>1.0447841828900727E-3</v>
      </c>
    </row>
    <row r="657" spans="1:5" x14ac:dyDescent="0.2">
      <c r="A657" s="1" t="s">
        <v>3</v>
      </c>
      <c r="B657" s="2" t="s">
        <v>122</v>
      </c>
      <c r="C657" s="2" t="s">
        <v>115</v>
      </c>
      <c r="D657" s="2" t="str">
        <f t="shared" si="20"/>
        <v>Metric_Tonne_per_kBtu_to_US_Ton_per_kWh</v>
      </c>
      <c r="E657" s="3">
        <f>1.10231/0.293071</f>
        <v>3.7612387441950919</v>
      </c>
    </row>
    <row r="658" spans="1:5" x14ac:dyDescent="0.2">
      <c r="A658" s="1" t="s">
        <v>3</v>
      </c>
      <c r="B658" s="2" t="s">
        <v>122</v>
      </c>
      <c r="C658" s="2" t="s">
        <v>116</v>
      </c>
      <c r="D658" s="2" t="str">
        <f t="shared" si="20"/>
        <v>Metric_Tonne_per_kBtu_to_US_Ton_per_MWh</v>
      </c>
      <c r="E658" s="3">
        <f>1.10231/0.000293071</f>
        <v>3761.2387441950923</v>
      </c>
    </row>
    <row r="659" spans="1:5" x14ac:dyDescent="0.2">
      <c r="A659" s="1" t="s">
        <v>3</v>
      </c>
      <c r="B659" s="2" t="s">
        <v>122</v>
      </c>
      <c r="C659" s="2" t="s">
        <v>118</v>
      </c>
      <c r="D659" s="2" t="str">
        <f>B659 &amp; "_to_" &amp; C659</f>
        <v>Metric_Tonne_per_kBtu_to_US_Ton_per_MMBtu</v>
      </c>
      <c r="E659" s="3">
        <f>1.10231/0.001</f>
        <v>1102.31</v>
      </c>
    </row>
    <row r="660" spans="1:5" x14ac:dyDescent="0.2">
      <c r="A660" s="1" t="s">
        <v>3</v>
      </c>
      <c r="B660" s="2" t="s">
        <v>122</v>
      </c>
      <c r="C660" s="2" t="s">
        <v>119</v>
      </c>
      <c r="D660" s="2" t="str">
        <f>B660 &amp; "_to_" &amp; C660</f>
        <v>Metric_Tonne_per_kBtu_to_US_Ton_per_therm</v>
      </c>
      <c r="E660" s="3">
        <f>1.10231/0.01</f>
        <v>110.23099999999999</v>
      </c>
    </row>
    <row r="661" spans="1:5" x14ac:dyDescent="0.2">
      <c r="A661" s="1" t="s">
        <v>3</v>
      </c>
      <c r="B661" s="2" t="s">
        <v>123</v>
      </c>
      <c r="C661" s="2" t="s">
        <v>38</v>
      </c>
      <c r="D661" s="2" t="str">
        <f t="shared" si="20"/>
        <v>Metric_Tonne_per_MMBtu_to_kg_per_Joules</v>
      </c>
      <c r="E661" s="3">
        <f>1000/1055060000</f>
        <v>9.4781339449889102E-7</v>
      </c>
    </row>
    <row r="662" spans="1:5" x14ac:dyDescent="0.2">
      <c r="A662" s="1" t="s">
        <v>3</v>
      </c>
      <c r="B662" s="2" t="s">
        <v>123</v>
      </c>
      <c r="C662" s="2" t="s">
        <v>44</v>
      </c>
      <c r="D662" s="2" t="str">
        <f t="shared" si="20"/>
        <v>Metric_Tonne_per_MMBtu_to_kg_per_kWh</v>
      </c>
      <c r="E662" s="3">
        <f>1000/293.071</f>
        <v>3.4121424501230075</v>
      </c>
    </row>
    <row r="663" spans="1:5" x14ac:dyDescent="0.2">
      <c r="A663" s="1" t="s">
        <v>3</v>
      </c>
      <c r="B663" s="2" t="s">
        <v>123</v>
      </c>
      <c r="C663" s="2" t="s">
        <v>46</v>
      </c>
      <c r="D663" s="2" t="str">
        <f t="shared" si="20"/>
        <v>Metric_Tonne_per_MMBtu_to_kg_per_MWh</v>
      </c>
      <c r="E663" s="3">
        <f>1000/0.293071</f>
        <v>3412.1424501230076</v>
      </c>
    </row>
    <row r="664" spans="1:5" x14ac:dyDescent="0.2">
      <c r="A664" s="1" t="s">
        <v>3</v>
      </c>
      <c r="B664" s="2" t="s">
        <v>123</v>
      </c>
      <c r="C664" s="2" t="s">
        <v>49</v>
      </c>
      <c r="D664" s="2" t="str">
        <f t="shared" si="20"/>
        <v>Metric_Tonne_per_MMBtu_to_kg_per_therm</v>
      </c>
      <c r="E664" s="3">
        <f>1000/10</f>
        <v>100</v>
      </c>
    </row>
    <row r="665" spans="1:5" x14ac:dyDescent="0.2">
      <c r="A665" s="1" t="s">
        <v>3</v>
      </c>
      <c r="B665" s="2" t="s">
        <v>123</v>
      </c>
      <c r="C665" s="2" t="s">
        <v>45</v>
      </c>
      <c r="D665" s="2" t="str">
        <f t="shared" si="20"/>
        <v>Metric_Tonne_per_MMBtu_to_lb_per_Joules</v>
      </c>
      <c r="E665" s="3">
        <f>2204.62/1055060000</f>
        <v>2.0895683657801451E-6</v>
      </c>
    </row>
    <row r="666" spans="1:5" x14ac:dyDescent="0.2">
      <c r="A666" s="1" t="s">
        <v>3</v>
      </c>
      <c r="B666" s="2" t="s">
        <v>123</v>
      </c>
      <c r="C666" s="2" t="s">
        <v>39</v>
      </c>
      <c r="D666" s="2" t="str">
        <f t="shared" si="20"/>
        <v>Metric_Tonne_per_MMBtu_to_lb_per_kWh</v>
      </c>
      <c r="E666" s="3">
        <f>2204.62/293.071</f>
        <v>7.5224774883901846</v>
      </c>
    </row>
    <row r="667" spans="1:5" x14ac:dyDescent="0.2">
      <c r="A667" s="1" t="s">
        <v>3</v>
      </c>
      <c r="B667" s="2" t="s">
        <v>123</v>
      </c>
      <c r="C667" s="2" t="s">
        <v>40</v>
      </c>
      <c r="D667" s="2" t="str">
        <f t="shared" si="20"/>
        <v>Metric_Tonne_per_MMBtu_to_lb_per_MWh</v>
      </c>
      <c r="E667" s="3">
        <f>2204.62/0.293071</f>
        <v>7522.4774883901846</v>
      </c>
    </row>
    <row r="668" spans="1:5" x14ac:dyDescent="0.2">
      <c r="A668" s="1" t="s">
        <v>3</v>
      </c>
      <c r="B668" s="2" t="s">
        <v>123</v>
      </c>
      <c r="C668" s="2" t="s">
        <v>41</v>
      </c>
      <c r="D668" s="2" t="str">
        <f>B668 &amp; "_to_" &amp; C668</f>
        <v>Metric_Tonne_per_MMBtu_to_lb_per_kBtu</v>
      </c>
      <c r="E668" s="3">
        <f>2204.62/1000</f>
        <v>2.2046199999999998</v>
      </c>
    </row>
    <row r="669" spans="1:5" x14ac:dyDescent="0.2">
      <c r="A669" s="1" t="s">
        <v>3</v>
      </c>
      <c r="B669" s="2" t="s">
        <v>123</v>
      </c>
      <c r="C669" s="2" t="s">
        <v>43</v>
      </c>
      <c r="D669" s="2" t="str">
        <f>B669 &amp; "_to_" &amp; C669</f>
        <v>Metric_Tonne_per_MMBtu_to_lb_per_therm</v>
      </c>
      <c r="E669" s="3">
        <f>2204.62/10</f>
        <v>220.46199999999999</v>
      </c>
    </row>
    <row r="670" spans="1:5" x14ac:dyDescent="0.2">
      <c r="A670" s="1" t="s">
        <v>3</v>
      </c>
      <c r="B670" s="2" t="s">
        <v>123</v>
      </c>
      <c r="C670" s="2" t="s">
        <v>125</v>
      </c>
      <c r="D670" s="2" t="str">
        <f t="shared" si="20"/>
        <v>Metric_Tonne_per_MMBtu_to_US_Ton_per_Joules</v>
      </c>
      <c r="E670" s="3">
        <f>1.10231/1055060000</f>
        <v>1.0447841828900725E-9</v>
      </c>
    </row>
    <row r="671" spans="1:5" x14ac:dyDescent="0.2">
      <c r="A671" s="1" t="s">
        <v>3</v>
      </c>
      <c r="B671" s="2" t="s">
        <v>123</v>
      </c>
      <c r="C671" s="2" t="s">
        <v>115</v>
      </c>
      <c r="D671" s="2" t="str">
        <f t="shared" si="20"/>
        <v>Metric_Tonne_per_MMBtu_to_US_Ton_per_kWh</v>
      </c>
      <c r="E671" s="3">
        <f>1.10231/293.071</f>
        <v>3.7612387441950919E-3</v>
      </c>
    </row>
    <row r="672" spans="1:5" x14ac:dyDescent="0.2">
      <c r="A672" s="1" t="s">
        <v>3</v>
      </c>
      <c r="B672" s="2" t="s">
        <v>123</v>
      </c>
      <c r="C672" s="2" t="s">
        <v>116</v>
      </c>
      <c r="D672" s="2" t="str">
        <f t="shared" si="20"/>
        <v>Metric_Tonne_per_MMBtu_to_US_Ton_per_MWh</v>
      </c>
      <c r="E672" s="3">
        <f>1.10231/0.293071</f>
        <v>3.7612387441950919</v>
      </c>
    </row>
    <row r="673" spans="1:5" x14ac:dyDescent="0.2">
      <c r="A673" s="1" t="s">
        <v>3</v>
      </c>
      <c r="B673" s="2" t="s">
        <v>123</v>
      </c>
      <c r="C673" s="2" t="s">
        <v>117</v>
      </c>
      <c r="D673" s="2" t="str">
        <f t="shared" si="20"/>
        <v>Metric_Tonne_per_MMBtu_to_US_Ton_per_kBtu</v>
      </c>
      <c r="E673" s="3">
        <f>1.10231/1000</f>
        <v>1.10231E-3</v>
      </c>
    </row>
    <row r="674" spans="1:5" x14ac:dyDescent="0.2">
      <c r="A674" s="1" t="s">
        <v>3</v>
      </c>
      <c r="B674" s="2" t="s">
        <v>123</v>
      </c>
      <c r="C674" s="2" t="s">
        <v>119</v>
      </c>
      <c r="D674" s="2" t="str">
        <f t="shared" si="20"/>
        <v>Metric_Tonne_per_MMBtu_to_US_Ton_per_therm</v>
      </c>
      <c r="E674" s="3">
        <f>1.10231/10</f>
        <v>0.110231</v>
      </c>
    </row>
    <row r="675" spans="1:5" x14ac:dyDescent="0.2">
      <c r="A675" s="1" t="s">
        <v>3</v>
      </c>
      <c r="B675" s="2" t="s">
        <v>124</v>
      </c>
      <c r="C675" s="2" t="s">
        <v>38</v>
      </c>
      <c r="D675" s="2" t="str">
        <f t="shared" si="20"/>
        <v>Metric_Tonne_per_therm_to_kg_per_Joules</v>
      </c>
      <c r="E675" s="3">
        <f>1000/105480</f>
        <v>9.4804702313234738E-3</v>
      </c>
    </row>
    <row r="676" spans="1:5" x14ac:dyDescent="0.2">
      <c r="A676" s="1" t="s">
        <v>3</v>
      </c>
      <c r="B676" s="2" t="s">
        <v>124</v>
      </c>
      <c r="C676" s="2" t="s">
        <v>44</v>
      </c>
      <c r="D676" s="2" t="str">
        <f t="shared" si="20"/>
        <v>Metric_Tonne_per_therm_to_kg_per_kWh</v>
      </c>
      <c r="E676" s="3">
        <f>1000/29.3071</f>
        <v>34.121424501230081</v>
      </c>
    </row>
    <row r="677" spans="1:5" x14ac:dyDescent="0.2">
      <c r="A677" s="1" t="s">
        <v>3</v>
      </c>
      <c r="B677" s="2" t="s">
        <v>124</v>
      </c>
      <c r="C677" s="2" t="s">
        <v>46</v>
      </c>
      <c r="D677" s="2" t="str">
        <f t="shared" si="20"/>
        <v>Metric_Tonne_per_therm_to_kg_per_MWh</v>
      </c>
      <c r="E677" s="3">
        <f>1000/0.0293071</f>
        <v>34121.424501230082</v>
      </c>
    </row>
    <row r="678" spans="1:5" x14ac:dyDescent="0.2">
      <c r="A678" s="1" t="s">
        <v>3</v>
      </c>
      <c r="B678" s="2" t="s">
        <v>124</v>
      </c>
      <c r="C678" s="2" t="s">
        <v>47</v>
      </c>
      <c r="D678" s="2" t="str">
        <f>B678 &amp; "_to_" &amp; C678</f>
        <v>Metric_Tonne_per_therm_to_kg_per_kBtu</v>
      </c>
      <c r="E678" s="3">
        <f>1000/100</f>
        <v>10</v>
      </c>
    </row>
    <row r="679" spans="1:5" x14ac:dyDescent="0.2">
      <c r="A679" s="1" t="s">
        <v>3</v>
      </c>
      <c r="B679" s="2" t="s">
        <v>124</v>
      </c>
      <c r="C679" s="2" t="s">
        <v>48</v>
      </c>
      <c r="D679" s="2" t="str">
        <f>B679 &amp; "_to_" &amp; C679</f>
        <v>Metric_Tonne_per_therm_to_kg_per_MMBtu</v>
      </c>
      <c r="E679" s="3">
        <f>1000/0.1</f>
        <v>10000</v>
      </c>
    </row>
    <row r="680" spans="1:5" x14ac:dyDescent="0.2">
      <c r="A680" s="1" t="s">
        <v>3</v>
      </c>
      <c r="B680" s="2" t="s">
        <v>124</v>
      </c>
      <c r="C680" s="2" t="s">
        <v>45</v>
      </c>
      <c r="D680" s="2" t="str">
        <f t="shared" si="20"/>
        <v>Metric_Tonne_per_therm_to_lb_per_Joules</v>
      </c>
      <c r="E680" s="3">
        <f>2204.62/105480</f>
        <v>2.0900834281380357E-2</v>
      </c>
    </row>
    <row r="681" spans="1:5" x14ac:dyDescent="0.2">
      <c r="A681" s="1" t="s">
        <v>3</v>
      </c>
      <c r="B681" s="2" t="s">
        <v>124</v>
      </c>
      <c r="C681" s="2" t="s">
        <v>39</v>
      </c>
      <c r="D681" s="2" t="str">
        <f t="shared" si="20"/>
        <v>Metric_Tonne_per_therm_to_lb_per_kWh</v>
      </c>
      <c r="E681" s="3">
        <f>2204.62/29.3071</f>
        <v>75.224774883901858</v>
      </c>
    </row>
    <row r="682" spans="1:5" x14ac:dyDescent="0.2">
      <c r="A682" s="1" t="s">
        <v>3</v>
      </c>
      <c r="B682" s="2" t="s">
        <v>124</v>
      </c>
      <c r="C682" s="2" t="s">
        <v>40</v>
      </c>
      <c r="D682" s="2" t="str">
        <f t="shared" si="20"/>
        <v>Metric_Tonne_per_therm_to_lb_per_MWh</v>
      </c>
      <c r="E682" s="3">
        <f>2204.62/0.0293071</f>
        <v>75224.774883901846</v>
      </c>
    </row>
    <row r="683" spans="1:5" x14ac:dyDescent="0.2">
      <c r="A683" s="1" t="s">
        <v>3</v>
      </c>
      <c r="B683" s="2" t="s">
        <v>124</v>
      </c>
      <c r="C683" s="2" t="s">
        <v>41</v>
      </c>
      <c r="D683" s="2" t="str">
        <f t="shared" si="20"/>
        <v>Metric_Tonne_per_therm_to_lb_per_kBtu</v>
      </c>
      <c r="E683" s="3">
        <f>2204.62/100</f>
        <v>22.046199999999999</v>
      </c>
    </row>
    <row r="684" spans="1:5" x14ac:dyDescent="0.2">
      <c r="A684" s="1" t="s">
        <v>3</v>
      </c>
      <c r="B684" s="2" t="s">
        <v>124</v>
      </c>
      <c r="C684" s="2" t="s">
        <v>42</v>
      </c>
      <c r="D684" s="2" t="str">
        <f t="shared" si="20"/>
        <v>Metric_Tonne_per_therm_to_lb_per_MMBtu</v>
      </c>
      <c r="E684" s="3">
        <f>2204.62/0.1</f>
        <v>22046.199999999997</v>
      </c>
    </row>
    <row r="685" spans="1:5" x14ac:dyDescent="0.2">
      <c r="A685" s="1" t="s">
        <v>3</v>
      </c>
      <c r="B685" s="2" t="s">
        <v>124</v>
      </c>
      <c r="C685" s="2" t="s">
        <v>125</v>
      </c>
      <c r="D685" s="2" t="str">
        <f t="shared" si="20"/>
        <v>Metric_Tonne_per_therm_to_US_Ton_per_Joules</v>
      </c>
      <c r="E685" s="3">
        <f>1.10231/105480</f>
        <v>1.0450417140690178E-5</v>
      </c>
    </row>
    <row r="686" spans="1:5" x14ac:dyDescent="0.2">
      <c r="A686" s="1" t="s">
        <v>3</v>
      </c>
      <c r="B686" s="2" t="s">
        <v>124</v>
      </c>
      <c r="C686" s="2" t="s">
        <v>115</v>
      </c>
      <c r="D686" s="2" t="str">
        <f t="shared" si="20"/>
        <v>Metric_Tonne_per_therm_to_US_Ton_per_kWh</v>
      </c>
      <c r="E686" s="3">
        <f>1.10231/29.3071</f>
        <v>3.7612387441950924E-2</v>
      </c>
    </row>
    <row r="687" spans="1:5" x14ac:dyDescent="0.2">
      <c r="A687" s="1" t="s">
        <v>3</v>
      </c>
      <c r="B687" s="2" t="s">
        <v>124</v>
      </c>
      <c r="C687" s="2" t="s">
        <v>116</v>
      </c>
      <c r="D687" s="2" t="str">
        <f t="shared" si="20"/>
        <v>Metric_Tonne_per_therm_to_US_Ton_per_MWh</v>
      </c>
      <c r="E687" s="3">
        <f>1.10231/0.0293071</f>
        <v>37.612387441950922</v>
      </c>
    </row>
    <row r="688" spans="1:5" x14ac:dyDescent="0.2">
      <c r="A688" s="1" t="s">
        <v>3</v>
      </c>
      <c r="B688" s="2" t="s">
        <v>124</v>
      </c>
      <c r="C688" s="2" t="s">
        <v>117</v>
      </c>
      <c r="D688" s="2" t="str">
        <f>B688 &amp; "_to_" &amp; C688</f>
        <v>Metric_Tonne_per_therm_to_US_Ton_per_kBtu</v>
      </c>
      <c r="E688" s="3">
        <f>1.10231/100</f>
        <v>1.1023099999999999E-2</v>
      </c>
    </row>
    <row r="689" spans="1:5" x14ac:dyDescent="0.2">
      <c r="A689" s="1" t="s">
        <v>3</v>
      </c>
      <c r="B689" s="2" t="s">
        <v>124</v>
      </c>
      <c r="C689" s="2" t="s">
        <v>118</v>
      </c>
      <c r="D689" s="2" t="str">
        <f>B689 &amp; "_to_" &amp; C689</f>
        <v>Metric_Tonne_per_therm_to_US_Ton_per_MMBtu</v>
      </c>
      <c r="E689" s="3">
        <f>1.10231/0.1</f>
        <v>11.023099999999998</v>
      </c>
    </row>
    <row r="690" spans="1:5" x14ac:dyDescent="0.2">
      <c r="A690" s="1" t="s">
        <v>26</v>
      </c>
      <c r="B690" s="2" t="s">
        <v>86</v>
      </c>
      <c r="C690" s="2" t="s">
        <v>50</v>
      </c>
      <c r="D690" s="2" t="str">
        <f t="shared" si="20"/>
        <v>Joules_per_ft3_to_kWh_per_CCF</v>
      </c>
      <c r="E690" s="3">
        <f>0.000000277778/0.01</f>
        <v>2.7777799999999997E-5</v>
      </c>
    </row>
    <row r="691" spans="1:5" x14ac:dyDescent="0.2">
      <c r="A691" s="1" t="s">
        <v>26</v>
      </c>
      <c r="B691" s="2" t="s">
        <v>86</v>
      </c>
      <c r="C691" s="2" t="s">
        <v>87</v>
      </c>
      <c r="D691" s="2" t="str">
        <f t="shared" si="20"/>
        <v>Joules_per_ft3_to_kWh_per_m3</v>
      </c>
      <c r="E691" s="3">
        <f>0.000000277778/0.0283168</f>
        <v>9.8096536331788901E-6</v>
      </c>
    </row>
    <row r="692" spans="1:5" x14ac:dyDescent="0.2">
      <c r="A692" s="1" t="s">
        <v>26</v>
      </c>
      <c r="B692" s="2" t="s">
        <v>86</v>
      </c>
      <c r="C692" s="2" t="s">
        <v>127</v>
      </c>
      <c r="D692" s="2" t="str">
        <f t="shared" si="20"/>
        <v>Joules_per_ft3_to_kWh_per_US_Gal</v>
      </c>
      <c r="E692" s="3">
        <f>0.000000277778/7.48052</f>
        <v>3.7133514782394802E-8</v>
      </c>
    </row>
    <row r="693" spans="1:5" x14ac:dyDescent="0.2">
      <c r="A693" s="1" t="s">
        <v>26</v>
      </c>
      <c r="B693" s="2" t="s">
        <v>86</v>
      </c>
      <c r="C693" s="2" t="s">
        <v>51</v>
      </c>
      <c r="D693" s="2" t="str">
        <f t="shared" si="20"/>
        <v>Joules_per_ft3_to_kWh_per_L</v>
      </c>
      <c r="E693" s="3">
        <f>0.000000277778/28.3168</f>
        <v>9.8096536331788896E-9</v>
      </c>
    </row>
    <row r="694" spans="1:5" x14ac:dyDescent="0.2">
      <c r="A694" s="1" t="s">
        <v>26</v>
      </c>
      <c r="B694" s="2" t="s">
        <v>86</v>
      </c>
      <c r="C694" s="2" t="s">
        <v>52</v>
      </c>
      <c r="D694" s="2" t="str">
        <f t="shared" si="20"/>
        <v>Joules_per_ft3_to_MWh_per_CCF</v>
      </c>
      <c r="E694" s="3">
        <f>0.000000000277778/0.01</f>
        <v>2.7777799999999998E-8</v>
      </c>
    </row>
    <row r="695" spans="1:5" x14ac:dyDescent="0.2">
      <c r="A695" s="1" t="s">
        <v>26</v>
      </c>
      <c r="B695" s="2" t="s">
        <v>86</v>
      </c>
      <c r="C695" s="2" t="s">
        <v>88</v>
      </c>
      <c r="D695" s="2" t="str">
        <f t="shared" si="20"/>
        <v>Joules_per_ft3_to_MWh_per_m3</v>
      </c>
      <c r="E695" s="3">
        <f>0.000000000277778/0.0283168</f>
        <v>9.8096536331788896E-9</v>
      </c>
    </row>
    <row r="696" spans="1:5" x14ac:dyDescent="0.2">
      <c r="A696" s="1" t="s">
        <v>26</v>
      </c>
      <c r="B696" s="2" t="s">
        <v>86</v>
      </c>
      <c r="C696" s="2" t="s">
        <v>128</v>
      </c>
      <c r="D696" s="2" t="str">
        <f t="shared" si="20"/>
        <v>Joules_per_ft3_to_MWh_per_US_Gal</v>
      </c>
      <c r="E696" s="3">
        <f>0.000000000277778/7.48052</f>
        <v>3.7133514782394803E-11</v>
      </c>
    </row>
    <row r="697" spans="1:5" x14ac:dyDescent="0.2">
      <c r="A697" s="1" t="s">
        <v>26</v>
      </c>
      <c r="B697" s="2" t="s">
        <v>86</v>
      </c>
      <c r="C697" s="2" t="s">
        <v>53</v>
      </c>
      <c r="D697" s="2" t="str">
        <f t="shared" si="20"/>
        <v>Joules_per_ft3_to_MWh_per_L</v>
      </c>
      <c r="E697" s="3">
        <f>0.000000000277778/28.3168</f>
        <v>9.8096536331788897E-12</v>
      </c>
    </row>
    <row r="698" spans="1:5" x14ac:dyDescent="0.2">
      <c r="A698" s="1" t="s">
        <v>26</v>
      </c>
      <c r="B698" s="2" t="s">
        <v>86</v>
      </c>
      <c r="C698" s="2" t="s">
        <v>54</v>
      </c>
      <c r="D698" s="2" t="str">
        <f>B698 &amp; "_to_" &amp; C698</f>
        <v>Joules_per_ft3_to_kBtu_per_CCF</v>
      </c>
      <c r="E698" s="3">
        <f>0.000947817/0.01</f>
        <v>9.4781699999999997E-2</v>
      </c>
    </row>
    <row r="699" spans="1:5" x14ac:dyDescent="0.2">
      <c r="A699" s="1" t="s">
        <v>26</v>
      </c>
      <c r="B699" s="2" t="s">
        <v>86</v>
      </c>
      <c r="C699" s="2" t="s">
        <v>89</v>
      </c>
      <c r="D699" s="2" t="str">
        <f>B699 &amp; "_to_" &amp; C699</f>
        <v>Joules_per_ft3_to_kBtu_per_m3</v>
      </c>
      <c r="E699" s="3">
        <f>0.000947817/0.0283168</f>
        <v>3.3471896541982148E-2</v>
      </c>
    </row>
    <row r="700" spans="1:5" x14ac:dyDescent="0.2">
      <c r="A700" s="1" t="s">
        <v>26</v>
      </c>
      <c r="B700" s="2" t="s">
        <v>86</v>
      </c>
      <c r="C700" s="2" t="s">
        <v>129</v>
      </c>
      <c r="D700" s="2" t="str">
        <f t="shared" si="20"/>
        <v>Joules_per_ft3_to_kBtu_per_US_Gal</v>
      </c>
      <c r="E700" s="3">
        <f>0.000947817/7.48052</f>
        <v>1.267046943260629E-4</v>
      </c>
    </row>
    <row r="701" spans="1:5" x14ac:dyDescent="0.2">
      <c r="A701" s="1" t="s">
        <v>26</v>
      </c>
      <c r="B701" s="2" t="s">
        <v>86</v>
      </c>
      <c r="C701" s="2" t="s">
        <v>55</v>
      </c>
      <c r="D701" s="2" t="str">
        <f t="shared" si="20"/>
        <v>Joules_per_ft3_to_kBtu_per_L</v>
      </c>
      <c r="E701" s="3">
        <f>0.000947817/28.3168</f>
        <v>3.3471896541982145E-5</v>
      </c>
    </row>
    <row r="702" spans="1:5" x14ac:dyDescent="0.2">
      <c r="A702" s="1" t="s">
        <v>26</v>
      </c>
      <c r="B702" s="2" t="s">
        <v>86</v>
      </c>
      <c r="C702" s="2" t="s">
        <v>56</v>
      </c>
      <c r="D702" s="2" t="str">
        <f t="shared" si="20"/>
        <v>Joules_per_ft3_to_MMBtu_per_CCF</v>
      </c>
      <c r="E702" s="3">
        <f>0.000000947817/0.01</f>
        <v>9.4781699999999994E-5</v>
      </c>
    </row>
    <row r="703" spans="1:5" x14ac:dyDescent="0.2">
      <c r="A703" s="1" t="s">
        <v>26</v>
      </c>
      <c r="B703" s="2" t="s">
        <v>86</v>
      </c>
      <c r="C703" s="2" t="s">
        <v>90</v>
      </c>
      <c r="D703" s="2" t="str">
        <f t="shared" ref="D703:D766" si="21">B703 &amp; "_to_" &amp; C703</f>
        <v>Joules_per_ft3_to_MMBtu_per_m3</v>
      </c>
      <c r="E703" s="3">
        <f>0.000000947817/0.0283168</f>
        <v>3.3471896541982145E-5</v>
      </c>
    </row>
    <row r="704" spans="1:5" x14ac:dyDescent="0.2">
      <c r="A704" s="1" t="s">
        <v>26</v>
      </c>
      <c r="B704" s="2" t="s">
        <v>86</v>
      </c>
      <c r="C704" s="2" t="s">
        <v>130</v>
      </c>
      <c r="D704" s="2" t="str">
        <f t="shared" si="21"/>
        <v>Joules_per_ft3_to_MMBtu_per_US_Gal</v>
      </c>
      <c r="E704" s="3">
        <f>0.000000947817/7.48052</f>
        <v>1.2670469432606289E-7</v>
      </c>
    </row>
    <row r="705" spans="1:5" x14ac:dyDescent="0.2">
      <c r="A705" s="1" t="s">
        <v>26</v>
      </c>
      <c r="B705" s="2" t="s">
        <v>86</v>
      </c>
      <c r="C705" s="2" t="s">
        <v>57</v>
      </c>
      <c r="D705" s="2" t="str">
        <f t="shared" si="21"/>
        <v>Joules_per_ft3_to_MMBtu_per_L</v>
      </c>
      <c r="E705" s="3">
        <f>0.000000947817/28.3168</f>
        <v>3.3471896541982141E-8</v>
      </c>
    </row>
    <row r="706" spans="1:5" x14ac:dyDescent="0.2">
      <c r="A706" s="1" t="s">
        <v>26</v>
      </c>
      <c r="B706" s="2" t="s">
        <v>86</v>
      </c>
      <c r="C706" s="2" t="s">
        <v>58</v>
      </c>
      <c r="D706" s="2" t="str">
        <f t="shared" si="21"/>
        <v>Joules_per_ft3_to_therm_per_CCF</v>
      </c>
      <c r="E706" s="3">
        <f>0.00000948043/0.01</f>
        <v>9.4804299999999998E-4</v>
      </c>
    </row>
    <row r="707" spans="1:5" x14ac:dyDescent="0.2">
      <c r="A707" s="1" t="s">
        <v>26</v>
      </c>
      <c r="B707" s="2" t="s">
        <v>86</v>
      </c>
      <c r="C707" s="2" t="s">
        <v>91</v>
      </c>
      <c r="D707" s="2" t="str">
        <f t="shared" si="21"/>
        <v>Joules_per_ft3_to_therm_per_m3</v>
      </c>
      <c r="E707" s="3">
        <f>0.00000948043/0.0283168</f>
        <v>3.3479877669793197E-4</v>
      </c>
    </row>
    <row r="708" spans="1:5" x14ac:dyDescent="0.2">
      <c r="A708" s="1" t="s">
        <v>26</v>
      </c>
      <c r="B708" s="2" t="s">
        <v>86</v>
      </c>
      <c r="C708" s="2" t="s">
        <v>131</v>
      </c>
      <c r="D708" s="2" t="str">
        <f>B708 &amp; "_to_" &amp; C708</f>
        <v>Joules_per_ft3_to_therm_per_US_Gal</v>
      </c>
      <c r="E708" s="3">
        <f>0.00000948043/7.48052</f>
        <v>1.267349061295204E-6</v>
      </c>
    </row>
    <row r="709" spans="1:5" x14ac:dyDescent="0.2">
      <c r="A709" s="1" t="s">
        <v>26</v>
      </c>
      <c r="B709" s="2" t="s">
        <v>86</v>
      </c>
      <c r="C709" s="2" t="s">
        <v>59</v>
      </c>
      <c r="D709" s="2" t="str">
        <f>B709 &amp; "_to_" &amp; C709</f>
        <v>Joules_per_ft3_to_therm_per_L</v>
      </c>
      <c r="E709" s="3">
        <f>0.00000948043/28.3168</f>
        <v>3.3479877669793197E-7</v>
      </c>
    </row>
    <row r="710" spans="1:5" x14ac:dyDescent="0.2">
      <c r="A710" s="1" t="s">
        <v>26</v>
      </c>
      <c r="B710" s="2" t="s">
        <v>60</v>
      </c>
      <c r="C710" s="2" t="s">
        <v>92</v>
      </c>
      <c r="D710" s="2" t="str">
        <f t="shared" si="21"/>
        <v>Joules_per_CCF_to_kWh_per_ft3</v>
      </c>
      <c r="E710" s="3">
        <f>0.000000277778/100</f>
        <v>2.7777799999999999E-9</v>
      </c>
    </row>
    <row r="711" spans="1:5" x14ac:dyDescent="0.2">
      <c r="A711" s="1" t="s">
        <v>26</v>
      </c>
      <c r="B711" s="2" t="s">
        <v>60</v>
      </c>
      <c r="C711" s="2" t="s">
        <v>87</v>
      </c>
      <c r="D711" s="2" t="str">
        <f t="shared" si="21"/>
        <v>Joules_per_CCF_to_kWh_per_m3</v>
      </c>
      <c r="E711" s="3">
        <f>0.000000277778/2.83168</f>
        <v>9.8096536331788899E-8</v>
      </c>
    </row>
    <row r="712" spans="1:5" x14ac:dyDescent="0.2">
      <c r="A712" s="1" t="s">
        <v>26</v>
      </c>
      <c r="B712" s="2" t="s">
        <v>60</v>
      </c>
      <c r="C712" s="2" t="s">
        <v>127</v>
      </c>
      <c r="D712" s="2" t="str">
        <f t="shared" si="21"/>
        <v>Joules_per_CCF_to_kWh_per_US_Gal</v>
      </c>
      <c r="E712" s="3">
        <f>0.000000277778/748.052</f>
        <v>3.7133514782394805E-10</v>
      </c>
    </row>
    <row r="713" spans="1:5" x14ac:dyDescent="0.2">
      <c r="A713" s="1" t="s">
        <v>26</v>
      </c>
      <c r="B713" s="2" t="s">
        <v>60</v>
      </c>
      <c r="C713" s="2" t="s">
        <v>51</v>
      </c>
      <c r="D713" s="2" t="str">
        <f t="shared" si="21"/>
        <v>Joules_per_CCF_to_kWh_per_L</v>
      </c>
      <c r="E713" s="3">
        <f>0.000000277778/2831.68</f>
        <v>9.8096536331788909E-11</v>
      </c>
    </row>
    <row r="714" spans="1:5" x14ac:dyDescent="0.2">
      <c r="A714" s="1" t="s">
        <v>26</v>
      </c>
      <c r="B714" s="2" t="s">
        <v>60</v>
      </c>
      <c r="C714" s="2" t="s">
        <v>93</v>
      </c>
      <c r="D714" s="2" t="str">
        <f t="shared" si="21"/>
        <v>Joules_per_CCF_to_MWh_per_ft3</v>
      </c>
      <c r="E714" s="3">
        <f>0.000000000277778/100</f>
        <v>2.7777799999999999E-12</v>
      </c>
    </row>
    <row r="715" spans="1:5" x14ac:dyDescent="0.2">
      <c r="A715" s="1" t="s">
        <v>26</v>
      </c>
      <c r="B715" s="2" t="s">
        <v>60</v>
      </c>
      <c r="C715" s="2" t="s">
        <v>88</v>
      </c>
      <c r="D715" s="2" t="str">
        <f t="shared" si="21"/>
        <v>Joules_per_CCF_to_MWh_per_m3</v>
      </c>
      <c r="E715" s="3">
        <f>0.000000000277778/2.83168</f>
        <v>9.8096536331788897E-11</v>
      </c>
    </row>
    <row r="716" spans="1:5" x14ac:dyDescent="0.2">
      <c r="A716" s="1" t="s">
        <v>26</v>
      </c>
      <c r="B716" s="2" t="s">
        <v>60</v>
      </c>
      <c r="C716" s="2" t="s">
        <v>128</v>
      </c>
      <c r="D716" s="2" t="str">
        <f t="shared" ref="D716:D735" si="22">B716 &amp; "_to_" &amp; C716</f>
        <v>Joules_per_CCF_to_MWh_per_US_Gal</v>
      </c>
      <c r="E716" s="3">
        <f>0.000000000277778/748.052</f>
        <v>3.7133514782394801E-13</v>
      </c>
    </row>
    <row r="717" spans="1:5" x14ac:dyDescent="0.2">
      <c r="A717" s="1" t="s">
        <v>26</v>
      </c>
      <c r="B717" s="2" t="s">
        <v>60</v>
      </c>
      <c r="C717" s="2" t="s">
        <v>53</v>
      </c>
      <c r="D717" s="2" t="str">
        <f t="shared" si="22"/>
        <v>Joules_per_CCF_to_MWh_per_L</v>
      </c>
      <c r="E717" s="3">
        <f>0.000000000277778/2831.68</f>
        <v>9.80965363317889E-14</v>
      </c>
    </row>
    <row r="718" spans="1:5" x14ac:dyDescent="0.2">
      <c r="A718" s="1" t="s">
        <v>26</v>
      </c>
      <c r="B718" s="2" t="s">
        <v>60</v>
      </c>
      <c r="C718" s="2" t="s">
        <v>94</v>
      </c>
      <c r="D718" s="2" t="str">
        <f t="shared" si="22"/>
        <v>Joules_per_CCF_to_kBtu_per_ft3</v>
      </c>
      <c r="E718" s="3">
        <f>0.000947817/100</f>
        <v>9.4781699999999998E-6</v>
      </c>
    </row>
    <row r="719" spans="1:5" x14ac:dyDescent="0.2">
      <c r="A719" s="1" t="s">
        <v>26</v>
      </c>
      <c r="B719" s="2" t="s">
        <v>60</v>
      </c>
      <c r="C719" s="2" t="s">
        <v>89</v>
      </c>
      <c r="D719" s="2" t="str">
        <f t="shared" si="22"/>
        <v>Joules_per_CCF_to_kBtu_per_m3</v>
      </c>
      <c r="E719" s="3">
        <f>0.000947817/2.83168</f>
        <v>3.3471896541982147E-4</v>
      </c>
    </row>
    <row r="720" spans="1:5" x14ac:dyDescent="0.2">
      <c r="A720" s="1" t="s">
        <v>26</v>
      </c>
      <c r="B720" s="2" t="s">
        <v>60</v>
      </c>
      <c r="C720" s="2" t="s">
        <v>129</v>
      </c>
      <c r="D720" s="2" t="str">
        <f t="shared" si="22"/>
        <v>Joules_per_CCF_to_kBtu_per_US_Gal</v>
      </c>
      <c r="E720" s="3">
        <f>0.000947817/748.052</f>
        <v>1.2670469432606289E-6</v>
      </c>
    </row>
    <row r="721" spans="1:5" x14ac:dyDescent="0.2">
      <c r="A721" s="1" t="s">
        <v>26</v>
      </c>
      <c r="B721" s="2" t="s">
        <v>60</v>
      </c>
      <c r="C721" s="2" t="s">
        <v>55</v>
      </c>
      <c r="D721" s="2" t="str">
        <f t="shared" si="22"/>
        <v>Joules_per_CCF_to_kBtu_per_L</v>
      </c>
      <c r="E721" s="3">
        <f>0.000947817/2831.68</f>
        <v>3.3471896541982148E-7</v>
      </c>
    </row>
    <row r="722" spans="1:5" x14ac:dyDescent="0.2">
      <c r="A722" s="1" t="s">
        <v>26</v>
      </c>
      <c r="B722" s="2" t="s">
        <v>60</v>
      </c>
      <c r="C722" s="2" t="s">
        <v>95</v>
      </c>
      <c r="D722" s="2" t="str">
        <f t="shared" si="22"/>
        <v>Joules_per_CCF_to_MMBtu_per_ft3</v>
      </c>
      <c r="E722" s="3">
        <f>0.000000947817/100</f>
        <v>9.4781700000000002E-9</v>
      </c>
    </row>
    <row r="723" spans="1:5" x14ac:dyDescent="0.2">
      <c r="A723" s="1" t="s">
        <v>26</v>
      </c>
      <c r="B723" s="2" t="s">
        <v>60</v>
      </c>
      <c r="C723" s="2" t="s">
        <v>90</v>
      </c>
      <c r="D723" s="2" t="str">
        <f t="shared" si="22"/>
        <v>Joules_per_CCF_to_MMBtu_per_m3</v>
      </c>
      <c r="E723" s="3">
        <f>0.000000947817/2.83168</f>
        <v>3.3471896541982142E-7</v>
      </c>
    </row>
    <row r="724" spans="1:5" x14ac:dyDescent="0.2">
      <c r="A724" s="1" t="s">
        <v>26</v>
      </c>
      <c r="B724" s="2" t="s">
        <v>60</v>
      </c>
      <c r="C724" s="2" t="s">
        <v>130</v>
      </c>
      <c r="D724" s="2" t="str">
        <f t="shared" si="22"/>
        <v>Joules_per_CCF_to_MMBtu_per_US_Gal</v>
      </c>
      <c r="E724" s="3">
        <f>0.000000947817/748.052</f>
        <v>1.2670469432606288E-9</v>
      </c>
    </row>
    <row r="725" spans="1:5" x14ac:dyDescent="0.2">
      <c r="A725" s="1" t="s">
        <v>26</v>
      </c>
      <c r="B725" s="2" t="s">
        <v>60</v>
      </c>
      <c r="C725" s="2" t="s">
        <v>57</v>
      </c>
      <c r="D725" s="2" t="str">
        <f t="shared" si="22"/>
        <v>Joules_per_CCF_to_MMBtu_per_L</v>
      </c>
      <c r="E725" s="3">
        <f>0.000000947817/2831.68</f>
        <v>3.3471896541982146E-10</v>
      </c>
    </row>
    <row r="726" spans="1:5" x14ac:dyDescent="0.2">
      <c r="A726" s="1" t="s">
        <v>26</v>
      </c>
      <c r="B726" s="2" t="s">
        <v>60</v>
      </c>
      <c r="C726" s="2" t="s">
        <v>96</v>
      </c>
      <c r="D726" s="2" t="str">
        <f t="shared" si="22"/>
        <v>Joules_per_CCF_to_therm_per_ft3</v>
      </c>
      <c r="E726" s="3">
        <f>0.00000948043/100</f>
        <v>9.4804300000000009E-8</v>
      </c>
    </row>
    <row r="727" spans="1:5" x14ac:dyDescent="0.2">
      <c r="A727" s="1" t="s">
        <v>26</v>
      </c>
      <c r="B727" s="2" t="s">
        <v>60</v>
      </c>
      <c r="C727" s="2" t="s">
        <v>91</v>
      </c>
      <c r="D727" s="2" t="str">
        <f t="shared" si="22"/>
        <v>Joules_per_CCF_to_therm_per_m3</v>
      </c>
      <c r="E727" s="3">
        <f>0.00000948043/2.83168</f>
        <v>3.3479877669793199E-6</v>
      </c>
    </row>
    <row r="728" spans="1:5" x14ac:dyDescent="0.2">
      <c r="A728" s="1" t="s">
        <v>26</v>
      </c>
      <c r="B728" s="2" t="s">
        <v>60</v>
      </c>
      <c r="C728" s="2" t="s">
        <v>131</v>
      </c>
      <c r="D728" s="2" t="str">
        <f t="shared" si="22"/>
        <v>Joules_per_CCF_to_therm_per_US_Gal</v>
      </c>
      <c r="E728" s="3">
        <f>0.00000948043/748.052</f>
        <v>1.2673490612952042E-8</v>
      </c>
    </row>
    <row r="729" spans="1:5" x14ac:dyDescent="0.2">
      <c r="A729" s="1" t="s">
        <v>26</v>
      </c>
      <c r="B729" s="2" t="s">
        <v>60</v>
      </c>
      <c r="C729" s="2" t="s">
        <v>59</v>
      </c>
      <c r="D729" s="2" t="str">
        <f t="shared" si="22"/>
        <v>Joules_per_CCF_to_therm_per_L</v>
      </c>
      <c r="E729" s="3">
        <f>0.00000948043/2831.68</f>
        <v>3.34798776697932E-9</v>
      </c>
    </row>
    <row r="730" spans="1:5" x14ac:dyDescent="0.2">
      <c r="A730" s="1" t="s">
        <v>26</v>
      </c>
      <c r="B730" s="2" t="s">
        <v>97</v>
      </c>
      <c r="C730" s="2" t="s">
        <v>92</v>
      </c>
      <c r="D730" s="2" t="str">
        <f t="shared" si="22"/>
        <v>Joules_per_m3_to_kWh_per_ft3</v>
      </c>
      <c r="E730" s="3">
        <f>0.000000277778/35.3147</f>
        <v>7.8657896003647203E-9</v>
      </c>
    </row>
    <row r="731" spans="1:5" x14ac:dyDescent="0.2">
      <c r="A731" s="1" t="s">
        <v>26</v>
      </c>
      <c r="B731" s="2" t="s">
        <v>97</v>
      </c>
      <c r="C731" s="2" t="s">
        <v>50</v>
      </c>
      <c r="D731" s="2" t="str">
        <f t="shared" si="22"/>
        <v>Joules_per_m3_to_kWh_per_CCF</v>
      </c>
      <c r="E731" s="3">
        <f>0.000000277778/0.353147</f>
        <v>7.8657896003647211E-7</v>
      </c>
    </row>
    <row r="732" spans="1:5" x14ac:dyDescent="0.2">
      <c r="A732" s="1" t="s">
        <v>26</v>
      </c>
      <c r="B732" s="2" t="s">
        <v>97</v>
      </c>
      <c r="C732" s="2" t="s">
        <v>127</v>
      </c>
      <c r="D732" s="2" t="str">
        <f t="shared" si="22"/>
        <v>Joules_per_m3_to_kWh_per_US_Gal</v>
      </c>
      <c r="E732" s="3">
        <f>0.000000277778/264.172</f>
        <v>1.051504322941114E-9</v>
      </c>
    </row>
    <row r="733" spans="1:5" x14ac:dyDescent="0.2">
      <c r="A733" s="1" t="s">
        <v>26</v>
      </c>
      <c r="B733" s="2" t="s">
        <v>97</v>
      </c>
      <c r="C733" s="2" t="s">
        <v>51</v>
      </c>
      <c r="D733" s="2" t="str">
        <f t="shared" si="22"/>
        <v>Joules_per_m3_to_kWh_per_L</v>
      </c>
      <c r="E733" s="3">
        <f>0.000000277778/1000</f>
        <v>2.7777799999999998E-10</v>
      </c>
    </row>
    <row r="734" spans="1:5" x14ac:dyDescent="0.2">
      <c r="A734" s="1" t="s">
        <v>26</v>
      </c>
      <c r="B734" s="2" t="s">
        <v>97</v>
      </c>
      <c r="C734" s="2" t="s">
        <v>93</v>
      </c>
      <c r="D734" s="2" t="str">
        <f t="shared" si="22"/>
        <v>Joules_per_m3_to_MWh_per_ft3</v>
      </c>
      <c r="E734" s="3">
        <f>0.000000000277778/35.3147</f>
        <v>7.8657896003647191E-12</v>
      </c>
    </row>
    <row r="735" spans="1:5" x14ac:dyDescent="0.2">
      <c r="A735" s="1" t="s">
        <v>26</v>
      </c>
      <c r="B735" s="2" t="s">
        <v>97</v>
      </c>
      <c r="C735" s="2" t="s">
        <v>52</v>
      </c>
      <c r="D735" s="2" t="str">
        <f t="shared" si="22"/>
        <v>Joules_per_m3_to_MWh_per_CCF</v>
      </c>
      <c r="E735" s="3">
        <f>0.000000000277778/0.353147</f>
        <v>7.8657896003647205E-10</v>
      </c>
    </row>
    <row r="736" spans="1:5" x14ac:dyDescent="0.2">
      <c r="A736" s="1" t="s">
        <v>26</v>
      </c>
      <c r="B736" s="2" t="s">
        <v>97</v>
      </c>
      <c r="C736" s="2" t="s">
        <v>128</v>
      </c>
      <c r="D736" s="2" t="str">
        <f t="shared" si="21"/>
        <v>Joules_per_m3_to_MWh_per_US_Gal</v>
      </c>
      <c r="E736" s="3">
        <f>0.000000000277778/264.172</f>
        <v>1.0515043229411139E-12</v>
      </c>
    </row>
    <row r="737" spans="1:5" x14ac:dyDescent="0.2">
      <c r="A737" s="1" t="s">
        <v>26</v>
      </c>
      <c r="B737" s="2" t="s">
        <v>97</v>
      </c>
      <c r="C737" s="2" t="s">
        <v>53</v>
      </c>
      <c r="D737" s="2" t="str">
        <f t="shared" si="21"/>
        <v>Joules_per_m3_to_MWh_per_L</v>
      </c>
      <c r="E737" s="3">
        <f>0.000000000277778/1000</f>
        <v>2.7777799999999996E-13</v>
      </c>
    </row>
    <row r="738" spans="1:5" x14ac:dyDescent="0.2">
      <c r="A738" s="1" t="s">
        <v>26</v>
      </c>
      <c r="B738" s="2" t="s">
        <v>97</v>
      </c>
      <c r="C738" s="2" t="s">
        <v>94</v>
      </c>
      <c r="D738" s="2" t="str">
        <f>B738 &amp; "_to_" &amp; C738</f>
        <v>Joules_per_m3_to_kBtu_per_ft3</v>
      </c>
      <c r="E738" s="3">
        <f>0.000947817/35.3147</f>
        <v>2.6839163294605361E-5</v>
      </c>
    </row>
    <row r="739" spans="1:5" x14ac:dyDescent="0.2">
      <c r="A739" s="1" t="s">
        <v>26</v>
      </c>
      <c r="B739" s="2" t="s">
        <v>97</v>
      </c>
      <c r="C739" s="2" t="s">
        <v>54</v>
      </c>
      <c r="D739" s="2" t="str">
        <f>B739 &amp; "_to_" &amp; C739</f>
        <v>Joules_per_m3_to_kBtu_per_CCF</v>
      </c>
      <c r="E739" s="3">
        <f>0.000947817/0.353147</f>
        <v>2.6839163294605363E-3</v>
      </c>
    </row>
    <row r="740" spans="1:5" x14ac:dyDescent="0.2">
      <c r="A740" s="1" t="s">
        <v>26</v>
      </c>
      <c r="B740" s="2" t="s">
        <v>97</v>
      </c>
      <c r="C740" s="2" t="s">
        <v>129</v>
      </c>
      <c r="D740" s="2" t="str">
        <f t="shared" si="21"/>
        <v>Joules_per_m3_to_kBtu_per_US_Gal</v>
      </c>
      <c r="E740" s="3">
        <f>0.000947817/264.172</f>
        <v>3.5878783519827987E-6</v>
      </c>
    </row>
    <row r="741" spans="1:5" x14ac:dyDescent="0.2">
      <c r="A741" s="1" t="s">
        <v>26</v>
      </c>
      <c r="B741" s="2" t="s">
        <v>97</v>
      </c>
      <c r="C741" s="2" t="s">
        <v>55</v>
      </c>
      <c r="D741" s="2" t="str">
        <f t="shared" si="21"/>
        <v>Joules_per_m3_to_kBtu_per_L</v>
      </c>
      <c r="E741" s="3">
        <f>0.000947817/1000</f>
        <v>9.47817E-7</v>
      </c>
    </row>
    <row r="742" spans="1:5" x14ac:dyDescent="0.2">
      <c r="A742" s="1" t="s">
        <v>26</v>
      </c>
      <c r="B742" s="2" t="s">
        <v>97</v>
      </c>
      <c r="C742" s="2" t="s">
        <v>95</v>
      </c>
      <c r="D742" s="2" t="str">
        <f t="shared" si="21"/>
        <v>Joules_per_m3_to_MMBtu_per_ft3</v>
      </c>
      <c r="E742" s="3">
        <f>0.000000947817/35.3147</f>
        <v>2.683916329460536E-8</v>
      </c>
    </row>
    <row r="743" spans="1:5" x14ac:dyDescent="0.2">
      <c r="A743" s="1" t="s">
        <v>26</v>
      </c>
      <c r="B743" s="2" t="s">
        <v>97</v>
      </c>
      <c r="C743" s="2" t="s">
        <v>56</v>
      </c>
      <c r="D743" s="2" t="str">
        <f t="shared" si="21"/>
        <v>Joules_per_m3_to_MMBtu_per_CCF</v>
      </c>
      <c r="E743" s="3">
        <f>0.000000947817/0.353147</f>
        <v>2.6839163294605361E-6</v>
      </c>
    </row>
    <row r="744" spans="1:5" x14ac:dyDescent="0.2">
      <c r="A744" s="1" t="s">
        <v>26</v>
      </c>
      <c r="B744" s="2" t="s">
        <v>97</v>
      </c>
      <c r="C744" s="2" t="s">
        <v>130</v>
      </c>
      <c r="D744" s="2" t="str">
        <f t="shared" si="21"/>
        <v>Joules_per_m3_to_MMBtu_per_US_Gal</v>
      </c>
      <c r="E744" s="3">
        <f>0.000000947817/264.172</f>
        <v>3.5878783519827988E-9</v>
      </c>
    </row>
    <row r="745" spans="1:5" x14ac:dyDescent="0.2">
      <c r="A745" s="1" t="s">
        <v>26</v>
      </c>
      <c r="B745" s="2" t="s">
        <v>97</v>
      </c>
      <c r="C745" s="2" t="s">
        <v>57</v>
      </c>
      <c r="D745" s="2" t="str">
        <f t="shared" si="21"/>
        <v>Joules_per_m3_to_MMBtu_per_L</v>
      </c>
      <c r="E745" s="3">
        <f>0.000000947817/1000</f>
        <v>9.4781700000000002E-10</v>
      </c>
    </row>
    <row r="746" spans="1:5" x14ac:dyDescent="0.2">
      <c r="A746" s="1" t="s">
        <v>26</v>
      </c>
      <c r="B746" s="2" t="s">
        <v>97</v>
      </c>
      <c r="C746" s="2" t="s">
        <v>96</v>
      </c>
      <c r="D746" s="2" t="str">
        <f t="shared" si="21"/>
        <v>Joules_per_m3_to_therm_per_ft3</v>
      </c>
      <c r="E746" s="3">
        <f>0.00000948043/35.3147</f>
        <v>2.6845562895904536E-7</v>
      </c>
    </row>
    <row r="747" spans="1:5" x14ac:dyDescent="0.2">
      <c r="A747" s="1" t="s">
        <v>26</v>
      </c>
      <c r="B747" s="2" t="s">
        <v>97</v>
      </c>
      <c r="C747" s="2" t="s">
        <v>58</v>
      </c>
      <c r="D747" s="2" t="str">
        <f t="shared" si="21"/>
        <v>Joules_per_m3_to_therm_per_CCF</v>
      </c>
      <c r="E747" s="3">
        <f>0.00000948043/0.353147</f>
        <v>2.6845562895904541E-5</v>
      </c>
    </row>
    <row r="748" spans="1:5" x14ac:dyDescent="0.2">
      <c r="A748" s="1" t="s">
        <v>26</v>
      </c>
      <c r="B748" s="2" t="s">
        <v>97</v>
      </c>
      <c r="C748" s="2" t="s">
        <v>131</v>
      </c>
      <c r="D748" s="2" t="str">
        <f>B748 &amp; "_to_" &amp; C748</f>
        <v>Joules_per_m3_to_therm_per_US_Gal</v>
      </c>
      <c r="E748" s="3">
        <f>0.00000948043/264.172</f>
        <v>3.5887338552155411E-8</v>
      </c>
    </row>
    <row r="749" spans="1:5" x14ac:dyDescent="0.2">
      <c r="A749" s="1" t="s">
        <v>26</v>
      </c>
      <c r="B749" s="2" t="s">
        <v>97</v>
      </c>
      <c r="C749" s="2" t="s">
        <v>59</v>
      </c>
      <c r="D749" s="2" t="str">
        <f>B749 &amp; "_to_" &amp; C749</f>
        <v>Joules_per_m3_to_therm_per_L</v>
      </c>
      <c r="E749" s="3">
        <f>0.00000948043/1000</f>
        <v>9.4804300000000009E-9</v>
      </c>
    </row>
    <row r="750" spans="1:5" x14ac:dyDescent="0.2">
      <c r="A750" s="1" t="s">
        <v>26</v>
      </c>
      <c r="B750" s="2" t="s">
        <v>132</v>
      </c>
      <c r="C750" s="2" t="s">
        <v>92</v>
      </c>
      <c r="D750" s="2" t="str">
        <f t="shared" si="21"/>
        <v>Joules_per_US_Gal_to_kWh_per_ft3</v>
      </c>
      <c r="E750" s="3">
        <f>0.000000277778/0.133681</f>
        <v>2.0779168318609228E-6</v>
      </c>
    </row>
    <row r="751" spans="1:5" x14ac:dyDescent="0.2">
      <c r="A751" s="1" t="s">
        <v>26</v>
      </c>
      <c r="B751" s="2" t="s">
        <v>132</v>
      </c>
      <c r="C751" s="2" t="s">
        <v>50</v>
      </c>
      <c r="D751" s="2" t="str">
        <f t="shared" si="21"/>
        <v>Joules_per_US_Gal_to_kWh_per_CCF</v>
      </c>
      <c r="E751" s="3">
        <f>0.000000277778/0.00133681</f>
        <v>2.0779168318609228E-4</v>
      </c>
    </row>
    <row r="752" spans="1:5" x14ac:dyDescent="0.2">
      <c r="A752" s="1" t="s">
        <v>26</v>
      </c>
      <c r="B752" s="2" t="s">
        <v>132</v>
      </c>
      <c r="C752" s="2" t="s">
        <v>87</v>
      </c>
      <c r="D752" s="2" t="str">
        <f t="shared" si="21"/>
        <v>Joules_per_US_Gal_to_kWh_per_m3</v>
      </c>
      <c r="E752" s="3">
        <f>0.000000277778/0.00378541</f>
        <v>7.3381218943258456E-5</v>
      </c>
    </row>
    <row r="753" spans="1:5" x14ac:dyDescent="0.2">
      <c r="A753" s="1" t="s">
        <v>26</v>
      </c>
      <c r="B753" s="2" t="s">
        <v>132</v>
      </c>
      <c r="C753" s="2" t="s">
        <v>51</v>
      </c>
      <c r="D753" s="2" t="str">
        <f t="shared" si="21"/>
        <v>Joules_per_US_Gal_to_kWh_per_L</v>
      </c>
      <c r="E753" s="3">
        <f>0.000000277778/3.78541</f>
        <v>7.3381218943258455E-8</v>
      </c>
    </row>
    <row r="754" spans="1:5" x14ac:dyDescent="0.2">
      <c r="A754" s="1" t="s">
        <v>26</v>
      </c>
      <c r="B754" s="2" t="s">
        <v>132</v>
      </c>
      <c r="C754" s="2" t="s">
        <v>93</v>
      </c>
      <c r="D754" s="2" t="str">
        <f t="shared" si="21"/>
        <v>Joules_per_US_Gal_to_MWh_per_ft3</v>
      </c>
      <c r="E754" s="3">
        <f>0.000000000277778/0.133681</f>
        <v>2.0779168318609226E-9</v>
      </c>
    </row>
    <row r="755" spans="1:5" x14ac:dyDescent="0.2">
      <c r="A755" s="1" t="s">
        <v>26</v>
      </c>
      <c r="B755" s="2" t="s">
        <v>132</v>
      </c>
      <c r="C755" s="2" t="s">
        <v>52</v>
      </c>
      <c r="D755" s="2" t="str">
        <f t="shared" si="21"/>
        <v>Joules_per_US_Gal_to_MWh_per_CCF</v>
      </c>
      <c r="E755" s="3">
        <f>0.000000000277778/0.00133681</f>
        <v>2.0779168318609227E-7</v>
      </c>
    </row>
    <row r="756" spans="1:5" x14ac:dyDescent="0.2">
      <c r="A756" s="1" t="s">
        <v>26</v>
      </c>
      <c r="B756" s="2" t="s">
        <v>132</v>
      </c>
      <c r="C756" s="2" t="s">
        <v>88</v>
      </c>
      <c r="D756" s="2" t="str">
        <f t="shared" si="21"/>
        <v>Joules_per_US_Gal_to_MWh_per_m3</v>
      </c>
      <c r="E756" s="3">
        <f>0.000000000277778/0.00378541</f>
        <v>7.3381218943258455E-8</v>
      </c>
    </row>
    <row r="757" spans="1:5" x14ac:dyDescent="0.2">
      <c r="A757" s="1" t="s">
        <v>26</v>
      </c>
      <c r="B757" s="2" t="s">
        <v>132</v>
      </c>
      <c r="C757" s="2" t="s">
        <v>53</v>
      </c>
      <c r="D757" s="2" t="str">
        <f t="shared" si="21"/>
        <v>Joules_per_US_Gal_to_MWh_per_L</v>
      </c>
      <c r="E757" s="3">
        <f>0.000000000277778/3.78541</f>
        <v>7.3381218943258456E-11</v>
      </c>
    </row>
    <row r="758" spans="1:5" x14ac:dyDescent="0.2">
      <c r="A758" s="1" t="s">
        <v>26</v>
      </c>
      <c r="B758" s="2" t="s">
        <v>132</v>
      </c>
      <c r="C758" s="2" t="s">
        <v>94</v>
      </c>
      <c r="D758" s="2" t="str">
        <f>B758 &amp; "_to_" &amp; C758</f>
        <v>Joules_per_US_Gal_to_kBtu_per_ft3</v>
      </c>
      <c r="E758" s="3">
        <f>0.000947817/0.133681</f>
        <v>7.0901399600541591E-3</v>
      </c>
    </row>
    <row r="759" spans="1:5" x14ac:dyDescent="0.2">
      <c r="A759" s="1" t="s">
        <v>26</v>
      </c>
      <c r="B759" s="2" t="s">
        <v>132</v>
      </c>
      <c r="C759" s="2" t="s">
        <v>54</v>
      </c>
      <c r="D759" s="2" t="str">
        <f>B759 &amp; "_to_" &amp; C759</f>
        <v>Joules_per_US_Gal_to_kBtu_per_CCF</v>
      </c>
      <c r="E759" s="3">
        <f>0.000947817/0.00133681</f>
        <v>0.70901399600541593</v>
      </c>
    </row>
    <row r="760" spans="1:5" x14ac:dyDescent="0.2">
      <c r="A760" s="1" t="s">
        <v>26</v>
      </c>
      <c r="B760" s="2" t="s">
        <v>132</v>
      </c>
      <c r="C760" s="2" t="s">
        <v>89</v>
      </c>
      <c r="D760" s="2" t="str">
        <f t="shared" si="21"/>
        <v>Joules_per_US_Gal_to_kBtu_per_m3</v>
      </c>
      <c r="E760" s="3">
        <f>0.000947817/0.00378541</f>
        <v>0.25038688015300853</v>
      </c>
    </row>
    <row r="761" spans="1:5" x14ac:dyDescent="0.2">
      <c r="A761" s="1" t="s">
        <v>26</v>
      </c>
      <c r="B761" s="2" t="s">
        <v>132</v>
      </c>
      <c r="C761" s="2" t="s">
        <v>55</v>
      </c>
      <c r="D761" s="2" t="str">
        <f t="shared" si="21"/>
        <v>Joules_per_US_Gal_to_kBtu_per_L</v>
      </c>
      <c r="E761" s="3">
        <f>0.000947817/3.78541</f>
        <v>2.5038688015300854E-4</v>
      </c>
    </row>
    <row r="762" spans="1:5" x14ac:dyDescent="0.2">
      <c r="A762" s="1" t="s">
        <v>26</v>
      </c>
      <c r="B762" s="2" t="s">
        <v>132</v>
      </c>
      <c r="C762" s="2" t="s">
        <v>95</v>
      </c>
      <c r="D762" s="2" t="str">
        <f t="shared" si="21"/>
        <v>Joules_per_US_Gal_to_MMBtu_per_ft3</v>
      </c>
      <c r="E762" s="3">
        <f>0.000000947817/0.133681</f>
        <v>7.0901399600541587E-6</v>
      </c>
    </row>
    <row r="763" spans="1:5" x14ac:dyDescent="0.2">
      <c r="A763" s="1" t="s">
        <v>26</v>
      </c>
      <c r="B763" s="2" t="s">
        <v>132</v>
      </c>
      <c r="C763" s="2" t="s">
        <v>56</v>
      </c>
      <c r="D763" s="2" t="str">
        <f t="shared" si="21"/>
        <v>Joules_per_US_Gal_to_MMBtu_per_CCF</v>
      </c>
      <c r="E763" s="3">
        <f>0.000000947817/0.00133681</f>
        <v>7.0901399600541593E-4</v>
      </c>
    </row>
    <row r="764" spans="1:5" x14ac:dyDescent="0.2">
      <c r="A764" s="1" t="s">
        <v>26</v>
      </c>
      <c r="B764" s="2" t="s">
        <v>132</v>
      </c>
      <c r="C764" s="2" t="s">
        <v>90</v>
      </c>
      <c r="D764" s="2" t="str">
        <f t="shared" si="21"/>
        <v>Joules_per_US_Gal_to_MMBtu_per_m3</v>
      </c>
      <c r="E764" s="3">
        <f>0.000000947817/0.00378541</f>
        <v>2.5038688015300854E-4</v>
      </c>
    </row>
    <row r="765" spans="1:5" x14ac:dyDescent="0.2">
      <c r="A765" s="1" t="s">
        <v>26</v>
      </c>
      <c r="B765" s="2" t="s">
        <v>132</v>
      </c>
      <c r="C765" s="2" t="s">
        <v>57</v>
      </c>
      <c r="D765" s="2" t="str">
        <f t="shared" si="21"/>
        <v>Joules_per_US_Gal_to_MMBtu_per_L</v>
      </c>
      <c r="E765" s="3">
        <f>0.000000947817/3.78541</f>
        <v>2.5038688015300853E-7</v>
      </c>
    </row>
    <row r="766" spans="1:5" x14ac:dyDescent="0.2">
      <c r="A766" s="1" t="s">
        <v>26</v>
      </c>
      <c r="B766" s="2" t="s">
        <v>132</v>
      </c>
      <c r="C766" s="2" t="s">
        <v>96</v>
      </c>
      <c r="D766" s="2" t="str">
        <f t="shared" si="21"/>
        <v>Joules_per_US_Gal_to_therm_per_ft3</v>
      </c>
      <c r="E766" s="3">
        <f>0.00000948043/0.133681</f>
        <v>7.0918305518360882E-5</v>
      </c>
    </row>
    <row r="767" spans="1:5" x14ac:dyDescent="0.2">
      <c r="A767" s="1" t="s">
        <v>26</v>
      </c>
      <c r="B767" s="2" t="s">
        <v>132</v>
      </c>
      <c r="C767" s="2" t="s">
        <v>58</v>
      </c>
      <c r="D767" s="2" t="str">
        <f t="shared" ref="D767:D815" si="23">B767 &amp; "_to_" &amp; C767</f>
        <v>Joules_per_US_Gal_to_therm_per_CCF</v>
      </c>
      <c r="E767" s="3">
        <f>0.00000948043/0.00133681</f>
        <v>7.0918305518360885E-3</v>
      </c>
    </row>
    <row r="768" spans="1:5" x14ac:dyDescent="0.2">
      <c r="A768" s="1" t="s">
        <v>26</v>
      </c>
      <c r="B768" s="2" t="s">
        <v>132</v>
      </c>
      <c r="C768" s="2" t="s">
        <v>91</v>
      </c>
      <c r="D768" s="2" t="str">
        <f>B768 &amp; "_to_" &amp; C768</f>
        <v>Joules_per_US_Gal_to_therm_per_m3</v>
      </c>
      <c r="E768" s="3">
        <f>0.00000948043/0.00378541</f>
        <v>2.5044658306497846E-3</v>
      </c>
    </row>
    <row r="769" spans="1:5" x14ac:dyDescent="0.2">
      <c r="A769" s="1" t="s">
        <v>26</v>
      </c>
      <c r="B769" s="2" t="s">
        <v>132</v>
      </c>
      <c r="C769" s="2" t="s">
        <v>59</v>
      </c>
      <c r="D769" s="2" t="str">
        <f>B769 &amp; "_to_" &amp; C769</f>
        <v>Joules_per_US_Gal_to_therm_per_L</v>
      </c>
      <c r="E769" s="3">
        <f>0.00000948043/3.78541</f>
        <v>2.5044658306497842E-6</v>
      </c>
    </row>
    <row r="770" spans="1:5" x14ac:dyDescent="0.2">
      <c r="A770" s="1" t="s">
        <v>26</v>
      </c>
      <c r="B770" s="2" t="s">
        <v>61</v>
      </c>
      <c r="C770" s="2" t="s">
        <v>92</v>
      </c>
      <c r="D770" s="2" t="str">
        <f t="shared" si="23"/>
        <v>Joules_per_L_to_kWh_per_ft3</v>
      </c>
      <c r="E770" s="3">
        <f>0.000000277778/0.0353147</f>
        <v>7.8657896003647202E-6</v>
      </c>
    </row>
    <row r="771" spans="1:5" x14ac:dyDescent="0.2">
      <c r="A771" s="1" t="s">
        <v>26</v>
      </c>
      <c r="B771" s="2" t="s">
        <v>61</v>
      </c>
      <c r="C771" s="2" t="s">
        <v>50</v>
      </c>
      <c r="D771" s="2" t="str">
        <f t="shared" si="23"/>
        <v>Joules_per_L_to_kWh_per_CCF</v>
      </c>
      <c r="E771" s="3">
        <f>0.000000277778/0.000353147</f>
        <v>7.8657896003647199E-4</v>
      </c>
    </row>
    <row r="772" spans="1:5" x14ac:dyDescent="0.2">
      <c r="A772" s="1" t="s">
        <v>26</v>
      </c>
      <c r="B772" s="2" t="s">
        <v>61</v>
      </c>
      <c r="C772" s="2" t="s">
        <v>87</v>
      </c>
      <c r="D772" s="2" t="str">
        <f t="shared" si="23"/>
        <v>Joules_per_L_to_kWh_per_m3</v>
      </c>
      <c r="E772" s="3">
        <f>0.000000277778/0.001</f>
        <v>2.7777799999999996E-4</v>
      </c>
    </row>
    <row r="773" spans="1:5" x14ac:dyDescent="0.2">
      <c r="A773" s="1" t="s">
        <v>26</v>
      </c>
      <c r="B773" s="2" t="s">
        <v>61</v>
      </c>
      <c r="C773" s="2" t="s">
        <v>127</v>
      </c>
      <c r="D773" s="2" t="str">
        <f t="shared" si="23"/>
        <v>Joules_per_L_to_kWh_per_US_Gal</v>
      </c>
      <c r="E773" s="3">
        <f>0.000000277778/0.264172</f>
        <v>1.051504322941114E-6</v>
      </c>
    </row>
    <row r="774" spans="1:5" x14ac:dyDescent="0.2">
      <c r="A774" s="1" t="s">
        <v>26</v>
      </c>
      <c r="B774" s="2" t="s">
        <v>61</v>
      </c>
      <c r="C774" s="2" t="s">
        <v>93</v>
      </c>
      <c r="D774" s="2" t="str">
        <f t="shared" si="23"/>
        <v>Joules_per_L_to_MWh_per_ft3</v>
      </c>
      <c r="E774" s="3">
        <f>0.000000000277778/0.0353147</f>
        <v>7.8657896003647203E-9</v>
      </c>
    </row>
    <row r="775" spans="1:5" x14ac:dyDescent="0.2">
      <c r="A775" s="1" t="s">
        <v>26</v>
      </c>
      <c r="B775" s="2" t="s">
        <v>61</v>
      </c>
      <c r="C775" s="2" t="s">
        <v>52</v>
      </c>
      <c r="D775" s="2" t="str">
        <f t="shared" si="23"/>
        <v>Joules_per_L_to_MWh_per_CCF</v>
      </c>
      <c r="E775" s="3">
        <f>0.000000000277778/0.000353147</f>
        <v>7.86578960036472E-7</v>
      </c>
    </row>
    <row r="776" spans="1:5" x14ac:dyDescent="0.2">
      <c r="A776" s="1" t="s">
        <v>26</v>
      </c>
      <c r="B776" s="2" t="s">
        <v>61</v>
      </c>
      <c r="C776" s="2" t="s">
        <v>88</v>
      </c>
      <c r="D776" s="2" t="str">
        <f t="shared" si="23"/>
        <v>Joules_per_L_to_MWh_per_m3</v>
      </c>
      <c r="E776" s="3">
        <f>0.000000000277778/0.001</f>
        <v>2.7777799999999999E-7</v>
      </c>
    </row>
    <row r="777" spans="1:5" x14ac:dyDescent="0.2">
      <c r="A777" s="1" t="s">
        <v>26</v>
      </c>
      <c r="B777" s="2" t="s">
        <v>61</v>
      </c>
      <c r="C777" s="2" t="s">
        <v>128</v>
      </c>
      <c r="D777" s="2" t="str">
        <f t="shared" si="23"/>
        <v>Joules_per_L_to_MWh_per_US_Gal</v>
      </c>
      <c r="E777" s="3">
        <f>0.000000000277778/0.264172</f>
        <v>1.051504322941114E-9</v>
      </c>
    </row>
    <row r="778" spans="1:5" x14ac:dyDescent="0.2">
      <c r="A778" s="1" t="s">
        <v>26</v>
      </c>
      <c r="B778" s="2" t="s">
        <v>61</v>
      </c>
      <c r="C778" s="2" t="s">
        <v>94</v>
      </c>
      <c r="D778" s="2" t="str">
        <f>B778 &amp; "_to_" &amp; C778</f>
        <v>Joules_per_L_to_kBtu_per_ft3</v>
      </c>
      <c r="E778" s="3">
        <f>0.000947817/0.0353147</f>
        <v>2.6839163294605364E-2</v>
      </c>
    </row>
    <row r="779" spans="1:5" x14ac:dyDescent="0.2">
      <c r="A779" s="1" t="s">
        <v>26</v>
      </c>
      <c r="B779" s="2" t="s">
        <v>61</v>
      </c>
      <c r="C779" s="2" t="s">
        <v>54</v>
      </c>
      <c r="D779" s="2" t="str">
        <f>B779 &amp; "_to_" &amp; C779</f>
        <v>Joules_per_L_to_kBtu_per_CCF</v>
      </c>
      <c r="E779" s="3">
        <f>0.000947817/0.000353147</f>
        <v>2.6839163294605362</v>
      </c>
    </row>
    <row r="780" spans="1:5" x14ac:dyDescent="0.2">
      <c r="A780" s="1" t="s">
        <v>26</v>
      </c>
      <c r="B780" s="2" t="s">
        <v>61</v>
      </c>
      <c r="C780" s="2" t="s">
        <v>89</v>
      </c>
      <c r="D780" s="2" t="str">
        <f t="shared" si="23"/>
        <v>Joules_per_L_to_kBtu_per_m3</v>
      </c>
      <c r="E780" s="3">
        <f>0.000947817/0.001</f>
        <v>0.94781700000000002</v>
      </c>
    </row>
    <row r="781" spans="1:5" x14ac:dyDescent="0.2">
      <c r="A781" s="1" t="s">
        <v>26</v>
      </c>
      <c r="B781" s="2" t="s">
        <v>61</v>
      </c>
      <c r="C781" s="2" t="s">
        <v>129</v>
      </c>
      <c r="D781" s="2" t="str">
        <f t="shared" si="23"/>
        <v>Joules_per_L_to_kBtu_per_US_Gal</v>
      </c>
      <c r="E781" s="3">
        <f>0.000947817/0.264172</f>
        <v>3.5878783519827989E-3</v>
      </c>
    </row>
    <row r="782" spans="1:5" x14ac:dyDescent="0.2">
      <c r="A782" s="1" t="s">
        <v>26</v>
      </c>
      <c r="B782" s="2" t="s">
        <v>61</v>
      </c>
      <c r="C782" s="2" t="s">
        <v>95</v>
      </c>
      <c r="D782" s="2" t="str">
        <f t="shared" si="23"/>
        <v>Joules_per_L_to_MMBtu_per_ft3</v>
      </c>
      <c r="E782" s="3">
        <f>0.000000947817/0.0353147</f>
        <v>2.6839163294605365E-5</v>
      </c>
    </row>
    <row r="783" spans="1:5" x14ac:dyDescent="0.2">
      <c r="A783" s="1" t="s">
        <v>26</v>
      </c>
      <c r="B783" s="2" t="s">
        <v>61</v>
      </c>
      <c r="C783" s="2" t="s">
        <v>56</v>
      </c>
      <c r="D783" s="2" t="str">
        <f t="shared" si="23"/>
        <v>Joules_per_L_to_MMBtu_per_CCF</v>
      </c>
      <c r="E783" s="3">
        <f>0.000000947817/0.000353147</f>
        <v>2.6839163294605363E-3</v>
      </c>
    </row>
    <row r="784" spans="1:5" x14ac:dyDescent="0.2">
      <c r="A784" s="1" t="s">
        <v>26</v>
      </c>
      <c r="B784" s="2" t="s">
        <v>61</v>
      </c>
      <c r="C784" s="2" t="s">
        <v>90</v>
      </c>
      <c r="D784" s="2" t="str">
        <f t="shared" si="23"/>
        <v>Joules_per_L_to_MMBtu_per_m3</v>
      </c>
      <c r="E784" s="3">
        <f>0.000000947817/0.001</f>
        <v>9.47817E-4</v>
      </c>
    </row>
    <row r="785" spans="1:5" x14ac:dyDescent="0.2">
      <c r="A785" s="1" t="s">
        <v>26</v>
      </c>
      <c r="B785" s="2" t="s">
        <v>61</v>
      </c>
      <c r="C785" s="2" t="s">
        <v>130</v>
      </c>
      <c r="D785" s="2" t="str">
        <f t="shared" si="23"/>
        <v>Joules_per_L_to_MMBtu_per_US_Gal</v>
      </c>
      <c r="E785" s="3">
        <f>0.000000947817/0.264172</f>
        <v>3.5878783519827987E-6</v>
      </c>
    </row>
    <row r="786" spans="1:5" x14ac:dyDescent="0.2">
      <c r="A786" s="1" t="s">
        <v>26</v>
      </c>
      <c r="B786" s="2" t="s">
        <v>61</v>
      </c>
      <c r="C786" s="2" t="s">
        <v>96</v>
      </c>
      <c r="D786" s="2" t="str">
        <f t="shared" si="23"/>
        <v>Joules_per_L_to_therm_per_ft3</v>
      </c>
      <c r="E786" s="3">
        <f>0.00000948043/0.0353147</f>
        <v>2.684556289590454E-4</v>
      </c>
    </row>
    <row r="787" spans="1:5" x14ac:dyDescent="0.2">
      <c r="A787" s="1" t="s">
        <v>26</v>
      </c>
      <c r="B787" s="2" t="s">
        <v>61</v>
      </c>
      <c r="C787" s="2" t="s">
        <v>58</v>
      </c>
      <c r="D787" s="2" t="str">
        <f t="shared" si="23"/>
        <v>Joules_per_L_to_therm_per_CCF</v>
      </c>
      <c r="E787" s="3">
        <f>0.00000948043/0.000353147</f>
        <v>2.6845562895904538E-2</v>
      </c>
    </row>
    <row r="788" spans="1:5" x14ac:dyDescent="0.2">
      <c r="A788" s="1" t="s">
        <v>26</v>
      </c>
      <c r="B788" s="2" t="s">
        <v>61</v>
      </c>
      <c r="C788" s="2" t="s">
        <v>91</v>
      </c>
      <c r="D788" s="2" t="str">
        <f>B788 &amp; "_to_" &amp; C788</f>
        <v>Joules_per_L_to_therm_per_m3</v>
      </c>
      <c r="E788" s="3">
        <f>0.00000948043/0.001</f>
        <v>9.4804299999999998E-3</v>
      </c>
    </row>
    <row r="789" spans="1:5" x14ac:dyDescent="0.2">
      <c r="A789" s="1" t="s">
        <v>26</v>
      </c>
      <c r="B789" s="2" t="s">
        <v>61</v>
      </c>
      <c r="C789" s="2" t="s">
        <v>131</v>
      </c>
      <c r="D789" s="2" t="str">
        <f>B789 &amp; "_to_" &amp; C789</f>
        <v>Joules_per_L_to_therm_per_US_Gal</v>
      </c>
      <c r="E789" s="3">
        <f>0.00000948043/0.264172</f>
        <v>3.588733855215541E-5</v>
      </c>
    </row>
    <row r="790" spans="1:5" x14ac:dyDescent="0.2">
      <c r="A790" s="1" t="s">
        <v>26</v>
      </c>
      <c r="B790" s="2" t="s">
        <v>92</v>
      </c>
      <c r="C790" s="2" t="s">
        <v>60</v>
      </c>
      <c r="D790" s="2" t="str">
        <f t="shared" si="23"/>
        <v>kWh_per_ft3_to_Joules_per_CCF</v>
      </c>
      <c r="E790" s="3">
        <f>3600000/0.01</f>
        <v>360000000</v>
      </c>
    </row>
    <row r="791" spans="1:5" x14ac:dyDescent="0.2">
      <c r="A791" s="1" t="s">
        <v>26</v>
      </c>
      <c r="B791" s="2" t="s">
        <v>92</v>
      </c>
      <c r="C791" s="2" t="s">
        <v>97</v>
      </c>
      <c r="D791" s="2" t="str">
        <f t="shared" si="23"/>
        <v>kWh_per_ft3_to_Joules_per_m3</v>
      </c>
      <c r="E791" s="3">
        <f>3600000/0.0283168</f>
        <v>127133009.37959091</v>
      </c>
    </row>
    <row r="792" spans="1:5" x14ac:dyDescent="0.2">
      <c r="A792" s="1" t="s">
        <v>26</v>
      </c>
      <c r="B792" s="2" t="s">
        <v>92</v>
      </c>
      <c r="C792" s="2" t="s">
        <v>132</v>
      </c>
      <c r="D792" s="2" t="str">
        <f t="shared" si="23"/>
        <v>kWh_per_ft3_to_Joules_per_US_Gal</v>
      </c>
      <c r="E792" s="3">
        <f>3600000/7.48052</f>
        <v>481249.96657986339</v>
      </c>
    </row>
    <row r="793" spans="1:5" x14ac:dyDescent="0.2">
      <c r="A793" s="1" t="s">
        <v>26</v>
      </c>
      <c r="B793" s="2" t="s">
        <v>92</v>
      </c>
      <c r="C793" s="2" t="s">
        <v>61</v>
      </c>
      <c r="D793" s="2" t="str">
        <f t="shared" si="23"/>
        <v>kWh_per_ft3_to_Joules_per_L</v>
      </c>
      <c r="E793" s="3">
        <f>3600000/28.3168</f>
        <v>127133.00937959091</v>
      </c>
    </row>
    <row r="794" spans="1:5" x14ac:dyDescent="0.2">
      <c r="A794" s="1" t="s">
        <v>26</v>
      </c>
      <c r="B794" s="2" t="s">
        <v>92</v>
      </c>
      <c r="C794" s="2" t="s">
        <v>52</v>
      </c>
      <c r="D794" s="2" t="str">
        <f t="shared" si="23"/>
        <v>kWh_per_ft3_to_MWh_per_CCF</v>
      </c>
      <c r="E794" s="3">
        <f>0.001/0.01</f>
        <v>0.1</v>
      </c>
    </row>
    <row r="795" spans="1:5" x14ac:dyDescent="0.2">
      <c r="A795" s="1" t="s">
        <v>26</v>
      </c>
      <c r="B795" s="2" t="s">
        <v>92</v>
      </c>
      <c r="C795" s="2" t="s">
        <v>88</v>
      </c>
      <c r="D795" s="2" t="str">
        <f t="shared" si="23"/>
        <v>kWh_per_ft3_to_MWh_per_m3</v>
      </c>
      <c r="E795" s="3">
        <f>0.001/0.0283168</f>
        <v>3.5314724827664144E-2</v>
      </c>
    </row>
    <row r="796" spans="1:5" x14ac:dyDescent="0.2">
      <c r="A796" s="1" t="s">
        <v>26</v>
      </c>
      <c r="B796" s="2" t="s">
        <v>92</v>
      </c>
      <c r="C796" s="2" t="s">
        <v>128</v>
      </c>
      <c r="D796" s="2" t="str">
        <f t="shared" si="23"/>
        <v>kWh_per_ft3_to_MWh_per_US_Gal</v>
      </c>
      <c r="E796" s="3">
        <f>0.001/7.48052</f>
        <v>1.3368054627218429E-4</v>
      </c>
    </row>
    <row r="797" spans="1:5" x14ac:dyDescent="0.2">
      <c r="A797" s="1" t="s">
        <v>26</v>
      </c>
      <c r="B797" s="2" t="s">
        <v>92</v>
      </c>
      <c r="C797" s="2" t="s">
        <v>53</v>
      </c>
      <c r="D797" s="2" t="str">
        <f t="shared" si="23"/>
        <v>kWh_per_ft3_to_MWh_per_L</v>
      </c>
      <c r="E797" s="3">
        <f>0.001/28.3168</f>
        <v>3.5314724827664145E-5</v>
      </c>
    </row>
    <row r="798" spans="1:5" x14ac:dyDescent="0.2">
      <c r="A798" s="1" t="s">
        <v>26</v>
      </c>
      <c r="B798" s="2" t="s">
        <v>92</v>
      </c>
      <c r="C798" s="2" t="s">
        <v>54</v>
      </c>
      <c r="D798" s="2" t="str">
        <f>B798 &amp; "_to_" &amp; C798</f>
        <v>kWh_per_ft3_to_kBtu_per_CCF</v>
      </c>
      <c r="E798" s="3">
        <f>3.41214/0.01</f>
        <v>341.214</v>
      </c>
    </row>
    <row r="799" spans="1:5" x14ac:dyDescent="0.2">
      <c r="A799" s="1" t="s">
        <v>26</v>
      </c>
      <c r="B799" s="2" t="s">
        <v>92</v>
      </c>
      <c r="C799" s="2" t="s">
        <v>89</v>
      </c>
      <c r="D799" s="2" t="str">
        <f>B799 &amp; "_to_" &amp; C799</f>
        <v>kWh_per_ft3_to_kBtu_per_m3</v>
      </c>
      <c r="E799" s="3">
        <f>3.41214/0.0283168</f>
        <v>120.49878517346593</v>
      </c>
    </row>
    <row r="800" spans="1:5" x14ac:dyDescent="0.2">
      <c r="A800" s="1" t="s">
        <v>26</v>
      </c>
      <c r="B800" s="2" t="s">
        <v>92</v>
      </c>
      <c r="C800" s="2" t="s">
        <v>129</v>
      </c>
      <c r="D800" s="2" t="str">
        <f t="shared" si="23"/>
        <v>kWh_per_ft3_to_kBtu_per_US_Gal</v>
      </c>
      <c r="E800" s="3">
        <f>3.41214/7.48052</f>
        <v>0.45613673915717085</v>
      </c>
    </row>
    <row r="801" spans="1:5" x14ac:dyDescent="0.2">
      <c r="A801" s="1" t="s">
        <v>26</v>
      </c>
      <c r="B801" s="2" t="s">
        <v>92</v>
      </c>
      <c r="C801" s="2" t="s">
        <v>55</v>
      </c>
      <c r="D801" s="2" t="str">
        <f t="shared" si="23"/>
        <v>kWh_per_ft3_to_kBtu_per_L</v>
      </c>
      <c r="E801" s="3">
        <f>3.41214/28.3168</f>
        <v>0.12049878517346592</v>
      </c>
    </row>
    <row r="802" spans="1:5" x14ac:dyDescent="0.2">
      <c r="A802" s="1" t="s">
        <v>26</v>
      </c>
      <c r="B802" s="2" t="s">
        <v>92</v>
      </c>
      <c r="C802" s="2" t="s">
        <v>56</v>
      </c>
      <c r="D802" s="2" t="str">
        <f t="shared" si="23"/>
        <v>kWh_per_ft3_to_MMBtu_per_CCF</v>
      </c>
      <c r="E802" s="3">
        <f>0.00341214/0.01</f>
        <v>0.34121400000000002</v>
      </c>
    </row>
    <row r="803" spans="1:5" x14ac:dyDescent="0.2">
      <c r="A803" s="1" t="s">
        <v>26</v>
      </c>
      <c r="B803" s="2" t="s">
        <v>92</v>
      </c>
      <c r="C803" s="2" t="s">
        <v>90</v>
      </c>
      <c r="D803" s="2" t="str">
        <f t="shared" si="23"/>
        <v>kWh_per_ft3_to_MMBtu_per_m3</v>
      </c>
      <c r="E803" s="3">
        <f>0.00341214/0.0283168</f>
        <v>0.12049878517346593</v>
      </c>
    </row>
    <row r="804" spans="1:5" x14ac:dyDescent="0.2">
      <c r="A804" s="1" t="s">
        <v>26</v>
      </c>
      <c r="B804" s="2" t="s">
        <v>92</v>
      </c>
      <c r="C804" s="2" t="s">
        <v>130</v>
      </c>
      <c r="D804" s="2" t="str">
        <f t="shared" si="23"/>
        <v>kWh_per_ft3_to_MMBtu_per_US_Gal</v>
      </c>
      <c r="E804" s="3">
        <f>0.00341214/7.48052</f>
        <v>4.5613673915717091E-4</v>
      </c>
    </row>
    <row r="805" spans="1:5" x14ac:dyDescent="0.2">
      <c r="A805" s="1" t="s">
        <v>26</v>
      </c>
      <c r="B805" s="2" t="s">
        <v>92</v>
      </c>
      <c r="C805" s="2" t="s">
        <v>57</v>
      </c>
      <c r="D805" s="2" t="str">
        <f t="shared" si="23"/>
        <v>kWh_per_ft3_to_MMBtu_per_L</v>
      </c>
      <c r="E805" s="3">
        <f>0.00341214/28.3168</f>
        <v>1.2049878517346593E-4</v>
      </c>
    </row>
    <row r="806" spans="1:5" x14ac:dyDescent="0.2">
      <c r="A806" s="1" t="s">
        <v>26</v>
      </c>
      <c r="B806" s="2" t="s">
        <v>92</v>
      </c>
      <c r="C806" s="2" t="s">
        <v>58</v>
      </c>
      <c r="D806" s="2" t="str">
        <f t="shared" si="23"/>
        <v>kWh_per_ft3_to_therm_per_CCF</v>
      </c>
      <c r="E806" s="3">
        <f>0.0341214/0.01</f>
        <v>3.4121400000000004</v>
      </c>
    </row>
    <row r="807" spans="1:5" x14ac:dyDescent="0.2">
      <c r="A807" s="1" t="s">
        <v>26</v>
      </c>
      <c r="B807" s="2" t="s">
        <v>92</v>
      </c>
      <c r="C807" s="2" t="s">
        <v>91</v>
      </c>
      <c r="D807" s="2" t="str">
        <f t="shared" si="23"/>
        <v>kWh_per_ft3_to_therm_per_m3</v>
      </c>
      <c r="E807" s="3">
        <f>0.0341214/0.0283168</f>
        <v>1.2049878517346595</v>
      </c>
    </row>
    <row r="808" spans="1:5" x14ac:dyDescent="0.2">
      <c r="A808" s="1" t="s">
        <v>26</v>
      </c>
      <c r="B808" s="2" t="s">
        <v>92</v>
      </c>
      <c r="C808" s="2" t="s">
        <v>131</v>
      </c>
      <c r="D808" s="2" t="str">
        <f>B808 &amp; "_to_" &amp; C808</f>
        <v>kWh_per_ft3_to_therm_per_US_Gal</v>
      </c>
      <c r="E808" s="3">
        <f>0.0341214/7.48052</f>
        <v>4.5613673915717093E-3</v>
      </c>
    </row>
    <row r="809" spans="1:5" x14ac:dyDescent="0.2">
      <c r="A809" s="1" t="s">
        <v>26</v>
      </c>
      <c r="B809" s="2" t="s">
        <v>92</v>
      </c>
      <c r="C809" s="2" t="s">
        <v>59</v>
      </c>
      <c r="D809" s="2" t="str">
        <f>B809 &amp; "_to_" &amp; C809</f>
        <v>kWh_per_ft3_to_therm_per_L</v>
      </c>
      <c r="E809" s="3">
        <f>0.0341214/28.3168</f>
        <v>1.2049878517346594E-3</v>
      </c>
    </row>
    <row r="810" spans="1:5" x14ac:dyDescent="0.2">
      <c r="A810" s="1" t="s">
        <v>26</v>
      </c>
      <c r="B810" s="2" t="s">
        <v>50</v>
      </c>
      <c r="C810" s="2" t="s">
        <v>86</v>
      </c>
      <c r="D810" s="2" t="str">
        <f t="shared" si="23"/>
        <v>kWh_per_CCF_to_Joules_per_ft3</v>
      </c>
      <c r="E810" s="3">
        <f>3600000/100</f>
        <v>36000</v>
      </c>
    </row>
    <row r="811" spans="1:5" x14ac:dyDescent="0.2">
      <c r="A811" s="1" t="s">
        <v>26</v>
      </c>
      <c r="B811" s="2" t="s">
        <v>50</v>
      </c>
      <c r="C811" s="2" t="s">
        <v>97</v>
      </c>
      <c r="D811" s="2" t="str">
        <f t="shared" si="23"/>
        <v>kWh_per_CCF_to_Joules_per_m3</v>
      </c>
      <c r="E811" s="3">
        <f>3600000/2.83168</f>
        <v>1271330.0937959091</v>
      </c>
    </row>
    <row r="812" spans="1:5" x14ac:dyDescent="0.2">
      <c r="A812" s="1" t="s">
        <v>26</v>
      </c>
      <c r="B812" s="2" t="s">
        <v>50</v>
      </c>
      <c r="C812" s="2" t="s">
        <v>132</v>
      </c>
      <c r="D812" s="2" t="str">
        <f t="shared" si="23"/>
        <v>kWh_per_CCF_to_Joules_per_US_Gal</v>
      </c>
      <c r="E812" s="3">
        <f>3600000/748.052</f>
        <v>4812.4996657986339</v>
      </c>
    </row>
    <row r="813" spans="1:5" x14ac:dyDescent="0.2">
      <c r="A813" s="1" t="s">
        <v>26</v>
      </c>
      <c r="B813" s="2" t="s">
        <v>50</v>
      </c>
      <c r="C813" s="2" t="s">
        <v>61</v>
      </c>
      <c r="D813" s="2" t="str">
        <f t="shared" si="23"/>
        <v>kWh_per_CCF_to_Joules_per_L</v>
      </c>
      <c r="E813" s="3">
        <f>3600000/2831.68</f>
        <v>1271.3300937959093</v>
      </c>
    </row>
    <row r="814" spans="1:5" x14ac:dyDescent="0.2">
      <c r="A814" s="1" t="s">
        <v>26</v>
      </c>
      <c r="B814" s="2" t="s">
        <v>50</v>
      </c>
      <c r="C814" s="2" t="s">
        <v>93</v>
      </c>
      <c r="D814" s="2" t="str">
        <f t="shared" si="23"/>
        <v>kWh_per_CCF_to_MWh_per_ft3</v>
      </c>
      <c r="E814" s="3">
        <f>0.001/100</f>
        <v>1.0000000000000001E-5</v>
      </c>
    </row>
    <row r="815" spans="1:5" x14ac:dyDescent="0.2">
      <c r="A815" s="1" t="s">
        <v>26</v>
      </c>
      <c r="B815" s="2" t="s">
        <v>50</v>
      </c>
      <c r="C815" s="2" t="s">
        <v>88</v>
      </c>
      <c r="D815" s="2" t="str">
        <f t="shared" si="23"/>
        <v>kWh_per_CCF_to_MWh_per_m3</v>
      </c>
      <c r="E815" s="3">
        <f>0.001/2.83168</f>
        <v>3.5314724827664143E-4</v>
      </c>
    </row>
    <row r="816" spans="1:5" x14ac:dyDescent="0.2">
      <c r="A816" s="1" t="s">
        <v>26</v>
      </c>
      <c r="B816" s="2" t="s">
        <v>50</v>
      </c>
      <c r="C816" s="2" t="s">
        <v>128</v>
      </c>
      <c r="D816" s="2" t="str">
        <f t="shared" ref="D816:D835" si="24">B816 &amp; "_to_" &amp; C816</f>
        <v>kWh_per_CCF_to_MWh_per_US_Gal</v>
      </c>
      <c r="E816" s="3">
        <f>0.001/748.052</f>
        <v>1.3368054627218429E-6</v>
      </c>
    </row>
    <row r="817" spans="1:5" x14ac:dyDescent="0.2">
      <c r="A817" s="1" t="s">
        <v>26</v>
      </c>
      <c r="B817" s="2" t="s">
        <v>50</v>
      </c>
      <c r="C817" s="2" t="s">
        <v>53</v>
      </c>
      <c r="D817" s="2" t="str">
        <f t="shared" si="24"/>
        <v>kWh_per_CCF_to_MWh_per_L</v>
      </c>
      <c r="E817" s="3">
        <f>0.001/2831.68</f>
        <v>3.5314724827664147E-7</v>
      </c>
    </row>
    <row r="818" spans="1:5" x14ac:dyDescent="0.2">
      <c r="A818" s="1" t="s">
        <v>26</v>
      </c>
      <c r="B818" s="2" t="s">
        <v>50</v>
      </c>
      <c r="C818" s="2" t="s">
        <v>94</v>
      </c>
      <c r="D818" s="2" t="str">
        <f t="shared" si="24"/>
        <v>kWh_per_CCF_to_kBtu_per_ft3</v>
      </c>
      <c r="E818" s="3">
        <f>3.41214/100</f>
        <v>3.4121399999999996E-2</v>
      </c>
    </row>
    <row r="819" spans="1:5" x14ac:dyDescent="0.2">
      <c r="A819" s="1" t="s">
        <v>26</v>
      </c>
      <c r="B819" s="2" t="s">
        <v>50</v>
      </c>
      <c r="C819" s="2" t="s">
        <v>89</v>
      </c>
      <c r="D819" s="2" t="str">
        <f t="shared" si="24"/>
        <v>kWh_per_CCF_to_kBtu_per_m3</v>
      </c>
      <c r="E819" s="3">
        <f>3.41214/2.83168</f>
        <v>1.2049878517346593</v>
      </c>
    </row>
    <row r="820" spans="1:5" x14ac:dyDescent="0.2">
      <c r="A820" s="1" t="s">
        <v>26</v>
      </c>
      <c r="B820" s="2" t="s">
        <v>50</v>
      </c>
      <c r="C820" s="2" t="s">
        <v>129</v>
      </c>
      <c r="D820" s="2" t="str">
        <f t="shared" si="24"/>
        <v>kWh_per_CCF_to_kBtu_per_US_Gal</v>
      </c>
      <c r="E820" s="3">
        <f>3.41214/748.052</f>
        <v>4.5613673915717084E-3</v>
      </c>
    </row>
    <row r="821" spans="1:5" x14ac:dyDescent="0.2">
      <c r="A821" s="1" t="s">
        <v>26</v>
      </c>
      <c r="B821" s="2" t="s">
        <v>50</v>
      </c>
      <c r="C821" s="2" t="s">
        <v>55</v>
      </c>
      <c r="D821" s="2" t="str">
        <f t="shared" si="24"/>
        <v>kWh_per_CCF_to_kBtu_per_L</v>
      </c>
      <c r="E821" s="3">
        <f>3.41214/2831.68</f>
        <v>1.2049878517346594E-3</v>
      </c>
    </row>
    <row r="822" spans="1:5" x14ac:dyDescent="0.2">
      <c r="A822" s="1" t="s">
        <v>26</v>
      </c>
      <c r="B822" s="2" t="s">
        <v>50</v>
      </c>
      <c r="C822" s="2" t="s">
        <v>95</v>
      </c>
      <c r="D822" s="2" t="str">
        <f t="shared" si="24"/>
        <v>kWh_per_CCF_to_MMBtu_per_ft3</v>
      </c>
      <c r="E822" s="3">
        <f>0.00341214/100</f>
        <v>3.4121400000000002E-5</v>
      </c>
    </row>
    <row r="823" spans="1:5" x14ac:dyDescent="0.2">
      <c r="A823" s="1" t="s">
        <v>26</v>
      </c>
      <c r="B823" s="2" t="s">
        <v>50</v>
      </c>
      <c r="C823" s="2" t="s">
        <v>90</v>
      </c>
      <c r="D823" s="2" t="str">
        <f t="shared" si="24"/>
        <v>kWh_per_CCF_to_MMBtu_per_m3</v>
      </c>
      <c r="E823" s="3">
        <f>0.00341214/2.83168</f>
        <v>1.2049878517346594E-3</v>
      </c>
    </row>
    <row r="824" spans="1:5" x14ac:dyDescent="0.2">
      <c r="A824" s="1" t="s">
        <v>26</v>
      </c>
      <c r="B824" s="2" t="s">
        <v>50</v>
      </c>
      <c r="C824" s="2" t="s">
        <v>130</v>
      </c>
      <c r="D824" s="2" t="str">
        <f t="shared" si="24"/>
        <v>kWh_per_CCF_to_MMBtu_per_US_Gal</v>
      </c>
      <c r="E824" s="3">
        <f>0.00341214/748.052</f>
        <v>4.5613673915717092E-6</v>
      </c>
    </row>
    <row r="825" spans="1:5" x14ac:dyDescent="0.2">
      <c r="A825" s="1" t="s">
        <v>26</v>
      </c>
      <c r="B825" s="2" t="s">
        <v>50</v>
      </c>
      <c r="C825" s="2" t="s">
        <v>57</v>
      </c>
      <c r="D825" s="2" t="str">
        <f t="shared" si="24"/>
        <v>kWh_per_CCF_to_MMBtu_per_L</v>
      </c>
      <c r="E825" s="3">
        <f>0.00341214/2831.68</f>
        <v>1.2049878517346594E-6</v>
      </c>
    </row>
    <row r="826" spans="1:5" x14ac:dyDescent="0.2">
      <c r="A826" s="1" t="s">
        <v>26</v>
      </c>
      <c r="B826" s="2" t="s">
        <v>50</v>
      </c>
      <c r="C826" s="2" t="s">
        <v>96</v>
      </c>
      <c r="D826" s="2" t="str">
        <f t="shared" si="24"/>
        <v>kWh_per_CCF_to_therm_per_ft3</v>
      </c>
      <c r="E826" s="3">
        <f>0.0341214/100</f>
        <v>3.4121400000000006E-4</v>
      </c>
    </row>
    <row r="827" spans="1:5" x14ac:dyDescent="0.2">
      <c r="A827" s="1" t="s">
        <v>26</v>
      </c>
      <c r="B827" s="2" t="s">
        <v>50</v>
      </c>
      <c r="C827" s="2" t="s">
        <v>91</v>
      </c>
      <c r="D827" s="2" t="str">
        <f t="shared" si="24"/>
        <v>kWh_per_CCF_to_therm_per_m3</v>
      </c>
      <c r="E827" s="3">
        <f>0.0341214/2.83168</f>
        <v>1.2049878517346594E-2</v>
      </c>
    </row>
    <row r="828" spans="1:5" x14ac:dyDescent="0.2">
      <c r="A828" s="1" t="s">
        <v>26</v>
      </c>
      <c r="B828" s="2" t="s">
        <v>50</v>
      </c>
      <c r="C828" s="2" t="s">
        <v>131</v>
      </c>
      <c r="D828" s="2" t="str">
        <f t="shared" si="24"/>
        <v>kWh_per_CCF_to_therm_per_US_Gal</v>
      </c>
      <c r="E828" s="3">
        <f>0.0341214/748.052</f>
        <v>4.5613673915717093E-5</v>
      </c>
    </row>
    <row r="829" spans="1:5" x14ac:dyDescent="0.2">
      <c r="A829" s="1" t="s">
        <v>26</v>
      </c>
      <c r="B829" s="2" t="s">
        <v>50</v>
      </c>
      <c r="C829" s="2" t="s">
        <v>59</v>
      </c>
      <c r="D829" s="2" t="str">
        <f t="shared" si="24"/>
        <v>kWh_per_CCF_to_therm_per_L</v>
      </c>
      <c r="E829" s="3">
        <f>0.0341214/2831.68</f>
        <v>1.2049878517346595E-5</v>
      </c>
    </row>
    <row r="830" spans="1:5" x14ac:dyDescent="0.2">
      <c r="A830" s="1" t="s">
        <v>26</v>
      </c>
      <c r="B830" s="2" t="s">
        <v>87</v>
      </c>
      <c r="C830" s="2" t="s">
        <v>86</v>
      </c>
      <c r="D830" s="2" t="str">
        <f t="shared" si="24"/>
        <v>kWh_per_m3_to_Joules_per_ft3</v>
      </c>
      <c r="E830" s="3">
        <f>3600000/35.3147</f>
        <v>101940.55166828544</v>
      </c>
    </row>
    <row r="831" spans="1:5" x14ac:dyDescent="0.2">
      <c r="A831" s="1" t="s">
        <v>26</v>
      </c>
      <c r="B831" s="2" t="s">
        <v>87</v>
      </c>
      <c r="C831" s="2" t="s">
        <v>60</v>
      </c>
      <c r="D831" s="2" t="str">
        <f t="shared" si="24"/>
        <v>kWh_per_m3_to_Joules_per_CCF</v>
      </c>
      <c r="E831" s="3">
        <f>3600000/0.353147</f>
        <v>10194055.166828545</v>
      </c>
    </row>
    <row r="832" spans="1:5" x14ac:dyDescent="0.2">
      <c r="A832" s="1" t="s">
        <v>26</v>
      </c>
      <c r="B832" s="2" t="s">
        <v>87</v>
      </c>
      <c r="C832" s="2" t="s">
        <v>132</v>
      </c>
      <c r="D832" s="2" t="str">
        <f t="shared" si="24"/>
        <v>kWh_per_m3_to_Joules_per_US_Gal</v>
      </c>
      <c r="E832" s="3">
        <f>3600000/264.172</f>
        <v>13627.485123328739</v>
      </c>
    </row>
    <row r="833" spans="1:5" x14ac:dyDescent="0.2">
      <c r="A833" s="1" t="s">
        <v>26</v>
      </c>
      <c r="B833" s="2" t="s">
        <v>87</v>
      </c>
      <c r="C833" s="2" t="s">
        <v>61</v>
      </c>
      <c r="D833" s="2" t="str">
        <f t="shared" si="24"/>
        <v>kWh_per_m3_to_Joules_per_L</v>
      </c>
      <c r="E833" s="3">
        <f>3600000/1000</f>
        <v>3600</v>
      </c>
    </row>
    <row r="834" spans="1:5" x14ac:dyDescent="0.2">
      <c r="A834" s="1" t="s">
        <v>26</v>
      </c>
      <c r="B834" s="2" t="s">
        <v>87</v>
      </c>
      <c r="C834" s="2" t="s">
        <v>93</v>
      </c>
      <c r="D834" s="2" t="str">
        <f t="shared" si="24"/>
        <v>kWh_per_m3_to_MWh_per_ft3</v>
      </c>
      <c r="E834" s="3">
        <f>0.001/35.3147</f>
        <v>2.8316819907857067E-5</v>
      </c>
    </row>
    <row r="835" spans="1:5" x14ac:dyDescent="0.2">
      <c r="A835" s="1" t="s">
        <v>26</v>
      </c>
      <c r="B835" s="2" t="s">
        <v>87</v>
      </c>
      <c r="C835" s="2" t="s">
        <v>52</v>
      </c>
      <c r="D835" s="2" t="str">
        <f t="shared" si="24"/>
        <v>kWh_per_m3_to_MWh_per_CCF</v>
      </c>
      <c r="E835" s="3">
        <f>0.001/0.353147</f>
        <v>2.8316819907857069E-3</v>
      </c>
    </row>
    <row r="836" spans="1:5" x14ac:dyDescent="0.2">
      <c r="A836" s="1" t="s">
        <v>26</v>
      </c>
      <c r="B836" s="2" t="s">
        <v>87</v>
      </c>
      <c r="C836" s="2" t="s">
        <v>128</v>
      </c>
      <c r="D836" s="2" t="str">
        <f t="shared" ref="D836:D893" si="25">B836 &amp; "_to_" &amp; C836</f>
        <v>kWh_per_m3_to_MWh_per_US_Gal</v>
      </c>
      <c r="E836" s="3">
        <f>0.001/264.172</f>
        <v>3.7854125342579831E-6</v>
      </c>
    </row>
    <row r="837" spans="1:5" x14ac:dyDescent="0.2">
      <c r="A837" s="1" t="s">
        <v>26</v>
      </c>
      <c r="B837" s="2" t="s">
        <v>87</v>
      </c>
      <c r="C837" s="2" t="s">
        <v>53</v>
      </c>
      <c r="D837" s="2" t="str">
        <f t="shared" si="25"/>
        <v>kWh_per_m3_to_MWh_per_L</v>
      </c>
      <c r="E837" s="3">
        <f>0.001/1000</f>
        <v>9.9999999999999995E-7</v>
      </c>
    </row>
    <row r="838" spans="1:5" x14ac:dyDescent="0.2">
      <c r="A838" s="1" t="s">
        <v>26</v>
      </c>
      <c r="B838" s="2" t="s">
        <v>87</v>
      </c>
      <c r="C838" s="2" t="s">
        <v>94</v>
      </c>
      <c r="D838" s="2" t="str">
        <f>B838 &amp; "_to_" &amp; C838</f>
        <v>kWh_per_m3_to_kBtu_per_ft3</v>
      </c>
      <c r="E838" s="3">
        <f>3.41214/35.3147</f>
        <v>9.6620953880395405E-2</v>
      </c>
    </row>
    <row r="839" spans="1:5" x14ac:dyDescent="0.2">
      <c r="A839" s="1" t="s">
        <v>26</v>
      </c>
      <c r="B839" s="2" t="s">
        <v>87</v>
      </c>
      <c r="C839" s="2" t="s">
        <v>54</v>
      </c>
      <c r="D839" s="2" t="str">
        <f>B839 &amp; "_to_" &amp; C839</f>
        <v>kWh_per_m3_to_kBtu_per_CCF</v>
      </c>
      <c r="E839" s="3">
        <f>3.41214/0.353147</f>
        <v>9.6620953880395426</v>
      </c>
    </row>
    <row r="840" spans="1:5" x14ac:dyDescent="0.2">
      <c r="A840" s="1" t="s">
        <v>26</v>
      </c>
      <c r="B840" s="2" t="s">
        <v>87</v>
      </c>
      <c r="C840" s="2" t="s">
        <v>129</v>
      </c>
      <c r="D840" s="2" t="str">
        <f t="shared" si="25"/>
        <v>kWh_per_m3_to_kBtu_per_US_Gal</v>
      </c>
      <c r="E840" s="3">
        <f>3.41214/264.172</f>
        <v>1.2916357524643034E-2</v>
      </c>
    </row>
    <row r="841" spans="1:5" x14ac:dyDescent="0.2">
      <c r="A841" s="1" t="s">
        <v>26</v>
      </c>
      <c r="B841" s="2" t="s">
        <v>87</v>
      </c>
      <c r="C841" s="2" t="s">
        <v>55</v>
      </c>
      <c r="D841" s="2" t="str">
        <f t="shared" si="25"/>
        <v>kWh_per_m3_to_kBtu_per_L</v>
      </c>
      <c r="E841" s="3">
        <f>3.41214/1000</f>
        <v>3.4121400000000001E-3</v>
      </c>
    </row>
    <row r="842" spans="1:5" x14ac:dyDescent="0.2">
      <c r="A842" s="1" t="s">
        <v>26</v>
      </c>
      <c r="B842" s="2" t="s">
        <v>87</v>
      </c>
      <c r="C842" s="2" t="s">
        <v>95</v>
      </c>
      <c r="D842" s="2" t="str">
        <f t="shared" si="25"/>
        <v>kWh_per_m3_to_MMBtu_per_ft3</v>
      </c>
      <c r="E842" s="3">
        <f>0.00341214/35.3147</f>
        <v>9.6620953880395414E-5</v>
      </c>
    </row>
    <row r="843" spans="1:5" x14ac:dyDescent="0.2">
      <c r="A843" s="1" t="s">
        <v>26</v>
      </c>
      <c r="B843" s="2" t="s">
        <v>87</v>
      </c>
      <c r="C843" s="2" t="s">
        <v>56</v>
      </c>
      <c r="D843" s="2" t="str">
        <f t="shared" si="25"/>
        <v>kWh_per_m3_to_MMBtu_per_CCF</v>
      </c>
      <c r="E843" s="3">
        <f>0.00341214/0.353147</f>
        <v>9.6620953880395422E-3</v>
      </c>
    </row>
    <row r="844" spans="1:5" x14ac:dyDescent="0.2">
      <c r="A844" s="1" t="s">
        <v>26</v>
      </c>
      <c r="B844" s="2" t="s">
        <v>87</v>
      </c>
      <c r="C844" s="2" t="s">
        <v>130</v>
      </c>
      <c r="D844" s="2" t="str">
        <f t="shared" si="25"/>
        <v>kWh_per_m3_to_MMBtu_per_US_Gal</v>
      </c>
      <c r="E844" s="3">
        <f>0.00341214/264.172</f>
        <v>1.2916357524643035E-5</v>
      </c>
    </row>
    <row r="845" spans="1:5" x14ac:dyDescent="0.2">
      <c r="A845" s="1" t="s">
        <v>26</v>
      </c>
      <c r="B845" s="2" t="s">
        <v>87</v>
      </c>
      <c r="C845" s="2" t="s">
        <v>57</v>
      </c>
      <c r="D845" s="2" t="str">
        <f t="shared" si="25"/>
        <v>kWh_per_m3_to_MMBtu_per_L</v>
      </c>
      <c r="E845" s="3">
        <f>0.00341214/1000</f>
        <v>3.4121400000000002E-6</v>
      </c>
    </row>
    <row r="846" spans="1:5" x14ac:dyDescent="0.2">
      <c r="A846" s="1" t="s">
        <v>26</v>
      </c>
      <c r="B846" s="2" t="s">
        <v>87</v>
      </c>
      <c r="C846" s="2" t="s">
        <v>96</v>
      </c>
      <c r="D846" s="2" t="str">
        <f t="shared" si="25"/>
        <v>kWh_per_m3_to_therm_per_ft3</v>
      </c>
      <c r="E846" s="3">
        <f>0.0341214/35.3147</f>
        <v>9.6620953880395424E-4</v>
      </c>
    </row>
    <row r="847" spans="1:5" x14ac:dyDescent="0.2">
      <c r="A847" s="1" t="s">
        <v>26</v>
      </c>
      <c r="B847" s="2" t="s">
        <v>87</v>
      </c>
      <c r="C847" s="2" t="s">
        <v>58</v>
      </c>
      <c r="D847" s="2" t="str">
        <f t="shared" si="25"/>
        <v>kWh_per_m3_to_therm_per_CCF</v>
      </c>
      <c r="E847" s="3">
        <f>0.0341214/0.353147</f>
        <v>9.6620953880395433E-2</v>
      </c>
    </row>
    <row r="848" spans="1:5" x14ac:dyDescent="0.2">
      <c r="A848" s="1" t="s">
        <v>26</v>
      </c>
      <c r="B848" s="2" t="s">
        <v>87</v>
      </c>
      <c r="C848" s="2" t="s">
        <v>131</v>
      </c>
      <c r="D848" s="2" t="str">
        <f>B848 &amp; "_to_" &amp; C848</f>
        <v>kWh_per_m3_to_therm_per_US_Gal</v>
      </c>
      <c r="E848" s="3">
        <f>0.0341214/264.172</f>
        <v>1.2916357524643036E-4</v>
      </c>
    </row>
    <row r="849" spans="1:5" x14ac:dyDescent="0.2">
      <c r="A849" s="1" t="s">
        <v>26</v>
      </c>
      <c r="B849" s="2" t="s">
        <v>87</v>
      </c>
      <c r="C849" s="2" t="s">
        <v>59</v>
      </c>
      <c r="D849" s="2" t="str">
        <f>B849 &amp; "_to_" &amp; C849</f>
        <v>kWh_per_m3_to_therm_per_L</v>
      </c>
      <c r="E849" s="3">
        <f>0.0341214/1000</f>
        <v>3.4121400000000002E-5</v>
      </c>
    </row>
    <row r="850" spans="1:5" x14ac:dyDescent="0.2">
      <c r="A850" s="1" t="s">
        <v>26</v>
      </c>
      <c r="B850" s="2" t="s">
        <v>127</v>
      </c>
      <c r="C850" s="2" t="s">
        <v>86</v>
      </c>
      <c r="D850" s="2" t="str">
        <f t="shared" si="25"/>
        <v>kWh_per_US_Gal_to_Joules_per_ft3</v>
      </c>
      <c r="E850" s="3">
        <f>3600000/0.133681</f>
        <v>26929780.597093079</v>
      </c>
    </row>
    <row r="851" spans="1:5" x14ac:dyDescent="0.2">
      <c r="A851" s="1" t="s">
        <v>26</v>
      </c>
      <c r="B851" s="2" t="s">
        <v>127</v>
      </c>
      <c r="C851" s="2" t="s">
        <v>60</v>
      </c>
      <c r="D851" s="2" t="str">
        <f t="shared" si="25"/>
        <v>kWh_per_US_Gal_to_Joules_per_CCF</v>
      </c>
      <c r="E851" s="3">
        <f>3600000/0.00133681</f>
        <v>2692978059.7093081</v>
      </c>
    </row>
    <row r="852" spans="1:5" x14ac:dyDescent="0.2">
      <c r="A852" s="1" t="s">
        <v>26</v>
      </c>
      <c r="B852" s="2" t="s">
        <v>127</v>
      </c>
      <c r="C852" s="2" t="s">
        <v>97</v>
      </c>
      <c r="D852" s="2" t="str">
        <f t="shared" si="25"/>
        <v>kWh_per_US_Gal_to_Joules_per_m3</v>
      </c>
      <c r="E852" s="3">
        <f>3600000/0.00378541</f>
        <v>951019836.68876028</v>
      </c>
    </row>
    <row r="853" spans="1:5" x14ac:dyDescent="0.2">
      <c r="A853" s="1" t="s">
        <v>26</v>
      </c>
      <c r="B853" s="2" t="s">
        <v>127</v>
      </c>
      <c r="C853" s="2" t="s">
        <v>61</v>
      </c>
      <c r="D853" s="2" t="str">
        <f t="shared" si="25"/>
        <v>kWh_per_US_Gal_to_Joules_per_L</v>
      </c>
      <c r="E853" s="3">
        <f>3600000/3.78541</f>
        <v>951019.8366887602</v>
      </c>
    </row>
    <row r="854" spans="1:5" x14ac:dyDescent="0.2">
      <c r="A854" s="1" t="s">
        <v>26</v>
      </c>
      <c r="B854" s="2" t="s">
        <v>127</v>
      </c>
      <c r="C854" s="2" t="s">
        <v>93</v>
      </c>
      <c r="D854" s="2" t="str">
        <f t="shared" si="25"/>
        <v>kWh_per_US_Gal_to_MWh_per_ft3</v>
      </c>
      <c r="E854" s="3">
        <f>0.001/0.133681</f>
        <v>7.4804946103036339E-3</v>
      </c>
    </row>
    <row r="855" spans="1:5" x14ac:dyDescent="0.2">
      <c r="A855" s="1" t="s">
        <v>26</v>
      </c>
      <c r="B855" s="2" t="s">
        <v>127</v>
      </c>
      <c r="C855" s="2" t="s">
        <v>52</v>
      </c>
      <c r="D855" s="2" t="str">
        <f t="shared" si="25"/>
        <v>kWh_per_US_Gal_to_MWh_per_CCF</v>
      </c>
      <c r="E855" s="3">
        <f>0.001/0.00133681</f>
        <v>0.74804946103036341</v>
      </c>
    </row>
    <row r="856" spans="1:5" x14ac:dyDescent="0.2">
      <c r="A856" s="1" t="s">
        <v>26</v>
      </c>
      <c r="B856" s="2" t="s">
        <v>127</v>
      </c>
      <c r="C856" s="2" t="s">
        <v>88</v>
      </c>
      <c r="D856" s="2" t="str">
        <f t="shared" si="25"/>
        <v>kWh_per_US_Gal_to_MWh_per_m3</v>
      </c>
      <c r="E856" s="3">
        <f>0.001/0.00378541</f>
        <v>0.26417217685798899</v>
      </c>
    </row>
    <row r="857" spans="1:5" x14ac:dyDescent="0.2">
      <c r="A857" s="1" t="s">
        <v>26</v>
      </c>
      <c r="B857" s="2" t="s">
        <v>127</v>
      </c>
      <c r="C857" s="2" t="s">
        <v>53</v>
      </c>
      <c r="D857" s="2" t="str">
        <f t="shared" si="25"/>
        <v>kWh_per_US_Gal_to_MWh_per_L</v>
      </c>
      <c r="E857" s="3">
        <f>0.001/3.78541</f>
        <v>2.6417217685798894E-4</v>
      </c>
    </row>
    <row r="858" spans="1:5" x14ac:dyDescent="0.2">
      <c r="A858" s="1" t="s">
        <v>26</v>
      </c>
      <c r="B858" s="2" t="s">
        <v>127</v>
      </c>
      <c r="C858" s="2" t="s">
        <v>94</v>
      </c>
      <c r="D858" s="2" t="str">
        <f>B858 &amp; "_to_" &amp; C858</f>
        <v>kWh_per_US_Gal_to_kBtu_per_ft3</v>
      </c>
      <c r="E858" s="3">
        <f>3.41214/0.133681</f>
        <v>25.524494879601441</v>
      </c>
    </row>
    <row r="859" spans="1:5" x14ac:dyDescent="0.2">
      <c r="A859" s="1" t="s">
        <v>26</v>
      </c>
      <c r="B859" s="2" t="s">
        <v>127</v>
      </c>
      <c r="C859" s="2" t="s">
        <v>54</v>
      </c>
      <c r="D859" s="2" t="str">
        <f>B859 &amp; "_to_" &amp; C859</f>
        <v>kWh_per_US_Gal_to_kBtu_per_CCF</v>
      </c>
      <c r="E859" s="3">
        <f>3.41214/0.00133681</f>
        <v>2552.4494879601439</v>
      </c>
    </row>
    <row r="860" spans="1:5" x14ac:dyDescent="0.2">
      <c r="A860" s="1" t="s">
        <v>26</v>
      </c>
      <c r="B860" s="2" t="s">
        <v>127</v>
      </c>
      <c r="C860" s="2" t="s">
        <v>89</v>
      </c>
      <c r="D860" s="2" t="str">
        <f t="shared" si="25"/>
        <v>kWh_per_US_Gal_to_kBtu_per_m3</v>
      </c>
      <c r="E860" s="3">
        <f>3.41214/0.00378541</f>
        <v>901.39245154421849</v>
      </c>
    </row>
    <row r="861" spans="1:5" x14ac:dyDescent="0.2">
      <c r="A861" s="1" t="s">
        <v>26</v>
      </c>
      <c r="B861" s="2" t="s">
        <v>127</v>
      </c>
      <c r="C861" s="2" t="s">
        <v>55</v>
      </c>
      <c r="D861" s="2" t="str">
        <f t="shared" si="25"/>
        <v>kWh_per_US_Gal_to_kBtu_per_L</v>
      </c>
      <c r="E861" s="3">
        <f>3.41214/3.78541</f>
        <v>0.90139245154421843</v>
      </c>
    </row>
    <row r="862" spans="1:5" x14ac:dyDescent="0.2">
      <c r="A862" s="1" t="s">
        <v>26</v>
      </c>
      <c r="B862" s="2" t="s">
        <v>127</v>
      </c>
      <c r="C862" s="2" t="s">
        <v>95</v>
      </c>
      <c r="D862" s="2" t="str">
        <f t="shared" si="25"/>
        <v>kWh_per_US_Gal_to_MMBtu_per_ft3</v>
      </c>
      <c r="E862" s="3">
        <f>0.00341214/0.133681</f>
        <v>2.5524494879601442E-2</v>
      </c>
    </row>
    <row r="863" spans="1:5" x14ac:dyDescent="0.2">
      <c r="A863" s="1" t="s">
        <v>26</v>
      </c>
      <c r="B863" s="2" t="s">
        <v>127</v>
      </c>
      <c r="C863" s="2" t="s">
        <v>56</v>
      </c>
      <c r="D863" s="2" t="str">
        <f t="shared" si="25"/>
        <v>kWh_per_US_Gal_to_MMBtu_per_CCF</v>
      </c>
      <c r="E863" s="3">
        <f>0.00341214/0.00133681</f>
        <v>2.552449487960144</v>
      </c>
    </row>
    <row r="864" spans="1:5" x14ac:dyDescent="0.2">
      <c r="A864" s="1" t="s">
        <v>26</v>
      </c>
      <c r="B864" s="2" t="s">
        <v>127</v>
      </c>
      <c r="C864" s="2" t="s">
        <v>90</v>
      </c>
      <c r="D864" s="2" t="str">
        <f t="shared" si="25"/>
        <v>kWh_per_US_Gal_to_MMBtu_per_m3</v>
      </c>
      <c r="E864" s="3">
        <f>0.00341214/0.00378541</f>
        <v>0.90139245154421854</v>
      </c>
    </row>
    <row r="865" spans="1:5" x14ac:dyDescent="0.2">
      <c r="A865" s="1" t="s">
        <v>26</v>
      </c>
      <c r="B865" s="2" t="s">
        <v>127</v>
      </c>
      <c r="C865" s="2" t="s">
        <v>57</v>
      </c>
      <c r="D865" s="2" t="str">
        <f t="shared" si="25"/>
        <v>kWh_per_US_Gal_to_MMBtu_per_L</v>
      </c>
      <c r="E865" s="3">
        <f>0.00341214/3.78541</f>
        <v>9.0139245154421846E-4</v>
      </c>
    </row>
    <row r="866" spans="1:5" x14ac:dyDescent="0.2">
      <c r="A866" s="1" t="s">
        <v>26</v>
      </c>
      <c r="B866" s="2" t="s">
        <v>127</v>
      </c>
      <c r="C866" s="2" t="s">
        <v>96</v>
      </c>
      <c r="D866" s="2" t="str">
        <f t="shared" si="25"/>
        <v>kWh_per_US_Gal_to_therm_per_ft3</v>
      </c>
      <c r="E866" s="3">
        <f>0.0341214/0.133681</f>
        <v>0.25524494879601445</v>
      </c>
    </row>
    <row r="867" spans="1:5" x14ac:dyDescent="0.2">
      <c r="A867" s="1" t="s">
        <v>26</v>
      </c>
      <c r="B867" s="2" t="s">
        <v>127</v>
      </c>
      <c r="C867" s="2" t="s">
        <v>58</v>
      </c>
      <c r="D867" s="2" t="str">
        <f t="shared" si="25"/>
        <v>kWh_per_US_Gal_to_therm_per_CCF</v>
      </c>
      <c r="E867" s="3">
        <f>0.0341214/0.00133681</f>
        <v>25.524494879601445</v>
      </c>
    </row>
    <row r="868" spans="1:5" x14ac:dyDescent="0.2">
      <c r="A868" s="1" t="s">
        <v>26</v>
      </c>
      <c r="B868" s="2" t="s">
        <v>127</v>
      </c>
      <c r="C868" s="2" t="s">
        <v>91</v>
      </c>
      <c r="D868" s="2" t="str">
        <f>B868 &amp; "_to_" &amp; C868</f>
        <v>kWh_per_US_Gal_to_therm_per_m3</v>
      </c>
      <c r="E868" s="3">
        <f>0.0341214/0.00378541</f>
        <v>9.0139245154421861</v>
      </c>
    </row>
    <row r="869" spans="1:5" x14ac:dyDescent="0.2">
      <c r="A869" s="1" t="s">
        <v>26</v>
      </c>
      <c r="B869" s="2" t="s">
        <v>127</v>
      </c>
      <c r="C869" s="2" t="s">
        <v>59</v>
      </c>
      <c r="D869" s="2" t="str">
        <f>B869 &amp; "_to_" &amp; C869</f>
        <v>kWh_per_US_Gal_to_therm_per_L</v>
      </c>
      <c r="E869" s="3">
        <f>0.0341214/3.78541</f>
        <v>9.013924515442185E-3</v>
      </c>
    </row>
    <row r="870" spans="1:5" x14ac:dyDescent="0.2">
      <c r="A870" s="1" t="s">
        <v>26</v>
      </c>
      <c r="B870" s="2" t="s">
        <v>51</v>
      </c>
      <c r="C870" s="2" t="s">
        <v>86</v>
      </c>
      <c r="D870" s="2" t="str">
        <f t="shared" si="25"/>
        <v>kWh_per_L_to_Joules_per_ft3</v>
      </c>
      <c r="E870" s="3">
        <f>3600000/0.0353147</f>
        <v>101940551.66828546</v>
      </c>
    </row>
    <row r="871" spans="1:5" x14ac:dyDescent="0.2">
      <c r="A871" s="1" t="s">
        <v>26</v>
      </c>
      <c r="B871" s="2" t="s">
        <v>51</v>
      </c>
      <c r="C871" s="2" t="s">
        <v>60</v>
      </c>
      <c r="D871" s="2" t="str">
        <f t="shared" si="25"/>
        <v>kWh_per_L_to_Joules_per_CCF</v>
      </c>
      <c r="E871" s="3">
        <f>3600000/0.000353147</f>
        <v>10194055166.828545</v>
      </c>
    </row>
    <row r="872" spans="1:5" x14ac:dyDescent="0.2">
      <c r="A872" s="1" t="s">
        <v>26</v>
      </c>
      <c r="B872" s="2" t="s">
        <v>51</v>
      </c>
      <c r="C872" s="2" t="s">
        <v>97</v>
      </c>
      <c r="D872" s="2" t="str">
        <f t="shared" si="25"/>
        <v>kWh_per_L_to_Joules_per_m3</v>
      </c>
      <c r="E872" s="3">
        <f>3600000/0.001</f>
        <v>3600000000</v>
      </c>
    </row>
    <row r="873" spans="1:5" x14ac:dyDescent="0.2">
      <c r="A873" s="1" t="s">
        <v>26</v>
      </c>
      <c r="B873" s="2" t="s">
        <v>51</v>
      </c>
      <c r="C873" s="2" t="s">
        <v>132</v>
      </c>
      <c r="D873" s="2" t="str">
        <f t="shared" si="25"/>
        <v>kWh_per_L_to_Joules_per_US_Gal</v>
      </c>
      <c r="E873" s="3">
        <f>3600000/0.264172</f>
        <v>13627485.12332874</v>
      </c>
    </row>
    <row r="874" spans="1:5" x14ac:dyDescent="0.2">
      <c r="A874" s="1" t="s">
        <v>26</v>
      </c>
      <c r="B874" s="2" t="s">
        <v>51</v>
      </c>
      <c r="C874" s="2" t="s">
        <v>93</v>
      </c>
      <c r="D874" s="2" t="str">
        <f t="shared" si="25"/>
        <v>kWh_per_L_to_MWh_per_ft3</v>
      </c>
      <c r="E874" s="3">
        <f>0.001/0.0353147</f>
        <v>2.8316819907857071E-2</v>
      </c>
    </row>
    <row r="875" spans="1:5" x14ac:dyDescent="0.2">
      <c r="A875" s="1" t="s">
        <v>26</v>
      </c>
      <c r="B875" s="2" t="s">
        <v>51</v>
      </c>
      <c r="C875" s="2" t="s">
        <v>52</v>
      </c>
      <c r="D875" s="2" t="str">
        <f t="shared" si="25"/>
        <v>kWh_per_L_to_MWh_per_CCF</v>
      </c>
      <c r="E875" s="3">
        <f>0.001/0.000353147</f>
        <v>2.8316819907857069</v>
      </c>
    </row>
    <row r="876" spans="1:5" x14ac:dyDescent="0.2">
      <c r="A876" s="1" t="s">
        <v>26</v>
      </c>
      <c r="B876" s="2" t="s">
        <v>51</v>
      </c>
      <c r="C876" s="2" t="s">
        <v>128</v>
      </c>
      <c r="D876" s="2" t="str">
        <f t="shared" si="25"/>
        <v>kWh_per_L_to_MWh_per_US_Gal</v>
      </c>
      <c r="E876" s="3">
        <f>0.001/0.264172</f>
        <v>3.7854125342579831E-3</v>
      </c>
    </row>
    <row r="877" spans="1:5" x14ac:dyDescent="0.2">
      <c r="A877" s="1" t="s">
        <v>26</v>
      </c>
      <c r="B877" s="2" t="s">
        <v>51</v>
      </c>
      <c r="C877" s="2" t="s">
        <v>94</v>
      </c>
      <c r="D877" s="2" t="str">
        <f>B877 &amp; "_to_" &amp; C877</f>
        <v>kWh_per_L_to_kBtu_per_ft3</v>
      </c>
      <c r="E877" s="3">
        <f>3.41214/0.0353147</f>
        <v>96.620953880395419</v>
      </c>
    </row>
    <row r="878" spans="1:5" x14ac:dyDescent="0.2">
      <c r="A878" s="1" t="s">
        <v>26</v>
      </c>
      <c r="B878" s="2" t="s">
        <v>51</v>
      </c>
      <c r="C878" s="2" t="s">
        <v>54</v>
      </c>
      <c r="D878" s="2" t="str">
        <f>B878 &amp; "_to_" &amp; C878</f>
        <v>kWh_per_L_to_kBtu_per_CCF</v>
      </c>
      <c r="E878" s="3">
        <f>3.41214/0.000353147</f>
        <v>9662.0953880395409</v>
      </c>
    </row>
    <row r="879" spans="1:5" x14ac:dyDescent="0.2">
      <c r="A879" s="1" t="s">
        <v>26</v>
      </c>
      <c r="B879" s="2" t="s">
        <v>51</v>
      </c>
      <c r="C879" s="2" t="s">
        <v>89</v>
      </c>
      <c r="D879" s="2" t="str">
        <f t="shared" si="25"/>
        <v>kWh_per_L_to_kBtu_per_m3</v>
      </c>
      <c r="E879" s="3">
        <f>3.41214/0.001</f>
        <v>3412.14</v>
      </c>
    </row>
    <row r="880" spans="1:5" x14ac:dyDescent="0.2">
      <c r="A880" s="1" t="s">
        <v>26</v>
      </c>
      <c r="B880" s="2" t="s">
        <v>51</v>
      </c>
      <c r="C880" s="2" t="s">
        <v>129</v>
      </c>
      <c r="D880" s="2" t="str">
        <f t="shared" si="25"/>
        <v>kWh_per_L_to_kBtu_per_US_Gal</v>
      </c>
      <c r="E880" s="3">
        <f>3.41214/0.264172</f>
        <v>12.916357524643034</v>
      </c>
    </row>
    <row r="881" spans="1:5" x14ac:dyDescent="0.2">
      <c r="A881" s="1" t="s">
        <v>26</v>
      </c>
      <c r="B881" s="2" t="s">
        <v>51</v>
      </c>
      <c r="C881" s="2" t="s">
        <v>95</v>
      </c>
      <c r="D881" s="2" t="str">
        <f t="shared" si="25"/>
        <v>kWh_per_L_to_MMBtu_per_ft3</v>
      </c>
      <c r="E881" s="3">
        <f>0.00341214/0.0353147</f>
        <v>9.6620953880395433E-2</v>
      </c>
    </row>
    <row r="882" spans="1:5" x14ac:dyDescent="0.2">
      <c r="A882" s="1" t="s">
        <v>26</v>
      </c>
      <c r="B882" s="2" t="s">
        <v>51</v>
      </c>
      <c r="C882" s="2" t="s">
        <v>56</v>
      </c>
      <c r="D882" s="2" t="str">
        <f t="shared" si="25"/>
        <v>kWh_per_L_to_MMBtu_per_CCF</v>
      </c>
      <c r="E882" s="3">
        <f>0.00341214/0.000353147</f>
        <v>9.6620953880395426</v>
      </c>
    </row>
    <row r="883" spans="1:5" x14ac:dyDescent="0.2">
      <c r="A883" s="1" t="s">
        <v>26</v>
      </c>
      <c r="B883" s="2" t="s">
        <v>51</v>
      </c>
      <c r="C883" s="2" t="s">
        <v>90</v>
      </c>
      <c r="D883" s="2" t="str">
        <f t="shared" si="25"/>
        <v>kWh_per_L_to_MMBtu_per_m3</v>
      </c>
      <c r="E883" s="3">
        <f>0.00341214/0.001</f>
        <v>3.41214</v>
      </c>
    </row>
    <row r="884" spans="1:5" x14ac:dyDescent="0.2">
      <c r="A884" s="1" t="s">
        <v>26</v>
      </c>
      <c r="B884" s="2" t="s">
        <v>51</v>
      </c>
      <c r="C884" s="2" t="s">
        <v>130</v>
      </c>
      <c r="D884" s="2" t="str">
        <f t="shared" si="25"/>
        <v>kWh_per_L_to_MMBtu_per_US_Gal</v>
      </c>
      <c r="E884" s="3">
        <f>0.00341214/0.264172</f>
        <v>1.2916357524643035E-2</v>
      </c>
    </row>
    <row r="885" spans="1:5" x14ac:dyDescent="0.2">
      <c r="A885" s="1" t="s">
        <v>26</v>
      </c>
      <c r="B885" s="2" t="s">
        <v>51</v>
      </c>
      <c r="C885" s="2" t="s">
        <v>96</v>
      </c>
      <c r="D885" s="2" t="str">
        <f t="shared" si="25"/>
        <v>kWh_per_L_to_therm_per_ft3</v>
      </c>
      <c r="E885" s="3">
        <f>0.0341214/0.0353147</f>
        <v>0.96620953880395433</v>
      </c>
    </row>
    <row r="886" spans="1:5" x14ac:dyDescent="0.2">
      <c r="A886" s="1" t="s">
        <v>26</v>
      </c>
      <c r="B886" s="2" t="s">
        <v>51</v>
      </c>
      <c r="C886" s="2" t="s">
        <v>58</v>
      </c>
      <c r="D886" s="2" t="str">
        <f t="shared" si="25"/>
        <v>kWh_per_L_to_therm_per_CCF</v>
      </c>
      <c r="E886" s="3">
        <f>0.0341214/0.000353147</f>
        <v>96.620953880395419</v>
      </c>
    </row>
    <row r="887" spans="1:5" x14ac:dyDescent="0.2">
      <c r="A887" s="1" t="s">
        <v>26</v>
      </c>
      <c r="B887" s="2" t="s">
        <v>51</v>
      </c>
      <c r="C887" s="2" t="s">
        <v>91</v>
      </c>
      <c r="D887" s="2" t="str">
        <f>B887 &amp; "_to_" &amp; C887</f>
        <v>kWh_per_L_to_therm_per_m3</v>
      </c>
      <c r="E887" s="3">
        <f>0.0341214/0.001</f>
        <v>34.121400000000001</v>
      </c>
    </row>
    <row r="888" spans="1:5" x14ac:dyDescent="0.2">
      <c r="A888" s="1" t="s">
        <v>26</v>
      </c>
      <c r="B888" s="2" t="s">
        <v>51</v>
      </c>
      <c r="C888" s="2" t="s">
        <v>131</v>
      </c>
      <c r="D888" s="2" t="str">
        <f>B888 &amp; "_to_" &amp; C888</f>
        <v>kWh_per_L_to_therm_per_US_Gal</v>
      </c>
      <c r="E888" s="3">
        <f>0.0341214/0.264172</f>
        <v>0.12916357524643035</v>
      </c>
    </row>
    <row r="889" spans="1:5" x14ac:dyDescent="0.2">
      <c r="A889" s="1" t="s">
        <v>26</v>
      </c>
      <c r="B889" s="2" t="s">
        <v>93</v>
      </c>
      <c r="C889" s="2" t="s">
        <v>60</v>
      </c>
      <c r="D889" s="2" t="str">
        <f t="shared" si="25"/>
        <v>MWh_per_ft3_to_Joules_per_CCF</v>
      </c>
      <c r="E889" s="3">
        <f>3600000000/0.01</f>
        <v>360000000000</v>
      </c>
    </row>
    <row r="890" spans="1:5" x14ac:dyDescent="0.2">
      <c r="A890" s="1" t="s">
        <v>26</v>
      </c>
      <c r="B890" s="2" t="s">
        <v>93</v>
      </c>
      <c r="C890" s="2" t="s">
        <v>97</v>
      </c>
      <c r="D890" s="2" t="str">
        <f t="shared" si="25"/>
        <v>MWh_per_ft3_to_Joules_per_m3</v>
      </c>
      <c r="E890" s="3">
        <f>3600000000/0.0283168</f>
        <v>127133009379.59091</v>
      </c>
    </row>
    <row r="891" spans="1:5" x14ac:dyDescent="0.2">
      <c r="A891" s="1" t="s">
        <v>26</v>
      </c>
      <c r="B891" s="2" t="s">
        <v>93</v>
      </c>
      <c r="C891" s="2" t="s">
        <v>132</v>
      </c>
      <c r="D891" s="2" t="str">
        <f t="shared" si="25"/>
        <v>MWh_per_ft3_to_Joules_per_US_Gal</v>
      </c>
      <c r="E891" s="3">
        <f>3600000000/7.48052</f>
        <v>481249966.57986343</v>
      </c>
    </row>
    <row r="892" spans="1:5" x14ac:dyDescent="0.2">
      <c r="A892" s="1" t="s">
        <v>26</v>
      </c>
      <c r="B892" s="2" t="s">
        <v>93</v>
      </c>
      <c r="C892" s="2" t="s">
        <v>61</v>
      </c>
      <c r="D892" s="2" t="str">
        <f t="shared" si="25"/>
        <v>MWh_per_ft3_to_Joules_per_L</v>
      </c>
      <c r="E892" s="3">
        <f>3600000000/28.3168</f>
        <v>127133009.37959091</v>
      </c>
    </row>
    <row r="893" spans="1:5" x14ac:dyDescent="0.2">
      <c r="A893" s="1" t="s">
        <v>26</v>
      </c>
      <c r="B893" s="2" t="s">
        <v>93</v>
      </c>
      <c r="C893" s="2" t="s">
        <v>50</v>
      </c>
      <c r="D893" s="2" t="str">
        <f t="shared" si="25"/>
        <v>MWh_per_ft3_to_kWh_per_CCF</v>
      </c>
      <c r="E893" s="3">
        <f>1000/0.01</f>
        <v>100000</v>
      </c>
    </row>
    <row r="894" spans="1:5" x14ac:dyDescent="0.2">
      <c r="A894" s="1" t="s">
        <v>26</v>
      </c>
      <c r="B894" s="2" t="s">
        <v>93</v>
      </c>
      <c r="C894" s="2" t="s">
        <v>87</v>
      </c>
      <c r="D894" s="2" t="str">
        <f t="shared" ref="D894:D955" si="26">B894 &amp; "_to_" &amp; C894</f>
        <v>MWh_per_ft3_to_kWh_per_m3</v>
      </c>
      <c r="E894" s="3">
        <f>1000/0.0283168</f>
        <v>35314.72482766414</v>
      </c>
    </row>
    <row r="895" spans="1:5" x14ac:dyDescent="0.2">
      <c r="A895" s="1" t="s">
        <v>26</v>
      </c>
      <c r="B895" s="2" t="s">
        <v>93</v>
      </c>
      <c r="C895" s="2" t="s">
        <v>127</v>
      </c>
      <c r="D895" s="2" t="str">
        <f t="shared" si="26"/>
        <v>MWh_per_ft3_to_kWh_per_US_Gal</v>
      </c>
      <c r="E895" s="3">
        <f>1000/7.48052</f>
        <v>133.68054627218427</v>
      </c>
    </row>
    <row r="896" spans="1:5" x14ac:dyDescent="0.2">
      <c r="A896" s="1" t="s">
        <v>26</v>
      </c>
      <c r="B896" s="2" t="s">
        <v>93</v>
      </c>
      <c r="C896" s="2" t="s">
        <v>51</v>
      </c>
      <c r="D896" s="2" t="str">
        <f t="shared" si="26"/>
        <v>MWh_per_ft3_to_kWh_per_L</v>
      </c>
      <c r="E896" s="3">
        <f>1000/28.3168</f>
        <v>35.314724827664143</v>
      </c>
    </row>
    <row r="897" spans="1:5" x14ac:dyDescent="0.2">
      <c r="A897" s="1" t="s">
        <v>26</v>
      </c>
      <c r="B897" s="2" t="s">
        <v>93</v>
      </c>
      <c r="C897" s="2" t="s">
        <v>54</v>
      </c>
      <c r="D897" s="2" t="str">
        <f>B897 &amp; "_to_" &amp; C897</f>
        <v>MWh_per_ft3_to_kBtu_per_CCF</v>
      </c>
      <c r="E897" s="3">
        <f>3412.14/0.01</f>
        <v>341214</v>
      </c>
    </row>
    <row r="898" spans="1:5" x14ac:dyDescent="0.2">
      <c r="A898" s="1" t="s">
        <v>26</v>
      </c>
      <c r="B898" s="2" t="s">
        <v>93</v>
      </c>
      <c r="C898" s="2" t="s">
        <v>89</v>
      </c>
      <c r="D898" s="2" t="str">
        <f>B898 &amp; "_to_" &amp; C898</f>
        <v>MWh_per_ft3_to_kBtu_per_m3</v>
      </c>
      <c r="E898" s="3">
        <f>3412.14/0.0283168</f>
        <v>120498.78517346592</v>
      </c>
    </row>
    <row r="899" spans="1:5" x14ac:dyDescent="0.2">
      <c r="A899" s="1" t="s">
        <v>26</v>
      </c>
      <c r="B899" s="2" t="s">
        <v>93</v>
      </c>
      <c r="C899" s="2" t="s">
        <v>129</v>
      </c>
      <c r="D899" s="2" t="str">
        <f t="shared" si="26"/>
        <v>MWh_per_ft3_to_kBtu_per_US_Gal</v>
      </c>
      <c r="E899" s="3">
        <f>3412.14/7.48052</f>
        <v>456.13673915717084</v>
      </c>
    </row>
    <row r="900" spans="1:5" x14ac:dyDescent="0.2">
      <c r="A900" s="1" t="s">
        <v>26</v>
      </c>
      <c r="B900" s="2" t="s">
        <v>93</v>
      </c>
      <c r="C900" s="2" t="s">
        <v>55</v>
      </c>
      <c r="D900" s="2" t="str">
        <f t="shared" si="26"/>
        <v>MWh_per_ft3_to_kBtu_per_L</v>
      </c>
      <c r="E900" s="3">
        <f>3412.14/28.3168</f>
        <v>120.49878517346592</v>
      </c>
    </row>
    <row r="901" spans="1:5" x14ac:dyDescent="0.2">
      <c r="A901" s="1" t="s">
        <v>26</v>
      </c>
      <c r="B901" s="2" t="s">
        <v>93</v>
      </c>
      <c r="C901" s="2" t="s">
        <v>56</v>
      </c>
      <c r="D901" s="2" t="str">
        <f t="shared" si="26"/>
        <v>MWh_per_ft3_to_MMBtu_per_CCF</v>
      </c>
      <c r="E901" s="3">
        <f>3.41214/0.01</f>
        <v>341.214</v>
      </c>
    </row>
    <row r="902" spans="1:5" x14ac:dyDescent="0.2">
      <c r="A902" s="1" t="s">
        <v>26</v>
      </c>
      <c r="B902" s="2" t="s">
        <v>93</v>
      </c>
      <c r="C902" s="2" t="s">
        <v>90</v>
      </c>
      <c r="D902" s="2" t="str">
        <f t="shared" si="26"/>
        <v>MWh_per_ft3_to_MMBtu_per_m3</v>
      </c>
      <c r="E902" s="3">
        <f>3.41214/0.0283168</f>
        <v>120.49878517346593</v>
      </c>
    </row>
    <row r="903" spans="1:5" x14ac:dyDescent="0.2">
      <c r="A903" s="1" t="s">
        <v>26</v>
      </c>
      <c r="B903" s="2" t="s">
        <v>93</v>
      </c>
      <c r="C903" s="2" t="s">
        <v>130</v>
      </c>
      <c r="D903" s="2" t="str">
        <f t="shared" si="26"/>
        <v>MWh_per_ft3_to_MMBtu_per_US_Gal</v>
      </c>
      <c r="E903" s="3">
        <f>3.41214/7.48052</f>
        <v>0.45613673915717085</v>
      </c>
    </row>
    <row r="904" spans="1:5" x14ac:dyDescent="0.2">
      <c r="A904" s="1" t="s">
        <v>26</v>
      </c>
      <c r="B904" s="2" t="s">
        <v>93</v>
      </c>
      <c r="C904" s="2" t="s">
        <v>57</v>
      </c>
      <c r="D904" s="2" t="str">
        <f t="shared" si="26"/>
        <v>MWh_per_ft3_to_MMBtu_per_L</v>
      </c>
      <c r="E904" s="3">
        <f>3.41214/28.3168</f>
        <v>0.12049878517346592</v>
      </c>
    </row>
    <row r="905" spans="1:5" x14ac:dyDescent="0.2">
      <c r="A905" s="1" t="s">
        <v>26</v>
      </c>
      <c r="B905" s="2" t="s">
        <v>93</v>
      </c>
      <c r="C905" s="2" t="s">
        <v>58</v>
      </c>
      <c r="D905" s="2" t="str">
        <f t="shared" si="26"/>
        <v>MWh_per_ft3_to_therm_per_CCF</v>
      </c>
      <c r="E905" s="3">
        <f>34.1214/0.01</f>
        <v>3412.14</v>
      </c>
    </row>
    <row r="906" spans="1:5" x14ac:dyDescent="0.2">
      <c r="A906" s="1" t="s">
        <v>26</v>
      </c>
      <c r="B906" s="2" t="s">
        <v>93</v>
      </c>
      <c r="C906" s="2" t="s">
        <v>91</v>
      </c>
      <c r="D906" s="2" t="str">
        <f t="shared" si="26"/>
        <v>MWh_per_ft3_to_therm_per_m3</v>
      </c>
      <c r="E906" s="3">
        <f>34.1214/0.0283168</f>
        <v>1204.9878517346594</v>
      </c>
    </row>
    <row r="907" spans="1:5" x14ac:dyDescent="0.2">
      <c r="A907" s="1" t="s">
        <v>26</v>
      </c>
      <c r="B907" s="2" t="s">
        <v>93</v>
      </c>
      <c r="C907" s="2" t="s">
        <v>131</v>
      </c>
      <c r="D907" s="2" t="str">
        <f>B907 &amp; "_to_" &amp; C907</f>
        <v>MWh_per_ft3_to_therm_per_US_Gal</v>
      </c>
      <c r="E907" s="3">
        <f>34.1214/7.48052</f>
        <v>4.561367391571709</v>
      </c>
    </row>
    <row r="908" spans="1:5" x14ac:dyDescent="0.2">
      <c r="A908" s="1" t="s">
        <v>26</v>
      </c>
      <c r="B908" s="2" t="s">
        <v>93</v>
      </c>
      <c r="C908" s="2" t="s">
        <v>59</v>
      </c>
      <c r="D908" s="2" t="str">
        <f>B908 &amp; "_to_" &amp; C908</f>
        <v>MWh_per_ft3_to_therm_per_L</v>
      </c>
      <c r="E908" s="3">
        <f>34.1214/28.3168</f>
        <v>1.2049878517346593</v>
      </c>
    </row>
    <row r="909" spans="1:5" x14ac:dyDescent="0.2">
      <c r="A909" s="1" t="s">
        <v>26</v>
      </c>
      <c r="B909" s="2" t="s">
        <v>52</v>
      </c>
      <c r="C909" s="2" t="s">
        <v>86</v>
      </c>
      <c r="D909" s="2" t="str">
        <f t="shared" si="26"/>
        <v>MWh_per_CCF_to_Joules_per_ft3</v>
      </c>
      <c r="E909" s="3">
        <f>3600000000/100</f>
        <v>36000000</v>
      </c>
    </row>
    <row r="910" spans="1:5" x14ac:dyDescent="0.2">
      <c r="A910" s="1" t="s">
        <v>26</v>
      </c>
      <c r="B910" s="2" t="s">
        <v>52</v>
      </c>
      <c r="C910" s="2" t="s">
        <v>97</v>
      </c>
      <c r="D910" s="2" t="str">
        <f t="shared" si="26"/>
        <v>MWh_per_CCF_to_Joules_per_m3</v>
      </c>
      <c r="E910" s="3">
        <f>3600000000/2.83168</f>
        <v>1271330093.7959092</v>
      </c>
    </row>
    <row r="911" spans="1:5" x14ac:dyDescent="0.2">
      <c r="A911" s="1" t="s">
        <v>26</v>
      </c>
      <c r="B911" s="2" t="s">
        <v>52</v>
      </c>
      <c r="C911" s="2" t="s">
        <v>132</v>
      </c>
      <c r="D911" s="2" t="str">
        <f t="shared" si="26"/>
        <v>MWh_per_CCF_to_Joules_per_US_Gal</v>
      </c>
      <c r="E911" s="3">
        <f>3600000000/748.052</f>
        <v>4812499.6657986343</v>
      </c>
    </row>
    <row r="912" spans="1:5" x14ac:dyDescent="0.2">
      <c r="A912" s="1" t="s">
        <v>26</v>
      </c>
      <c r="B912" s="2" t="s">
        <v>52</v>
      </c>
      <c r="C912" s="2" t="s">
        <v>61</v>
      </c>
      <c r="D912" s="2" t="str">
        <f t="shared" si="26"/>
        <v>MWh_per_CCF_to_Joules_per_L</v>
      </c>
      <c r="E912" s="3">
        <f>3600000000/2831.68</f>
        <v>1271330.0937959093</v>
      </c>
    </row>
    <row r="913" spans="1:5" x14ac:dyDescent="0.2">
      <c r="A913" s="1" t="s">
        <v>26</v>
      </c>
      <c r="B913" s="2" t="s">
        <v>52</v>
      </c>
      <c r="C913" s="2" t="s">
        <v>92</v>
      </c>
      <c r="D913" s="2" t="str">
        <f t="shared" si="26"/>
        <v>MWh_per_CCF_to_kWh_per_ft3</v>
      </c>
      <c r="E913" s="3">
        <f>1000/100</f>
        <v>10</v>
      </c>
    </row>
    <row r="914" spans="1:5" x14ac:dyDescent="0.2">
      <c r="A914" s="1" t="s">
        <v>26</v>
      </c>
      <c r="B914" s="2" t="s">
        <v>52</v>
      </c>
      <c r="C914" s="2" t="s">
        <v>87</v>
      </c>
      <c r="D914" s="2" t="str">
        <f t="shared" si="26"/>
        <v>MWh_per_CCF_to_kWh_per_m3</v>
      </c>
      <c r="E914" s="3">
        <f>1000/2.83168</f>
        <v>353.14724827664145</v>
      </c>
    </row>
    <row r="915" spans="1:5" x14ac:dyDescent="0.2">
      <c r="A915" s="1" t="s">
        <v>26</v>
      </c>
      <c r="B915" s="2" t="s">
        <v>52</v>
      </c>
      <c r="C915" s="2" t="s">
        <v>127</v>
      </c>
      <c r="D915" s="2" t="str">
        <f t="shared" ref="D915:D934" si="27">B915 &amp; "_to_" &amp; C915</f>
        <v>MWh_per_CCF_to_kWh_per_US_Gal</v>
      </c>
      <c r="E915" s="3">
        <f>1000/748.052</f>
        <v>1.3368054627218429</v>
      </c>
    </row>
    <row r="916" spans="1:5" x14ac:dyDescent="0.2">
      <c r="A916" s="1" t="s">
        <v>26</v>
      </c>
      <c r="B916" s="2" t="s">
        <v>52</v>
      </c>
      <c r="C916" s="2" t="s">
        <v>51</v>
      </c>
      <c r="D916" s="2" t="str">
        <f t="shared" si="27"/>
        <v>MWh_per_CCF_to_kWh_per_L</v>
      </c>
      <c r="E916" s="3">
        <f>1000/2831.68</f>
        <v>0.35314724827664146</v>
      </c>
    </row>
    <row r="917" spans="1:5" x14ac:dyDescent="0.2">
      <c r="A917" s="1" t="s">
        <v>26</v>
      </c>
      <c r="B917" s="2" t="s">
        <v>52</v>
      </c>
      <c r="C917" s="2" t="s">
        <v>94</v>
      </c>
      <c r="D917" s="2" t="str">
        <f t="shared" si="27"/>
        <v>MWh_per_CCF_to_kBtu_per_ft3</v>
      </c>
      <c r="E917" s="3">
        <f>3412.14/100</f>
        <v>34.121400000000001</v>
      </c>
    </row>
    <row r="918" spans="1:5" x14ac:dyDescent="0.2">
      <c r="A918" s="1" t="s">
        <v>26</v>
      </c>
      <c r="B918" s="2" t="s">
        <v>52</v>
      </c>
      <c r="C918" s="2" t="s">
        <v>89</v>
      </c>
      <c r="D918" s="2" t="str">
        <f t="shared" si="27"/>
        <v>MWh_per_CCF_to_kBtu_per_m3</v>
      </c>
      <c r="E918" s="3">
        <f>3412.14/2.83168</f>
        <v>1204.9878517346592</v>
      </c>
    </row>
    <row r="919" spans="1:5" x14ac:dyDescent="0.2">
      <c r="A919" s="1" t="s">
        <v>26</v>
      </c>
      <c r="B919" s="2" t="s">
        <v>52</v>
      </c>
      <c r="C919" s="2" t="s">
        <v>129</v>
      </c>
      <c r="D919" s="2" t="str">
        <f t="shared" si="27"/>
        <v>MWh_per_CCF_to_kBtu_per_US_Gal</v>
      </c>
      <c r="E919" s="3">
        <f>3412.14/748.052</f>
        <v>4.561367391571709</v>
      </c>
    </row>
    <row r="920" spans="1:5" x14ac:dyDescent="0.2">
      <c r="A920" s="1" t="s">
        <v>26</v>
      </c>
      <c r="B920" s="2" t="s">
        <v>52</v>
      </c>
      <c r="C920" s="2" t="s">
        <v>55</v>
      </c>
      <c r="D920" s="2" t="str">
        <f t="shared" si="27"/>
        <v>MWh_per_CCF_to_kBtu_per_L</v>
      </c>
      <c r="E920" s="3">
        <f>3412.14/2831.68</f>
        <v>1.2049878517346593</v>
      </c>
    </row>
    <row r="921" spans="1:5" x14ac:dyDescent="0.2">
      <c r="A921" s="1" t="s">
        <v>26</v>
      </c>
      <c r="B921" s="2" t="s">
        <v>52</v>
      </c>
      <c r="C921" s="2" t="s">
        <v>95</v>
      </c>
      <c r="D921" s="2" t="str">
        <f t="shared" si="27"/>
        <v>MWh_per_CCF_to_MMBtu_per_ft3</v>
      </c>
      <c r="E921" s="3">
        <f>3.41214/100</f>
        <v>3.4121399999999996E-2</v>
      </c>
    </row>
    <row r="922" spans="1:5" x14ac:dyDescent="0.2">
      <c r="A922" s="1" t="s">
        <v>26</v>
      </c>
      <c r="B922" s="2" t="s">
        <v>52</v>
      </c>
      <c r="C922" s="2" t="s">
        <v>90</v>
      </c>
      <c r="D922" s="2" t="str">
        <f t="shared" si="27"/>
        <v>MWh_per_CCF_to_MMBtu_per_m3</v>
      </c>
      <c r="E922" s="3">
        <f>3.41214/2.83168</f>
        <v>1.2049878517346593</v>
      </c>
    </row>
    <row r="923" spans="1:5" x14ac:dyDescent="0.2">
      <c r="A923" s="1" t="s">
        <v>26</v>
      </c>
      <c r="B923" s="2" t="s">
        <v>52</v>
      </c>
      <c r="C923" s="2" t="s">
        <v>130</v>
      </c>
      <c r="D923" s="2" t="str">
        <f t="shared" si="27"/>
        <v>MWh_per_CCF_to_MMBtu_per_US_Gal</v>
      </c>
      <c r="E923" s="3">
        <f>3.41214/748.052</f>
        <v>4.5613673915717084E-3</v>
      </c>
    </row>
    <row r="924" spans="1:5" x14ac:dyDescent="0.2">
      <c r="A924" s="1" t="s">
        <v>26</v>
      </c>
      <c r="B924" s="2" t="s">
        <v>52</v>
      </c>
      <c r="C924" s="2" t="s">
        <v>57</v>
      </c>
      <c r="D924" s="2" t="str">
        <f t="shared" si="27"/>
        <v>MWh_per_CCF_to_MMBtu_per_L</v>
      </c>
      <c r="E924" s="3">
        <f>3.41214/2831.68</f>
        <v>1.2049878517346594E-3</v>
      </c>
    </row>
    <row r="925" spans="1:5" x14ac:dyDescent="0.2">
      <c r="A925" s="1" t="s">
        <v>26</v>
      </c>
      <c r="B925" s="2" t="s">
        <v>52</v>
      </c>
      <c r="C925" s="2" t="s">
        <v>96</v>
      </c>
      <c r="D925" s="2" t="str">
        <f t="shared" si="27"/>
        <v>MWh_per_CCF_to_therm_per_ft3</v>
      </c>
      <c r="E925" s="3">
        <f>34.1214/100</f>
        <v>0.34121400000000002</v>
      </c>
    </row>
    <row r="926" spans="1:5" x14ac:dyDescent="0.2">
      <c r="A926" s="1" t="s">
        <v>26</v>
      </c>
      <c r="B926" s="2" t="s">
        <v>52</v>
      </c>
      <c r="C926" s="2" t="s">
        <v>91</v>
      </c>
      <c r="D926" s="2" t="str">
        <f t="shared" si="27"/>
        <v>MWh_per_CCF_to_therm_per_m3</v>
      </c>
      <c r="E926" s="3">
        <f>34.1214/2.83168</f>
        <v>12.049878517346594</v>
      </c>
    </row>
    <row r="927" spans="1:5" x14ac:dyDescent="0.2">
      <c r="A927" s="1" t="s">
        <v>26</v>
      </c>
      <c r="B927" s="2" t="s">
        <v>52</v>
      </c>
      <c r="C927" s="2" t="s">
        <v>131</v>
      </c>
      <c r="D927" s="2" t="str">
        <f t="shared" si="27"/>
        <v>MWh_per_CCF_to_therm_per_US_Gal</v>
      </c>
      <c r="E927" s="3">
        <f>34.1214/748.052</f>
        <v>4.5613673915717093E-2</v>
      </c>
    </row>
    <row r="928" spans="1:5" x14ac:dyDescent="0.2">
      <c r="A928" s="1" t="s">
        <v>26</v>
      </c>
      <c r="B928" s="2" t="s">
        <v>52</v>
      </c>
      <c r="C928" s="2" t="s">
        <v>59</v>
      </c>
      <c r="D928" s="2" t="str">
        <f t="shared" si="27"/>
        <v>MWh_per_CCF_to_therm_per_L</v>
      </c>
      <c r="E928" s="3">
        <f>34.1214/2831.68</f>
        <v>1.2049878517346594E-2</v>
      </c>
    </row>
    <row r="929" spans="1:5" x14ac:dyDescent="0.2">
      <c r="A929" s="1" t="s">
        <v>26</v>
      </c>
      <c r="B929" s="2" t="s">
        <v>88</v>
      </c>
      <c r="C929" s="2" t="s">
        <v>86</v>
      </c>
      <c r="D929" s="2" t="str">
        <f t="shared" si="27"/>
        <v>MWh_per_m3_to_Joules_per_ft3</v>
      </c>
      <c r="E929" s="3">
        <f>3600000000/35.3147</f>
        <v>101940551.66828544</v>
      </c>
    </row>
    <row r="930" spans="1:5" x14ac:dyDescent="0.2">
      <c r="A930" s="1" t="s">
        <v>26</v>
      </c>
      <c r="B930" s="2" t="s">
        <v>88</v>
      </c>
      <c r="C930" s="2" t="s">
        <v>60</v>
      </c>
      <c r="D930" s="2" t="str">
        <f t="shared" si="27"/>
        <v>MWh_per_m3_to_Joules_per_CCF</v>
      </c>
      <c r="E930" s="3">
        <f>3600000000/0.353147</f>
        <v>10194055166.828545</v>
      </c>
    </row>
    <row r="931" spans="1:5" x14ac:dyDescent="0.2">
      <c r="A931" s="1" t="s">
        <v>26</v>
      </c>
      <c r="B931" s="2" t="s">
        <v>88</v>
      </c>
      <c r="C931" s="2" t="s">
        <v>132</v>
      </c>
      <c r="D931" s="2" t="str">
        <f t="shared" si="27"/>
        <v>MWh_per_m3_to_Joules_per_US_Gal</v>
      </c>
      <c r="E931" s="3">
        <f>3600000000/264.172</f>
        <v>13627485.12332874</v>
      </c>
    </row>
    <row r="932" spans="1:5" x14ac:dyDescent="0.2">
      <c r="A932" s="1" t="s">
        <v>26</v>
      </c>
      <c r="B932" s="2" t="s">
        <v>88</v>
      </c>
      <c r="C932" s="2" t="s">
        <v>61</v>
      </c>
      <c r="D932" s="2" t="str">
        <f t="shared" si="27"/>
        <v>MWh_per_m3_to_Joules_per_L</v>
      </c>
      <c r="E932" s="3">
        <f>3600000000/1000</f>
        <v>3600000</v>
      </c>
    </row>
    <row r="933" spans="1:5" x14ac:dyDescent="0.2">
      <c r="A933" s="1" t="s">
        <v>26</v>
      </c>
      <c r="B933" s="2" t="s">
        <v>88</v>
      </c>
      <c r="C933" s="2" t="s">
        <v>92</v>
      </c>
      <c r="D933" s="2" t="str">
        <f t="shared" si="27"/>
        <v>MWh_per_m3_to_kWh_per_ft3</v>
      </c>
      <c r="E933" s="3">
        <f>1000/35.3147</f>
        <v>28.316819907857067</v>
      </c>
    </row>
    <row r="934" spans="1:5" x14ac:dyDescent="0.2">
      <c r="A934" s="1" t="s">
        <v>26</v>
      </c>
      <c r="B934" s="2" t="s">
        <v>88</v>
      </c>
      <c r="C934" s="2" t="s">
        <v>50</v>
      </c>
      <c r="D934" s="2" t="str">
        <f t="shared" si="27"/>
        <v>MWh_per_m3_to_kWh_per_CCF</v>
      </c>
      <c r="E934" s="3">
        <f>1000/0.353147</f>
        <v>2831.6819907857071</v>
      </c>
    </row>
    <row r="935" spans="1:5" x14ac:dyDescent="0.2">
      <c r="A935" s="1" t="s">
        <v>26</v>
      </c>
      <c r="B935" s="2" t="s">
        <v>88</v>
      </c>
      <c r="C935" s="2" t="s">
        <v>127</v>
      </c>
      <c r="D935" s="2" t="str">
        <f t="shared" si="26"/>
        <v>MWh_per_m3_to_kWh_per_US_Gal</v>
      </c>
      <c r="E935" s="3">
        <f>1000/264.172</f>
        <v>3.7854125342579832</v>
      </c>
    </row>
    <row r="936" spans="1:5" x14ac:dyDescent="0.2">
      <c r="A936" s="1" t="s">
        <v>26</v>
      </c>
      <c r="B936" s="2" t="s">
        <v>88</v>
      </c>
      <c r="C936" s="2" t="s">
        <v>94</v>
      </c>
      <c r="D936" s="2" t="str">
        <f>B936 &amp; "_to_" &amp; C936</f>
        <v>MWh_per_m3_to_kBtu_per_ft3</v>
      </c>
      <c r="E936" s="3">
        <f>3412.14/35.3147</f>
        <v>96.620953880395405</v>
      </c>
    </row>
    <row r="937" spans="1:5" x14ac:dyDescent="0.2">
      <c r="A937" s="1" t="s">
        <v>26</v>
      </c>
      <c r="B937" s="2" t="s">
        <v>88</v>
      </c>
      <c r="C937" s="2" t="s">
        <v>54</v>
      </c>
      <c r="D937" s="2" t="str">
        <f>B937 &amp; "_to_" &amp; C937</f>
        <v>MWh_per_m3_to_kBtu_per_CCF</v>
      </c>
      <c r="E937" s="3">
        <f>3412.14/0.353147</f>
        <v>9662.0953880395409</v>
      </c>
    </row>
    <row r="938" spans="1:5" x14ac:dyDescent="0.2">
      <c r="A938" s="1" t="s">
        <v>26</v>
      </c>
      <c r="B938" s="2" t="s">
        <v>88</v>
      </c>
      <c r="C938" s="2" t="s">
        <v>129</v>
      </c>
      <c r="D938" s="2" t="str">
        <f t="shared" si="26"/>
        <v>MWh_per_m3_to_kBtu_per_US_Gal</v>
      </c>
      <c r="E938" s="3">
        <f>3412.14/264.172</f>
        <v>12.916357524643034</v>
      </c>
    </row>
    <row r="939" spans="1:5" x14ac:dyDescent="0.2">
      <c r="A939" s="1" t="s">
        <v>26</v>
      </c>
      <c r="B939" s="2" t="s">
        <v>88</v>
      </c>
      <c r="C939" s="2" t="s">
        <v>55</v>
      </c>
      <c r="D939" s="2" t="str">
        <f t="shared" si="26"/>
        <v>MWh_per_m3_to_kBtu_per_L</v>
      </c>
      <c r="E939" s="3">
        <f>3412.14/1000</f>
        <v>3.41214</v>
      </c>
    </row>
    <row r="940" spans="1:5" x14ac:dyDescent="0.2">
      <c r="A940" s="1" t="s">
        <v>26</v>
      </c>
      <c r="B940" s="2" t="s">
        <v>88</v>
      </c>
      <c r="C940" s="2" t="s">
        <v>95</v>
      </c>
      <c r="D940" s="2" t="str">
        <f t="shared" si="26"/>
        <v>MWh_per_m3_to_MMBtu_per_ft3</v>
      </c>
      <c r="E940" s="3">
        <f>3.41214/35.3147</f>
        <v>9.6620953880395405E-2</v>
      </c>
    </row>
    <row r="941" spans="1:5" x14ac:dyDescent="0.2">
      <c r="A941" s="1" t="s">
        <v>26</v>
      </c>
      <c r="B941" s="2" t="s">
        <v>88</v>
      </c>
      <c r="C941" s="2" t="s">
        <v>56</v>
      </c>
      <c r="D941" s="2" t="str">
        <f t="shared" si="26"/>
        <v>MWh_per_m3_to_MMBtu_per_CCF</v>
      </c>
      <c r="E941" s="3">
        <f>3.41214/0.353147</f>
        <v>9.6620953880395426</v>
      </c>
    </row>
    <row r="942" spans="1:5" x14ac:dyDescent="0.2">
      <c r="A942" s="1" t="s">
        <v>26</v>
      </c>
      <c r="B942" s="2" t="s">
        <v>88</v>
      </c>
      <c r="C942" s="2" t="s">
        <v>130</v>
      </c>
      <c r="D942" s="2" t="str">
        <f t="shared" si="26"/>
        <v>MWh_per_m3_to_MMBtu_per_US_Gal</v>
      </c>
      <c r="E942" s="3">
        <f>3.41214/264.172</f>
        <v>1.2916357524643034E-2</v>
      </c>
    </row>
    <row r="943" spans="1:5" x14ac:dyDescent="0.2">
      <c r="A943" s="1" t="s">
        <v>26</v>
      </c>
      <c r="B943" s="2" t="s">
        <v>88</v>
      </c>
      <c r="C943" s="2" t="s">
        <v>57</v>
      </c>
      <c r="D943" s="2" t="str">
        <f t="shared" si="26"/>
        <v>MWh_per_m3_to_MMBtu_per_L</v>
      </c>
      <c r="E943" s="3">
        <f>3.41214/1000</f>
        <v>3.4121400000000001E-3</v>
      </c>
    </row>
    <row r="944" spans="1:5" x14ac:dyDescent="0.2">
      <c r="A944" s="1" t="s">
        <v>26</v>
      </c>
      <c r="B944" s="2" t="s">
        <v>88</v>
      </c>
      <c r="C944" s="2" t="s">
        <v>96</v>
      </c>
      <c r="D944" s="2" t="str">
        <f t="shared" si="26"/>
        <v>MWh_per_m3_to_therm_per_ft3</v>
      </c>
      <c r="E944" s="3">
        <f>34.1214/35.3147</f>
        <v>0.9662095388039541</v>
      </c>
    </row>
    <row r="945" spans="1:5" x14ac:dyDescent="0.2">
      <c r="A945" s="1" t="s">
        <v>26</v>
      </c>
      <c r="B945" s="2" t="s">
        <v>88</v>
      </c>
      <c r="C945" s="2" t="s">
        <v>58</v>
      </c>
      <c r="D945" s="2" t="str">
        <f t="shared" si="26"/>
        <v>MWh_per_m3_to_therm_per_CCF</v>
      </c>
      <c r="E945" s="3">
        <f>34.1214/0.353147</f>
        <v>96.620953880395419</v>
      </c>
    </row>
    <row r="946" spans="1:5" x14ac:dyDescent="0.2">
      <c r="A946" s="1" t="s">
        <v>26</v>
      </c>
      <c r="B946" s="2" t="s">
        <v>88</v>
      </c>
      <c r="C946" s="2" t="s">
        <v>131</v>
      </c>
      <c r="D946" s="2" t="str">
        <f>B946 &amp; "_to_" &amp; C946</f>
        <v>MWh_per_m3_to_therm_per_US_Gal</v>
      </c>
      <c r="E946" s="3">
        <f>34.1214/264.172</f>
        <v>0.12916357524643035</v>
      </c>
    </row>
    <row r="947" spans="1:5" x14ac:dyDescent="0.2">
      <c r="A947" s="1" t="s">
        <v>26</v>
      </c>
      <c r="B947" s="2" t="s">
        <v>88</v>
      </c>
      <c r="C947" s="2" t="s">
        <v>59</v>
      </c>
      <c r="D947" s="2" t="str">
        <f>B947 &amp; "_to_" &amp; C947</f>
        <v>MWh_per_m3_to_therm_per_L</v>
      </c>
      <c r="E947" s="3">
        <f>34.1214/1000</f>
        <v>3.4121400000000003E-2</v>
      </c>
    </row>
    <row r="948" spans="1:5" x14ac:dyDescent="0.2">
      <c r="A948" s="1" t="s">
        <v>26</v>
      </c>
      <c r="B948" s="2" t="s">
        <v>128</v>
      </c>
      <c r="C948" s="2" t="s">
        <v>86</v>
      </c>
      <c r="D948" s="2" t="str">
        <f t="shared" si="26"/>
        <v>MWh_per_US_Gal_to_Joules_per_ft3</v>
      </c>
      <c r="E948" s="3">
        <f>3600000000/0.133681</f>
        <v>26929780597.093082</v>
      </c>
    </row>
    <row r="949" spans="1:5" x14ac:dyDescent="0.2">
      <c r="A949" s="1" t="s">
        <v>26</v>
      </c>
      <c r="B949" s="2" t="s">
        <v>128</v>
      </c>
      <c r="C949" s="2" t="s">
        <v>60</v>
      </c>
      <c r="D949" s="2" t="str">
        <f t="shared" si="26"/>
        <v>MWh_per_US_Gal_to_Joules_per_CCF</v>
      </c>
      <c r="E949" s="3">
        <f>3600000000/0.00133681</f>
        <v>2692978059709.3081</v>
      </c>
    </row>
    <row r="950" spans="1:5" x14ac:dyDescent="0.2">
      <c r="A950" s="1" t="s">
        <v>26</v>
      </c>
      <c r="B950" s="2" t="s">
        <v>128</v>
      </c>
      <c r="C950" s="2" t="s">
        <v>97</v>
      </c>
      <c r="D950" s="2" t="str">
        <f t="shared" si="26"/>
        <v>MWh_per_US_Gal_to_Joules_per_m3</v>
      </c>
      <c r="E950" s="3">
        <f>3600000000/0.00378541</f>
        <v>951019836688.76025</v>
      </c>
    </row>
    <row r="951" spans="1:5" x14ac:dyDescent="0.2">
      <c r="A951" s="1" t="s">
        <v>26</v>
      </c>
      <c r="B951" s="2" t="s">
        <v>128</v>
      </c>
      <c r="C951" s="2" t="s">
        <v>61</v>
      </c>
      <c r="D951" s="2" t="str">
        <f t="shared" si="26"/>
        <v>MWh_per_US_Gal_to_Joules_per_L</v>
      </c>
      <c r="E951" s="3">
        <f>3600000000/3.78541</f>
        <v>951019836.68876028</v>
      </c>
    </row>
    <row r="952" spans="1:5" x14ac:dyDescent="0.2">
      <c r="A952" s="1" t="s">
        <v>26</v>
      </c>
      <c r="B952" s="2" t="s">
        <v>128</v>
      </c>
      <c r="C952" s="2" t="s">
        <v>92</v>
      </c>
      <c r="D952" s="2" t="str">
        <f t="shared" si="26"/>
        <v>MWh_per_US_Gal_to_kWh_per_ft3</v>
      </c>
      <c r="E952" s="3">
        <f>1000/0.133681</f>
        <v>7480.4946103036336</v>
      </c>
    </row>
    <row r="953" spans="1:5" x14ac:dyDescent="0.2">
      <c r="A953" s="1" t="s">
        <v>26</v>
      </c>
      <c r="B953" s="2" t="s">
        <v>128</v>
      </c>
      <c r="C953" s="2" t="s">
        <v>50</v>
      </c>
      <c r="D953" s="2" t="str">
        <f t="shared" si="26"/>
        <v>MWh_per_US_Gal_to_kWh_per_CCF</v>
      </c>
      <c r="E953" s="3">
        <f>1000/0.00133681</f>
        <v>748049.46103036334</v>
      </c>
    </row>
    <row r="954" spans="1:5" x14ac:dyDescent="0.2">
      <c r="A954" s="1" t="s">
        <v>26</v>
      </c>
      <c r="B954" s="2" t="s">
        <v>128</v>
      </c>
      <c r="C954" s="2" t="s">
        <v>87</v>
      </c>
      <c r="D954" s="2" t="str">
        <f t="shared" si="26"/>
        <v>MWh_per_US_Gal_to_kWh_per_m3</v>
      </c>
      <c r="E954" s="3">
        <f>1000/0.00378541</f>
        <v>264172.17685798899</v>
      </c>
    </row>
    <row r="955" spans="1:5" x14ac:dyDescent="0.2">
      <c r="A955" s="1" t="s">
        <v>26</v>
      </c>
      <c r="B955" s="2" t="s">
        <v>128</v>
      </c>
      <c r="C955" s="2" t="s">
        <v>51</v>
      </c>
      <c r="D955" s="2" t="str">
        <f t="shared" si="26"/>
        <v>MWh_per_US_Gal_to_kWh_per_L</v>
      </c>
      <c r="E955" s="3">
        <f>1000/3.78541</f>
        <v>264.17217685798897</v>
      </c>
    </row>
    <row r="956" spans="1:5" x14ac:dyDescent="0.2">
      <c r="A956" s="1" t="s">
        <v>26</v>
      </c>
      <c r="B956" s="2" t="s">
        <v>128</v>
      </c>
      <c r="C956" s="2" t="s">
        <v>94</v>
      </c>
      <c r="D956" s="2" t="str">
        <f>B956 &amp; "_to_" &amp; C956</f>
        <v>MWh_per_US_Gal_to_kBtu_per_ft3</v>
      </c>
      <c r="E956" s="3">
        <f>3412.14/0.133681</f>
        <v>25524.49487960144</v>
      </c>
    </row>
    <row r="957" spans="1:5" x14ac:dyDescent="0.2">
      <c r="A957" s="1" t="s">
        <v>26</v>
      </c>
      <c r="B957" s="2" t="s">
        <v>128</v>
      </c>
      <c r="C957" s="2" t="s">
        <v>54</v>
      </c>
      <c r="D957" s="2" t="str">
        <f>B957 &amp; "_to_" &amp; C957</f>
        <v>MWh_per_US_Gal_to_kBtu_per_CCF</v>
      </c>
      <c r="E957" s="3">
        <f>3412.14/0.00133681</f>
        <v>2552449.4879601439</v>
      </c>
    </row>
    <row r="958" spans="1:5" x14ac:dyDescent="0.2">
      <c r="A958" s="1" t="s">
        <v>26</v>
      </c>
      <c r="B958" s="2" t="s">
        <v>128</v>
      </c>
      <c r="C958" s="2" t="s">
        <v>89</v>
      </c>
      <c r="D958" s="2" t="str">
        <f t="shared" ref="D958:D1012" si="28">B958 &amp; "_to_" &amp; C958</f>
        <v>MWh_per_US_Gal_to_kBtu_per_m3</v>
      </c>
      <c r="E958" s="3">
        <f>3412.14/0.00378541</f>
        <v>901392.45154421846</v>
      </c>
    </row>
    <row r="959" spans="1:5" x14ac:dyDescent="0.2">
      <c r="A959" s="1" t="s">
        <v>26</v>
      </c>
      <c r="B959" s="2" t="s">
        <v>128</v>
      </c>
      <c r="C959" s="2" t="s">
        <v>55</v>
      </c>
      <c r="D959" s="2" t="str">
        <f t="shared" si="28"/>
        <v>MWh_per_US_Gal_to_kBtu_per_L</v>
      </c>
      <c r="E959" s="3">
        <f>3412.14/3.78541</f>
        <v>901.39245154421837</v>
      </c>
    </row>
    <row r="960" spans="1:5" x14ac:dyDescent="0.2">
      <c r="A960" s="1" t="s">
        <v>26</v>
      </c>
      <c r="B960" s="2" t="s">
        <v>128</v>
      </c>
      <c r="C960" s="2" t="s">
        <v>95</v>
      </c>
      <c r="D960" s="2" t="str">
        <f t="shared" si="28"/>
        <v>MWh_per_US_Gal_to_MMBtu_per_ft3</v>
      </c>
      <c r="E960" s="3">
        <f>3.41214/0.133681</f>
        <v>25.524494879601441</v>
      </c>
    </row>
    <row r="961" spans="1:5" x14ac:dyDescent="0.2">
      <c r="A961" s="1" t="s">
        <v>26</v>
      </c>
      <c r="B961" s="2" t="s">
        <v>128</v>
      </c>
      <c r="C961" s="2" t="s">
        <v>56</v>
      </c>
      <c r="D961" s="2" t="str">
        <f t="shared" si="28"/>
        <v>MWh_per_US_Gal_to_MMBtu_per_CCF</v>
      </c>
      <c r="E961" s="3">
        <f>3.41214/0.00133681</f>
        <v>2552.4494879601439</v>
      </c>
    </row>
    <row r="962" spans="1:5" x14ac:dyDescent="0.2">
      <c r="A962" s="1" t="s">
        <v>26</v>
      </c>
      <c r="B962" s="2" t="s">
        <v>128</v>
      </c>
      <c r="C962" s="2" t="s">
        <v>90</v>
      </c>
      <c r="D962" s="2" t="str">
        <f t="shared" si="28"/>
        <v>MWh_per_US_Gal_to_MMBtu_per_m3</v>
      </c>
      <c r="E962" s="3">
        <f>3.41214/0.00378541</f>
        <v>901.39245154421849</v>
      </c>
    </row>
    <row r="963" spans="1:5" x14ac:dyDescent="0.2">
      <c r="A963" s="1" t="s">
        <v>26</v>
      </c>
      <c r="B963" s="2" t="s">
        <v>128</v>
      </c>
      <c r="C963" s="2" t="s">
        <v>57</v>
      </c>
      <c r="D963" s="2" t="str">
        <f t="shared" si="28"/>
        <v>MWh_per_US_Gal_to_MMBtu_per_L</v>
      </c>
      <c r="E963" s="3">
        <f>3.41214/3.78541</f>
        <v>0.90139245154421843</v>
      </c>
    </row>
    <row r="964" spans="1:5" x14ac:dyDescent="0.2">
      <c r="A964" s="1" t="s">
        <v>26</v>
      </c>
      <c r="B964" s="2" t="s">
        <v>128</v>
      </c>
      <c r="C964" s="2" t="s">
        <v>96</v>
      </c>
      <c r="D964" s="2" t="str">
        <f t="shared" si="28"/>
        <v>MWh_per_US_Gal_to_therm_per_ft3</v>
      </c>
      <c r="E964" s="3">
        <f>34.1214/0.133681</f>
        <v>255.24494879601443</v>
      </c>
    </row>
    <row r="965" spans="1:5" x14ac:dyDescent="0.2">
      <c r="A965" s="1" t="s">
        <v>26</v>
      </c>
      <c r="B965" s="2" t="s">
        <v>128</v>
      </c>
      <c r="C965" s="2" t="s">
        <v>58</v>
      </c>
      <c r="D965" s="2" t="str">
        <f t="shared" si="28"/>
        <v>MWh_per_US_Gal_to_therm_per_CCF</v>
      </c>
      <c r="E965" s="3">
        <f>34.1214/0.00133681</f>
        <v>25524.494879601443</v>
      </c>
    </row>
    <row r="966" spans="1:5" x14ac:dyDescent="0.2">
      <c r="A966" s="1" t="s">
        <v>26</v>
      </c>
      <c r="B966" s="2" t="s">
        <v>128</v>
      </c>
      <c r="C966" s="2" t="s">
        <v>91</v>
      </c>
      <c r="D966" s="2" t="str">
        <f>B966 &amp; "_to_" &amp; C966</f>
        <v>MWh_per_US_Gal_to_therm_per_m3</v>
      </c>
      <c r="E966" s="3">
        <f>34.1214/0.00378541</f>
        <v>9013.924515442186</v>
      </c>
    </row>
    <row r="967" spans="1:5" x14ac:dyDescent="0.2">
      <c r="A967" s="1" t="s">
        <v>26</v>
      </c>
      <c r="B967" s="2" t="s">
        <v>128</v>
      </c>
      <c r="C967" s="2" t="s">
        <v>59</v>
      </c>
      <c r="D967" s="2" t="str">
        <f>B967 &amp; "_to_" &amp; C967</f>
        <v>MWh_per_US_Gal_to_therm_per_L</v>
      </c>
      <c r="E967" s="3">
        <f>34.1214/3.78541</f>
        <v>9.0139245154421843</v>
      </c>
    </row>
    <row r="968" spans="1:5" x14ac:dyDescent="0.2">
      <c r="A968" s="1" t="s">
        <v>26</v>
      </c>
      <c r="B968" s="2" t="s">
        <v>53</v>
      </c>
      <c r="C968" s="2" t="s">
        <v>86</v>
      </c>
      <c r="D968" s="2" t="str">
        <f t="shared" si="28"/>
        <v>MWh_per_L_to_Joules_per_ft3</v>
      </c>
      <c r="E968" s="3">
        <f>3600000000/0.0353147</f>
        <v>101940551668.28545</v>
      </c>
    </row>
    <row r="969" spans="1:5" x14ac:dyDescent="0.2">
      <c r="A969" s="1" t="s">
        <v>26</v>
      </c>
      <c r="B969" s="2" t="s">
        <v>53</v>
      </c>
      <c r="C969" s="2" t="s">
        <v>60</v>
      </c>
      <c r="D969" s="2" t="str">
        <f t="shared" si="28"/>
        <v>MWh_per_L_to_Joules_per_CCF</v>
      </c>
      <c r="E969" s="3">
        <f>3600000000/0.000353147</f>
        <v>10194055166828.545</v>
      </c>
    </row>
    <row r="970" spans="1:5" x14ac:dyDescent="0.2">
      <c r="A970" s="1" t="s">
        <v>26</v>
      </c>
      <c r="B970" s="2" t="s">
        <v>53</v>
      </c>
      <c r="C970" s="2" t="s">
        <v>97</v>
      </c>
      <c r="D970" s="2" t="str">
        <f t="shared" si="28"/>
        <v>MWh_per_L_to_Joules_per_m3</v>
      </c>
      <c r="E970" s="3">
        <f>3600000000/0.001</f>
        <v>3600000000000</v>
      </c>
    </row>
    <row r="971" spans="1:5" x14ac:dyDescent="0.2">
      <c r="A971" s="1" t="s">
        <v>26</v>
      </c>
      <c r="B971" s="2" t="s">
        <v>53</v>
      </c>
      <c r="C971" s="2" t="s">
        <v>132</v>
      </c>
      <c r="D971" s="2" t="str">
        <f t="shared" si="28"/>
        <v>MWh_per_L_to_Joules_per_US_Gal</v>
      </c>
      <c r="E971" s="3">
        <f>3600000000/0.264172</f>
        <v>13627485123.328739</v>
      </c>
    </row>
    <row r="972" spans="1:5" x14ac:dyDescent="0.2">
      <c r="A972" s="1" t="s">
        <v>26</v>
      </c>
      <c r="B972" s="2" t="s">
        <v>53</v>
      </c>
      <c r="C972" s="2" t="s">
        <v>92</v>
      </c>
      <c r="D972" s="2" t="str">
        <f t="shared" si="28"/>
        <v>MWh_per_L_to_kWh_per_ft3</v>
      </c>
      <c r="E972" s="3">
        <f>1000/0.0353147</f>
        <v>28316.819907857069</v>
      </c>
    </row>
    <row r="973" spans="1:5" x14ac:dyDescent="0.2">
      <c r="A973" s="1" t="s">
        <v>26</v>
      </c>
      <c r="B973" s="2" t="s">
        <v>53</v>
      </c>
      <c r="C973" s="2" t="s">
        <v>50</v>
      </c>
      <c r="D973" s="2" t="str">
        <f t="shared" si="28"/>
        <v>MWh_per_L_to_kWh_per_CCF</v>
      </c>
      <c r="E973" s="3">
        <f>1000/0.000353147</f>
        <v>2831681.9907857068</v>
      </c>
    </row>
    <row r="974" spans="1:5" x14ac:dyDescent="0.2">
      <c r="A974" s="1" t="s">
        <v>26</v>
      </c>
      <c r="B974" s="2" t="s">
        <v>53</v>
      </c>
      <c r="C974" s="2" t="s">
        <v>87</v>
      </c>
      <c r="D974" s="2" t="str">
        <f t="shared" si="28"/>
        <v>MWh_per_L_to_kWh_per_m3</v>
      </c>
      <c r="E974" s="3">
        <f>1000/0.001</f>
        <v>1000000</v>
      </c>
    </row>
    <row r="975" spans="1:5" x14ac:dyDescent="0.2">
      <c r="A975" s="1" t="s">
        <v>26</v>
      </c>
      <c r="B975" s="2" t="s">
        <v>53</v>
      </c>
      <c r="C975" s="2" t="s">
        <v>127</v>
      </c>
      <c r="D975" s="2" t="str">
        <f t="shared" si="28"/>
        <v>MWh_per_L_to_kWh_per_US_Gal</v>
      </c>
      <c r="E975" s="3">
        <f>1000/0.264172</f>
        <v>3785.4125342579832</v>
      </c>
    </row>
    <row r="976" spans="1:5" x14ac:dyDescent="0.2">
      <c r="A976" s="1" t="s">
        <v>26</v>
      </c>
      <c r="B976" s="2" t="s">
        <v>53</v>
      </c>
      <c r="C976" s="2" t="s">
        <v>94</v>
      </c>
      <c r="D976" s="2" t="str">
        <f>B976 &amp; "_to_" &amp; C976</f>
        <v>MWh_per_L_to_kBtu_per_ft3</v>
      </c>
      <c r="E976" s="3">
        <f>3412.14/0.0353147</f>
        <v>96620.95388039542</v>
      </c>
    </row>
    <row r="977" spans="1:5" x14ac:dyDescent="0.2">
      <c r="A977" s="1" t="s">
        <v>26</v>
      </c>
      <c r="B977" s="2" t="s">
        <v>53</v>
      </c>
      <c r="C977" s="2" t="s">
        <v>54</v>
      </c>
      <c r="D977" s="2" t="str">
        <f>B977 &amp; "_to_" &amp; C977</f>
        <v>MWh_per_L_to_kBtu_per_CCF</v>
      </c>
      <c r="E977" s="3">
        <f>3412.14/0.000353147</f>
        <v>9662095.3880395405</v>
      </c>
    </row>
    <row r="978" spans="1:5" x14ac:dyDescent="0.2">
      <c r="A978" s="1" t="s">
        <v>26</v>
      </c>
      <c r="B978" s="2" t="s">
        <v>53</v>
      </c>
      <c r="C978" s="2" t="s">
        <v>89</v>
      </c>
      <c r="D978" s="2" t="str">
        <f t="shared" si="28"/>
        <v>MWh_per_L_to_kBtu_per_m3</v>
      </c>
      <c r="E978" s="3">
        <f>3412.14/0.001</f>
        <v>3412140</v>
      </c>
    </row>
    <row r="979" spans="1:5" x14ac:dyDescent="0.2">
      <c r="A979" s="1" t="s">
        <v>26</v>
      </c>
      <c r="B979" s="2" t="s">
        <v>53</v>
      </c>
      <c r="C979" s="2" t="s">
        <v>129</v>
      </c>
      <c r="D979" s="2" t="str">
        <f t="shared" si="28"/>
        <v>MWh_per_L_to_kBtu_per_US_Gal</v>
      </c>
      <c r="E979" s="3">
        <f>3412.14/0.264172</f>
        <v>12916.357524643034</v>
      </c>
    </row>
    <row r="980" spans="1:5" x14ac:dyDescent="0.2">
      <c r="A980" s="1" t="s">
        <v>26</v>
      </c>
      <c r="B980" s="2" t="s">
        <v>53</v>
      </c>
      <c r="C980" s="2" t="s">
        <v>95</v>
      </c>
      <c r="D980" s="2" t="str">
        <f t="shared" si="28"/>
        <v>MWh_per_L_to_MMBtu_per_ft3</v>
      </c>
      <c r="E980" s="3">
        <f>3.41214/0.0353147</f>
        <v>96.620953880395419</v>
      </c>
    </row>
    <row r="981" spans="1:5" x14ac:dyDescent="0.2">
      <c r="A981" s="1" t="s">
        <v>26</v>
      </c>
      <c r="B981" s="2" t="s">
        <v>53</v>
      </c>
      <c r="C981" s="2" t="s">
        <v>56</v>
      </c>
      <c r="D981" s="2" t="str">
        <f t="shared" si="28"/>
        <v>MWh_per_L_to_MMBtu_per_CCF</v>
      </c>
      <c r="E981" s="3">
        <f>3.41214/0.000353147</f>
        <v>9662.0953880395409</v>
      </c>
    </row>
    <row r="982" spans="1:5" x14ac:dyDescent="0.2">
      <c r="A982" s="1" t="s">
        <v>26</v>
      </c>
      <c r="B982" s="2" t="s">
        <v>53</v>
      </c>
      <c r="C982" s="2" t="s">
        <v>90</v>
      </c>
      <c r="D982" s="2" t="str">
        <f t="shared" si="28"/>
        <v>MWh_per_L_to_MMBtu_per_m3</v>
      </c>
      <c r="E982" s="3">
        <f>3.41214/0.001</f>
        <v>3412.14</v>
      </c>
    </row>
    <row r="983" spans="1:5" x14ac:dyDescent="0.2">
      <c r="A983" s="1" t="s">
        <v>26</v>
      </c>
      <c r="B983" s="2" t="s">
        <v>53</v>
      </c>
      <c r="C983" s="2" t="s">
        <v>130</v>
      </c>
      <c r="D983" s="2" t="str">
        <f t="shared" si="28"/>
        <v>MWh_per_L_to_MMBtu_per_US_Gal</v>
      </c>
      <c r="E983" s="3">
        <f>3.41214/0.264172</f>
        <v>12.916357524643034</v>
      </c>
    </row>
    <row r="984" spans="1:5" x14ac:dyDescent="0.2">
      <c r="A984" s="1" t="s">
        <v>26</v>
      </c>
      <c r="B984" s="2" t="s">
        <v>53</v>
      </c>
      <c r="C984" s="2" t="s">
        <v>96</v>
      </c>
      <c r="D984" s="2" t="str">
        <f t="shared" si="28"/>
        <v>MWh_per_L_to_therm_per_ft3</v>
      </c>
      <c r="E984" s="3">
        <f>34.1214/0.0353147</f>
        <v>966.20953880395427</v>
      </c>
    </row>
    <row r="985" spans="1:5" x14ac:dyDescent="0.2">
      <c r="A985" s="1" t="s">
        <v>26</v>
      </c>
      <c r="B985" s="2" t="s">
        <v>53</v>
      </c>
      <c r="C985" s="2" t="s">
        <v>58</v>
      </c>
      <c r="D985" s="2" t="str">
        <f t="shared" si="28"/>
        <v>MWh_per_L_to_therm_per_CCF</v>
      </c>
      <c r="E985" s="3">
        <f>34.1214/0.000353147</f>
        <v>96620.95388039542</v>
      </c>
    </row>
    <row r="986" spans="1:5" x14ac:dyDescent="0.2">
      <c r="A986" s="1" t="s">
        <v>26</v>
      </c>
      <c r="B986" s="2" t="s">
        <v>53</v>
      </c>
      <c r="C986" s="2" t="s">
        <v>91</v>
      </c>
      <c r="D986" s="2" t="str">
        <f>B986 &amp; "_to_" &amp; C986</f>
        <v>MWh_per_L_to_therm_per_m3</v>
      </c>
      <c r="E986" s="3">
        <f>34.1214/0.001</f>
        <v>34121.4</v>
      </c>
    </row>
    <row r="987" spans="1:5" x14ac:dyDescent="0.2">
      <c r="A987" s="1" t="s">
        <v>26</v>
      </c>
      <c r="B987" s="2" t="s">
        <v>53</v>
      </c>
      <c r="C987" s="2" t="s">
        <v>131</v>
      </c>
      <c r="D987" s="2" t="str">
        <f>B987 &amp; "_to_" &amp; C987</f>
        <v>MWh_per_L_to_therm_per_US_Gal</v>
      </c>
      <c r="E987" s="3">
        <f>34.1214/0.264172</f>
        <v>129.16357524643036</v>
      </c>
    </row>
    <row r="988" spans="1:5" x14ac:dyDescent="0.2">
      <c r="A988" s="1" t="s">
        <v>26</v>
      </c>
      <c r="B988" s="2" t="s">
        <v>94</v>
      </c>
      <c r="C988" s="2" t="s">
        <v>60</v>
      </c>
      <c r="D988" s="2" t="str">
        <f t="shared" si="28"/>
        <v>kBtu_per_ft3_to_Joules_per_CCF</v>
      </c>
      <c r="E988" s="3">
        <f>1055.06/0.01</f>
        <v>105505.99999999999</v>
      </c>
    </row>
    <row r="989" spans="1:5" x14ac:dyDescent="0.2">
      <c r="A989" s="1" t="s">
        <v>26</v>
      </c>
      <c r="B989" s="2" t="s">
        <v>94</v>
      </c>
      <c r="C989" s="2" t="s">
        <v>97</v>
      </c>
      <c r="D989" s="2" t="str">
        <f t="shared" si="28"/>
        <v>kBtu_per_ft3_to_Joules_per_m3</v>
      </c>
      <c r="E989" s="3">
        <f>1055.06/0.0283168</f>
        <v>37259.15357667533</v>
      </c>
    </row>
    <row r="990" spans="1:5" x14ac:dyDescent="0.2">
      <c r="A990" s="1" t="s">
        <v>26</v>
      </c>
      <c r="B990" s="2" t="s">
        <v>94</v>
      </c>
      <c r="C990" s="2" t="s">
        <v>132</v>
      </c>
      <c r="D990" s="2" t="str">
        <f t="shared" si="28"/>
        <v>kBtu_per_ft3_to_Joules_per_US_Gal</v>
      </c>
      <c r="E990" s="3">
        <f>1055.06/7.48052</f>
        <v>141.04099714993075</v>
      </c>
    </row>
    <row r="991" spans="1:5" x14ac:dyDescent="0.2">
      <c r="A991" s="1" t="s">
        <v>26</v>
      </c>
      <c r="B991" s="2" t="s">
        <v>94</v>
      </c>
      <c r="C991" s="2" t="s">
        <v>61</v>
      </c>
      <c r="D991" s="2" t="str">
        <f t="shared" si="28"/>
        <v>kBtu_per_ft3_to_Joules_per_L</v>
      </c>
      <c r="E991" s="3">
        <f>1055.06/28.3168</f>
        <v>37.259153576675331</v>
      </c>
    </row>
    <row r="992" spans="1:5" x14ac:dyDescent="0.2">
      <c r="A992" s="1" t="s">
        <v>26</v>
      </c>
      <c r="B992" s="2" t="s">
        <v>94</v>
      </c>
      <c r="C992" s="2" t="s">
        <v>50</v>
      </c>
      <c r="D992" s="2" t="str">
        <f t="shared" si="28"/>
        <v>kBtu_per_ft3_to_kWh_per_CCF</v>
      </c>
      <c r="E992" s="3">
        <f>0.293071/0.01</f>
        <v>29.307100000000002</v>
      </c>
    </row>
    <row r="993" spans="1:5" x14ac:dyDescent="0.2">
      <c r="A993" s="1" t="s">
        <v>26</v>
      </c>
      <c r="B993" s="2" t="s">
        <v>94</v>
      </c>
      <c r="C993" s="2" t="s">
        <v>87</v>
      </c>
      <c r="D993" s="2" t="str">
        <f t="shared" si="28"/>
        <v>kBtu_per_ft3_to_kWh_per_m3</v>
      </c>
      <c r="E993" s="3">
        <f>0.293071/0.0283168</f>
        <v>10.349721719968359</v>
      </c>
    </row>
    <row r="994" spans="1:5" x14ac:dyDescent="0.2">
      <c r="A994" s="1" t="s">
        <v>26</v>
      </c>
      <c r="B994" s="2" t="s">
        <v>94</v>
      </c>
      <c r="C994" s="2" t="s">
        <v>127</v>
      </c>
      <c r="D994" s="2" t="str">
        <f t="shared" si="28"/>
        <v>kBtu_per_ft3_to_kWh_per_US_Gal</v>
      </c>
      <c r="E994" s="3">
        <f>0.293071/7.48052</f>
        <v>3.9177891376535323E-2</v>
      </c>
    </row>
    <row r="995" spans="1:5" x14ac:dyDescent="0.2">
      <c r="A995" s="1" t="s">
        <v>26</v>
      </c>
      <c r="B995" s="2" t="s">
        <v>94</v>
      </c>
      <c r="C995" s="2" t="s">
        <v>51</v>
      </c>
      <c r="D995" s="2" t="str">
        <f t="shared" si="28"/>
        <v>kBtu_per_ft3_to_kWh_per_L</v>
      </c>
      <c r="E995" s="3">
        <f>0.293071/28.3168</f>
        <v>1.0349721719968358E-2</v>
      </c>
    </row>
    <row r="996" spans="1:5" x14ac:dyDescent="0.2">
      <c r="A996" s="1" t="s">
        <v>26</v>
      </c>
      <c r="B996" s="2" t="s">
        <v>94</v>
      </c>
      <c r="C996" s="2" t="s">
        <v>52</v>
      </c>
      <c r="D996" s="2" t="str">
        <f>B996 &amp; "_to_" &amp; C996</f>
        <v>kBtu_per_ft3_to_MWh_per_CCF</v>
      </c>
      <c r="E996" s="3">
        <f>0.000293071/0.01</f>
        <v>2.9307099999999999E-2</v>
      </c>
    </row>
    <row r="997" spans="1:5" x14ac:dyDescent="0.2">
      <c r="A997" s="1" t="s">
        <v>26</v>
      </c>
      <c r="B997" s="2" t="s">
        <v>94</v>
      </c>
      <c r="C997" s="2" t="s">
        <v>88</v>
      </c>
      <c r="D997" s="2" t="str">
        <f>B997 &amp; "_to_" &amp; C997</f>
        <v>kBtu_per_ft3_to_MWh_per_m3</v>
      </c>
      <c r="E997" s="3">
        <f>0.000293071/0.0283168</f>
        <v>1.0349721719968358E-2</v>
      </c>
    </row>
    <row r="998" spans="1:5" x14ac:dyDescent="0.2">
      <c r="A998" s="1" t="s">
        <v>26</v>
      </c>
      <c r="B998" s="2" t="s">
        <v>94</v>
      </c>
      <c r="C998" s="2" t="s">
        <v>128</v>
      </c>
      <c r="D998" s="2" t="str">
        <f t="shared" si="28"/>
        <v>kBtu_per_ft3_to_MWh_per_US_Gal</v>
      </c>
      <c r="E998" s="3">
        <f>0.000293071/7.48052</f>
        <v>3.9177891376535322E-5</v>
      </c>
    </row>
    <row r="999" spans="1:5" x14ac:dyDescent="0.2">
      <c r="A999" s="1" t="s">
        <v>26</v>
      </c>
      <c r="B999" s="2" t="s">
        <v>94</v>
      </c>
      <c r="C999" s="2" t="s">
        <v>53</v>
      </c>
      <c r="D999" s="2" t="str">
        <f t="shared" si="28"/>
        <v>kBtu_per_ft3_to_MWh_per_L</v>
      </c>
      <c r="E999" s="3">
        <f>0.000293071/28.3168</f>
        <v>1.0349721719968358E-5</v>
      </c>
    </row>
    <row r="1000" spans="1:5" x14ac:dyDescent="0.2">
      <c r="A1000" s="1" t="s">
        <v>26</v>
      </c>
      <c r="B1000" s="2" t="s">
        <v>94</v>
      </c>
      <c r="C1000" s="2" t="s">
        <v>56</v>
      </c>
      <c r="D1000" s="2" t="str">
        <f t="shared" si="28"/>
        <v>kBtu_per_ft3_to_MMBtu_per_CCF</v>
      </c>
      <c r="E1000" s="3">
        <f>0.001/0.01</f>
        <v>0.1</v>
      </c>
    </row>
    <row r="1001" spans="1:5" x14ac:dyDescent="0.2">
      <c r="A1001" s="1" t="s">
        <v>26</v>
      </c>
      <c r="B1001" s="2" t="s">
        <v>94</v>
      </c>
      <c r="C1001" s="2" t="s">
        <v>90</v>
      </c>
      <c r="D1001" s="2" t="str">
        <f t="shared" si="28"/>
        <v>kBtu_per_ft3_to_MMBtu_per_m3</v>
      </c>
      <c r="E1001" s="3">
        <f>0.001/0.0283168</f>
        <v>3.5314724827664144E-2</v>
      </c>
    </row>
    <row r="1002" spans="1:5" x14ac:dyDescent="0.2">
      <c r="A1002" s="1" t="s">
        <v>26</v>
      </c>
      <c r="B1002" s="2" t="s">
        <v>94</v>
      </c>
      <c r="C1002" s="2" t="s">
        <v>130</v>
      </c>
      <c r="D1002" s="2" t="str">
        <f t="shared" si="28"/>
        <v>kBtu_per_ft3_to_MMBtu_per_US_Gal</v>
      </c>
      <c r="E1002" s="3">
        <f>0.001/7.48052</f>
        <v>1.3368054627218429E-4</v>
      </c>
    </row>
    <row r="1003" spans="1:5" x14ac:dyDescent="0.2">
      <c r="A1003" s="1" t="s">
        <v>26</v>
      </c>
      <c r="B1003" s="2" t="s">
        <v>94</v>
      </c>
      <c r="C1003" s="2" t="s">
        <v>57</v>
      </c>
      <c r="D1003" s="2" t="str">
        <f t="shared" si="28"/>
        <v>kBtu_per_ft3_to_MMBtu_per_L</v>
      </c>
      <c r="E1003" s="3">
        <f>0.001/28.3168</f>
        <v>3.5314724827664145E-5</v>
      </c>
    </row>
    <row r="1004" spans="1:5" x14ac:dyDescent="0.2">
      <c r="A1004" s="1" t="s">
        <v>26</v>
      </c>
      <c r="B1004" s="2" t="s">
        <v>94</v>
      </c>
      <c r="C1004" s="2" t="s">
        <v>91</v>
      </c>
      <c r="D1004" s="2" t="str">
        <f t="shared" si="28"/>
        <v>kBtu_per_ft3_to_therm_per_m3</v>
      </c>
      <c r="E1004" s="3">
        <f>0.01/0.0283168</f>
        <v>0.35314724827664146</v>
      </c>
    </row>
    <row r="1005" spans="1:5" x14ac:dyDescent="0.2">
      <c r="A1005" s="1" t="s">
        <v>26</v>
      </c>
      <c r="B1005" s="2" t="s">
        <v>94</v>
      </c>
      <c r="C1005" s="2" t="s">
        <v>131</v>
      </c>
      <c r="D1005" s="2" t="str">
        <f>B1005 &amp; "_to_" &amp; C1005</f>
        <v>kBtu_per_ft3_to_therm_per_US_Gal</v>
      </c>
      <c r="E1005" s="3">
        <f>0.01/7.48052</f>
        <v>1.3368054627218428E-3</v>
      </c>
    </row>
    <row r="1006" spans="1:5" x14ac:dyDescent="0.2">
      <c r="A1006" s="1" t="s">
        <v>26</v>
      </c>
      <c r="B1006" s="2" t="s">
        <v>94</v>
      </c>
      <c r="C1006" s="2" t="s">
        <v>59</v>
      </c>
      <c r="D1006" s="2" t="str">
        <f>B1006 &amp; "_to_" &amp; C1006</f>
        <v>kBtu_per_ft3_to_therm_per_L</v>
      </c>
      <c r="E1006" s="3">
        <f>0.01/28.3168</f>
        <v>3.5314724827664143E-4</v>
      </c>
    </row>
    <row r="1007" spans="1:5" x14ac:dyDescent="0.2">
      <c r="A1007" s="1" t="s">
        <v>26</v>
      </c>
      <c r="B1007" s="2" t="s">
        <v>54</v>
      </c>
      <c r="C1007" s="2" t="s">
        <v>86</v>
      </c>
      <c r="D1007" s="2" t="str">
        <f t="shared" si="28"/>
        <v>kBtu_per_CCF_to_Joules_per_ft3</v>
      </c>
      <c r="E1007" s="3">
        <f>1055.06/100</f>
        <v>10.550599999999999</v>
      </c>
    </row>
    <row r="1008" spans="1:5" x14ac:dyDescent="0.2">
      <c r="A1008" s="1" t="s">
        <v>26</v>
      </c>
      <c r="B1008" s="2" t="s">
        <v>54</v>
      </c>
      <c r="C1008" s="2" t="s">
        <v>97</v>
      </c>
      <c r="D1008" s="2" t="str">
        <f t="shared" si="28"/>
        <v>kBtu_per_CCF_to_Joules_per_m3</v>
      </c>
      <c r="E1008" s="3">
        <f>1055.06/2.83168</f>
        <v>372.59153576675328</v>
      </c>
    </row>
    <row r="1009" spans="1:5" x14ac:dyDescent="0.2">
      <c r="A1009" s="1" t="s">
        <v>26</v>
      </c>
      <c r="B1009" s="2" t="s">
        <v>54</v>
      </c>
      <c r="C1009" s="2" t="s">
        <v>132</v>
      </c>
      <c r="D1009" s="2" t="str">
        <f t="shared" si="28"/>
        <v>kBtu_per_CCF_to_Joules_per_US_Gal</v>
      </c>
      <c r="E1009" s="3">
        <f>1055.06/748.052</f>
        <v>1.4104099714993075</v>
      </c>
    </row>
    <row r="1010" spans="1:5" x14ac:dyDescent="0.2">
      <c r="A1010" s="1" t="s">
        <v>26</v>
      </c>
      <c r="B1010" s="2" t="s">
        <v>54</v>
      </c>
      <c r="C1010" s="2" t="s">
        <v>61</v>
      </c>
      <c r="D1010" s="2" t="str">
        <f t="shared" si="28"/>
        <v>kBtu_per_CCF_to_Joules_per_L</v>
      </c>
      <c r="E1010" s="3">
        <f>1055.06/2831.68</f>
        <v>0.3725915357667533</v>
      </c>
    </row>
    <row r="1011" spans="1:5" x14ac:dyDescent="0.2">
      <c r="A1011" s="1" t="s">
        <v>26</v>
      </c>
      <c r="B1011" s="2" t="s">
        <v>54</v>
      </c>
      <c r="C1011" s="2" t="s">
        <v>92</v>
      </c>
      <c r="D1011" s="2" t="str">
        <f t="shared" si="28"/>
        <v>kBtu_per_CCF_to_kWh_per_ft3</v>
      </c>
      <c r="E1011" s="3">
        <f>0.293071/100</f>
        <v>2.9307100000000004E-3</v>
      </c>
    </row>
    <row r="1012" spans="1:5" x14ac:dyDescent="0.2">
      <c r="A1012" s="1" t="s">
        <v>26</v>
      </c>
      <c r="B1012" s="2" t="s">
        <v>54</v>
      </c>
      <c r="C1012" s="2" t="s">
        <v>87</v>
      </c>
      <c r="D1012" s="2" t="str">
        <f t="shared" si="28"/>
        <v>kBtu_per_CCF_to_kWh_per_m3</v>
      </c>
      <c r="E1012" s="3">
        <f>0.293071/2.83168</f>
        <v>0.10349721719968359</v>
      </c>
    </row>
    <row r="1013" spans="1:5" x14ac:dyDescent="0.2">
      <c r="A1013" s="1" t="s">
        <v>26</v>
      </c>
      <c r="B1013" s="2" t="s">
        <v>54</v>
      </c>
      <c r="C1013" s="2" t="s">
        <v>127</v>
      </c>
      <c r="D1013" s="2" t="str">
        <f t="shared" ref="D1013:D1032" si="29">B1013 &amp; "_to_" &amp; C1013</f>
        <v>kBtu_per_CCF_to_kWh_per_US_Gal</v>
      </c>
      <c r="E1013" s="3">
        <f>0.293071/748.052</f>
        <v>3.9177891376535322E-4</v>
      </c>
    </row>
    <row r="1014" spans="1:5" x14ac:dyDescent="0.2">
      <c r="A1014" s="1" t="s">
        <v>26</v>
      </c>
      <c r="B1014" s="2" t="s">
        <v>54</v>
      </c>
      <c r="C1014" s="2" t="s">
        <v>51</v>
      </c>
      <c r="D1014" s="2" t="str">
        <f t="shared" si="29"/>
        <v>kBtu_per_CCF_to_kWh_per_L</v>
      </c>
      <c r="E1014" s="3">
        <f>0.293071/2831.68</f>
        <v>1.034972171996836E-4</v>
      </c>
    </row>
    <row r="1015" spans="1:5" x14ac:dyDescent="0.2">
      <c r="A1015" s="1" t="s">
        <v>26</v>
      </c>
      <c r="B1015" s="2" t="s">
        <v>54</v>
      </c>
      <c r="C1015" s="2" t="s">
        <v>93</v>
      </c>
      <c r="D1015" s="2" t="str">
        <f t="shared" si="29"/>
        <v>kBtu_per_CCF_to_MWh_per_ft3</v>
      </c>
      <c r="E1015" s="3">
        <f>0.000293071/100</f>
        <v>2.93071E-6</v>
      </c>
    </row>
    <row r="1016" spans="1:5" x14ac:dyDescent="0.2">
      <c r="A1016" s="1" t="s">
        <v>26</v>
      </c>
      <c r="B1016" s="2" t="s">
        <v>54</v>
      </c>
      <c r="C1016" s="2" t="s">
        <v>88</v>
      </c>
      <c r="D1016" s="2" t="str">
        <f t="shared" si="29"/>
        <v>kBtu_per_CCF_to_MWh_per_m3</v>
      </c>
      <c r="E1016" s="3">
        <f>0.000293071/2.83168</f>
        <v>1.0349721719968357E-4</v>
      </c>
    </row>
    <row r="1017" spans="1:5" x14ac:dyDescent="0.2">
      <c r="A1017" s="1" t="s">
        <v>26</v>
      </c>
      <c r="B1017" s="2" t="s">
        <v>54</v>
      </c>
      <c r="C1017" s="2" t="s">
        <v>128</v>
      </c>
      <c r="D1017" s="2" t="str">
        <f t="shared" si="29"/>
        <v>kBtu_per_CCF_to_MWh_per_US_Gal</v>
      </c>
      <c r="E1017" s="3">
        <f>0.000293071/748.052</f>
        <v>3.917789137653532E-7</v>
      </c>
    </row>
    <row r="1018" spans="1:5" x14ac:dyDescent="0.2">
      <c r="A1018" s="1" t="s">
        <v>26</v>
      </c>
      <c r="B1018" s="2" t="s">
        <v>54</v>
      </c>
      <c r="C1018" s="2" t="s">
        <v>53</v>
      </c>
      <c r="D1018" s="2" t="str">
        <f t="shared" si="29"/>
        <v>kBtu_per_CCF_to_MWh_per_L</v>
      </c>
      <c r="E1018" s="3">
        <f>0.000293071/2831.68</f>
        <v>1.0349721719968358E-7</v>
      </c>
    </row>
    <row r="1019" spans="1:5" x14ac:dyDescent="0.2">
      <c r="A1019" s="1" t="s">
        <v>26</v>
      </c>
      <c r="B1019" s="2" t="s">
        <v>54</v>
      </c>
      <c r="C1019" s="2" t="s">
        <v>95</v>
      </c>
      <c r="D1019" s="2" t="str">
        <f t="shared" si="29"/>
        <v>kBtu_per_CCF_to_MMBtu_per_ft3</v>
      </c>
      <c r="E1019" s="3">
        <f>0.001/100</f>
        <v>1.0000000000000001E-5</v>
      </c>
    </row>
    <row r="1020" spans="1:5" x14ac:dyDescent="0.2">
      <c r="A1020" s="1" t="s">
        <v>26</v>
      </c>
      <c r="B1020" s="2" t="s">
        <v>54</v>
      </c>
      <c r="C1020" s="2" t="s">
        <v>90</v>
      </c>
      <c r="D1020" s="2" t="str">
        <f t="shared" si="29"/>
        <v>kBtu_per_CCF_to_MMBtu_per_m3</v>
      </c>
      <c r="E1020" s="3">
        <f>0.001/2.83168</f>
        <v>3.5314724827664143E-4</v>
      </c>
    </row>
    <row r="1021" spans="1:5" x14ac:dyDescent="0.2">
      <c r="A1021" s="1" t="s">
        <v>26</v>
      </c>
      <c r="B1021" s="2" t="s">
        <v>54</v>
      </c>
      <c r="C1021" s="2" t="s">
        <v>130</v>
      </c>
      <c r="D1021" s="2" t="str">
        <f t="shared" si="29"/>
        <v>kBtu_per_CCF_to_MMBtu_per_US_Gal</v>
      </c>
      <c r="E1021" s="3">
        <f>0.001/748.052</f>
        <v>1.3368054627218429E-6</v>
      </c>
    </row>
    <row r="1022" spans="1:5" x14ac:dyDescent="0.2">
      <c r="A1022" s="1" t="s">
        <v>26</v>
      </c>
      <c r="B1022" s="2" t="s">
        <v>54</v>
      </c>
      <c r="C1022" s="2" t="s">
        <v>57</v>
      </c>
      <c r="D1022" s="2" t="str">
        <f t="shared" si="29"/>
        <v>kBtu_per_CCF_to_MMBtu_per_L</v>
      </c>
      <c r="E1022" s="3">
        <f>0.001/2831.68</f>
        <v>3.5314724827664147E-7</v>
      </c>
    </row>
    <row r="1023" spans="1:5" x14ac:dyDescent="0.2">
      <c r="A1023" s="1" t="s">
        <v>26</v>
      </c>
      <c r="B1023" s="2" t="s">
        <v>54</v>
      </c>
      <c r="C1023" s="2" t="s">
        <v>96</v>
      </c>
      <c r="D1023" s="2" t="str">
        <f t="shared" si="29"/>
        <v>kBtu_per_CCF_to_therm_per_ft3</v>
      </c>
      <c r="E1023" s="3">
        <f>0.01/100</f>
        <v>1E-4</v>
      </c>
    </row>
    <row r="1024" spans="1:5" x14ac:dyDescent="0.2">
      <c r="A1024" s="1" t="s">
        <v>26</v>
      </c>
      <c r="B1024" s="2" t="s">
        <v>54</v>
      </c>
      <c r="C1024" s="2" t="s">
        <v>91</v>
      </c>
      <c r="D1024" s="2" t="str">
        <f t="shared" si="29"/>
        <v>kBtu_per_CCF_to_therm_per_m3</v>
      </c>
      <c r="E1024" s="3">
        <f>0.01/2.83168</f>
        <v>3.5314724827664144E-3</v>
      </c>
    </row>
    <row r="1025" spans="1:5" x14ac:dyDescent="0.2">
      <c r="A1025" s="1" t="s">
        <v>26</v>
      </c>
      <c r="B1025" s="2" t="s">
        <v>54</v>
      </c>
      <c r="C1025" s="2" t="s">
        <v>131</v>
      </c>
      <c r="D1025" s="2" t="str">
        <f t="shared" si="29"/>
        <v>kBtu_per_CCF_to_therm_per_US_Gal</v>
      </c>
      <c r="E1025" s="3">
        <f>0.01/748.052</f>
        <v>1.3368054627218428E-5</v>
      </c>
    </row>
    <row r="1026" spans="1:5" x14ac:dyDescent="0.2">
      <c r="A1026" s="1" t="s">
        <v>26</v>
      </c>
      <c r="B1026" s="2" t="s">
        <v>54</v>
      </c>
      <c r="C1026" s="2" t="s">
        <v>59</v>
      </c>
      <c r="D1026" s="2" t="str">
        <f t="shared" si="29"/>
        <v>kBtu_per_CCF_to_therm_per_L</v>
      </c>
      <c r="E1026" s="3">
        <f>0.01/2831.68</f>
        <v>3.5314724827664144E-6</v>
      </c>
    </row>
    <row r="1027" spans="1:5" x14ac:dyDescent="0.2">
      <c r="A1027" s="1" t="s">
        <v>26</v>
      </c>
      <c r="B1027" s="2" t="s">
        <v>89</v>
      </c>
      <c r="C1027" s="2" t="s">
        <v>86</v>
      </c>
      <c r="D1027" s="2" t="str">
        <f t="shared" si="29"/>
        <v>kBtu_per_m3_to_Joules_per_ft3</v>
      </c>
      <c r="E1027" s="3">
        <f>1055.06/35.3147</f>
        <v>29.875944011983673</v>
      </c>
    </row>
    <row r="1028" spans="1:5" x14ac:dyDescent="0.2">
      <c r="A1028" s="1" t="s">
        <v>26</v>
      </c>
      <c r="B1028" s="2" t="s">
        <v>89</v>
      </c>
      <c r="C1028" s="2" t="s">
        <v>60</v>
      </c>
      <c r="D1028" s="2" t="str">
        <f t="shared" si="29"/>
        <v>kBtu_per_m3_to_Joules_per_CCF</v>
      </c>
      <c r="E1028" s="3">
        <f>1055.06/0.353147</f>
        <v>2987.5944011983679</v>
      </c>
    </row>
    <row r="1029" spans="1:5" x14ac:dyDescent="0.2">
      <c r="A1029" s="1" t="s">
        <v>26</v>
      </c>
      <c r="B1029" s="2" t="s">
        <v>89</v>
      </c>
      <c r="C1029" s="2" t="s">
        <v>132</v>
      </c>
      <c r="D1029" s="2" t="str">
        <f t="shared" si="29"/>
        <v>kBtu_per_m3_to_Joules_per_US_Gal</v>
      </c>
      <c r="E1029" s="3">
        <f>1055.06/264.172</f>
        <v>3.9938373483942273</v>
      </c>
    </row>
    <row r="1030" spans="1:5" x14ac:dyDescent="0.2">
      <c r="A1030" s="1" t="s">
        <v>26</v>
      </c>
      <c r="B1030" s="2" t="s">
        <v>89</v>
      </c>
      <c r="C1030" s="2" t="s">
        <v>61</v>
      </c>
      <c r="D1030" s="2" t="str">
        <f t="shared" si="29"/>
        <v>kBtu_per_m3_to_Joules_per_L</v>
      </c>
      <c r="E1030" s="3">
        <f>1055.06/1000</f>
        <v>1.0550599999999999</v>
      </c>
    </row>
    <row r="1031" spans="1:5" x14ac:dyDescent="0.2">
      <c r="A1031" s="1" t="s">
        <v>26</v>
      </c>
      <c r="B1031" s="2" t="s">
        <v>89</v>
      </c>
      <c r="C1031" s="2" t="s">
        <v>92</v>
      </c>
      <c r="D1031" s="2" t="str">
        <f t="shared" si="29"/>
        <v>kBtu_per_m3_to_kWh_per_ft3</v>
      </c>
      <c r="E1031" s="3">
        <f>0.293071/35.3147</f>
        <v>8.2988387272155788E-3</v>
      </c>
    </row>
    <row r="1032" spans="1:5" x14ac:dyDescent="0.2">
      <c r="A1032" s="1" t="s">
        <v>26</v>
      </c>
      <c r="B1032" s="2" t="s">
        <v>89</v>
      </c>
      <c r="C1032" s="2" t="s">
        <v>50</v>
      </c>
      <c r="D1032" s="2" t="str">
        <f t="shared" si="29"/>
        <v>kBtu_per_m3_to_kWh_per_CCF</v>
      </c>
      <c r="E1032" s="3">
        <f>0.293071/0.353147</f>
        <v>0.82988387272155795</v>
      </c>
    </row>
    <row r="1033" spans="1:5" x14ac:dyDescent="0.2">
      <c r="A1033" s="1" t="s">
        <v>26</v>
      </c>
      <c r="B1033" s="2" t="s">
        <v>89</v>
      </c>
      <c r="C1033" s="2" t="s">
        <v>127</v>
      </c>
      <c r="D1033" s="2" t="str">
        <f t="shared" ref="D1033:D1082" si="30">B1033 &amp; "_to_" &amp; C1033</f>
        <v>kBtu_per_m3_to_kWh_per_US_Gal</v>
      </c>
      <c r="E1033" s="3">
        <f>0.293071/264.172</f>
        <v>1.1093946368275214E-3</v>
      </c>
    </row>
    <row r="1034" spans="1:5" x14ac:dyDescent="0.2">
      <c r="A1034" s="1" t="s">
        <v>26</v>
      </c>
      <c r="B1034" s="2" t="s">
        <v>89</v>
      </c>
      <c r="C1034" s="2" t="s">
        <v>51</v>
      </c>
      <c r="D1034" s="2" t="str">
        <f t="shared" si="30"/>
        <v>kBtu_per_m3_to_kWh_per_L</v>
      </c>
      <c r="E1034" s="3">
        <f>0.293071/1000</f>
        <v>2.93071E-4</v>
      </c>
    </row>
    <row r="1035" spans="1:5" x14ac:dyDescent="0.2">
      <c r="A1035" s="1" t="s">
        <v>26</v>
      </c>
      <c r="B1035" s="2" t="s">
        <v>89</v>
      </c>
      <c r="C1035" s="2" t="s">
        <v>93</v>
      </c>
      <c r="D1035" s="2" t="str">
        <f>B1035 &amp; "_to_" &amp; C1035</f>
        <v>kBtu_per_m3_to_MWh_per_ft3</v>
      </c>
      <c r="E1035" s="3">
        <f>0.000293071/35.3147</f>
        <v>8.298838727215578E-6</v>
      </c>
    </row>
    <row r="1036" spans="1:5" x14ac:dyDescent="0.2">
      <c r="A1036" s="1" t="s">
        <v>26</v>
      </c>
      <c r="B1036" s="2" t="s">
        <v>89</v>
      </c>
      <c r="C1036" s="2" t="s">
        <v>52</v>
      </c>
      <c r="D1036" s="2" t="str">
        <f>B1036 &amp; "_to_" &amp; C1036</f>
        <v>kBtu_per_m3_to_MWh_per_CCF</v>
      </c>
      <c r="E1036" s="3">
        <f>0.000293071/0.353147</f>
        <v>8.298838727215579E-4</v>
      </c>
    </row>
    <row r="1037" spans="1:5" x14ac:dyDescent="0.2">
      <c r="A1037" s="1" t="s">
        <v>26</v>
      </c>
      <c r="B1037" s="2" t="s">
        <v>89</v>
      </c>
      <c r="C1037" s="2" t="s">
        <v>128</v>
      </c>
      <c r="D1037" s="2" t="str">
        <f t="shared" si="30"/>
        <v>kBtu_per_m3_to_MWh_per_US_Gal</v>
      </c>
      <c r="E1037" s="3">
        <f>0.000293071/264.172</f>
        <v>1.1093946368275213E-6</v>
      </c>
    </row>
    <row r="1038" spans="1:5" x14ac:dyDescent="0.2">
      <c r="A1038" s="1" t="s">
        <v>26</v>
      </c>
      <c r="B1038" s="2" t="s">
        <v>89</v>
      </c>
      <c r="C1038" s="2" t="s">
        <v>53</v>
      </c>
      <c r="D1038" s="2" t="str">
        <f t="shared" si="30"/>
        <v>kBtu_per_m3_to_MWh_per_L</v>
      </c>
      <c r="E1038" s="3">
        <f>0.000293071/1000</f>
        <v>2.9307099999999999E-7</v>
      </c>
    </row>
    <row r="1039" spans="1:5" x14ac:dyDescent="0.2">
      <c r="A1039" s="1" t="s">
        <v>26</v>
      </c>
      <c r="B1039" s="2" t="s">
        <v>89</v>
      </c>
      <c r="C1039" s="2" t="s">
        <v>95</v>
      </c>
      <c r="D1039" s="2" t="str">
        <f t="shared" si="30"/>
        <v>kBtu_per_m3_to_MMBtu_per_ft3</v>
      </c>
      <c r="E1039" s="3">
        <f>0.001/35.3147</f>
        <v>2.8316819907857067E-5</v>
      </c>
    </row>
    <row r="1040" spans="1:5" x14ac:dyDescent="0.2">
      <c r="A1040" s="1" t="s">
        <v>26</v>
      </c>
      <c r="B1040" s="2" t="s">
        <v>89</v>
      </c>
      <c r="C1040" s="2" t="s">
        <v>56</v>
      </c>
      <c r="D1040" s="2" t="str">
        <f t="shared" si="30"/>
        <v>kBtu_per_m3_to_MMBtu_per_CCF</v>
      </c>
      <c r="E1040" s="3">
        <f>0.001/0.353147</f>
        <v>2.8316819907857069E-3</v>
      </c>
    </row>
    <row r="1041" spans="1:5" x14ac:dyDescent="0.2">
      <c r="A1041" s="1" t="s">
        <v>26</v>
      </c>
      <c r="B1041" s="2" t="s">
        <v>89</v>
      </c>
      <c r="C1041" s="2" t="s">
        <v>130</v>
      </c>
      <c r="D1041" s="2" t="str">
        <f t="shared" si="30"/>
        <v>kBtu_per_m3_to_MMBtu_per_US_Gal</v>
      </c>
      <c r="E1041" s="3">
        <f>0.001/264.172</f>
        <v>3.7854125342579831E-6</v>
      </c>
    </row>
    <row r="1042" spans="1:5" x14ac:dyDescent="0.2">
      <c r="A1042" s="1" t="s">
        <v>26</v>
      </c>
      <c r="B1042" s="2" t="s">
        <v>89</v>
      </c>
      <c r="C1042" s="2" t="s">
        <v>57</v>
      </c>
      <c r="D1042" s="2" t="str">
        <f t="shared" si="30"/>
        <v>kBtu_per_m3_to_MMBtu_per_L</v>
      </c>
      <c r="E1042" s="3">
        <f>0.001/1000</f>
        <v>9.9999999999999995E-7</v>
      </c>
    </row>
    <row r="1043" spans="1:5" x14ac:dyDescent="0.2">
      <c r="A1043" s="1" t="s">
        <v>26</v>
      </c>
      <c r="B1043" s="2" t="s">
        <v>89</v>
      </c>
      <c r="C1043" s="2" t="s">
        <v>96</v>
      </c>
      <c r="D1043" s="2" t="str">
        <f t="shared" si="30"/>
        <v>kBtu_per_m3_to_therm_per_ft3</v>
      </c>
      <c r="E1043" s="3">
        <f>0.01/35.3147</f>
        <v>2.8316819907857067E-4</v>
      </c>
    </row>
    <row r="1044" spans="1:5" x14ac:dyDescent="0.2">
      <c r="A1044" s="1" t="s">
        <v>26</v>
      </c>
      <c r="B1044" s="2" t="s">
        <v>89</v>
      </c>
      <c r="C1044" s="2" t="s">
        <v>58</v>
      </c>
      <c r="D1044" s="2" t="str">
        <f t="shared" si="30"/>
        <v>kBtu_per_m3_to_therm_per_CCF</v>
      </c>
      <c r="E1044" s="3">
        <f>0.01/0.353147</f>
        <v>2.8316819907857071E-2</v>
      </c>
    </row>
    <row r="1045" spans="1:5" x14ac:dyDescent="0.2">
      <c r="A1045" s="1" t="s">
        <v>26</v>
      </c>
      <c r="B1045" s="2" t="s">
        <v>89</v>
      </c>
      <c r="C1045" s="2" t="s">
        <v>131</v>
      </c>
      <c r="D1045" s="2" t="str">
        <f>B1045 &amp; "_to_" &amp; C1045</f>
        <v>kBtu_per_m3_to_therm_per_US_Gal</v>
      </c>
      <c r="E1045" s="3">
        <f>0.01/264.172</f>
        <v>3.7854125342579828E-5</v>
      </c>
    </row>
    <row r="1046" spans="1:5" x14ac:dyDescent="0.2">
      <c r="A1046" s="1" t="s">
        <v>26</v>
      </c>
      <c r="B1046" s="2" t="s">
        <v>89</v>
      </c>
      <c r="C1046" s="2" t="s">
        <v>59</v>
      </c>
      <c r="D1046" s="2" t="str">
        <f>B1046 &amp; "_to_" &amp; C1046</f>
        <v>kBtu_per_m3_to_therm_per_L</v>
      </c>
      <c r="E1046" s="3">
        <f>0.01/1000</f>
        <v>1.0000000000000001E-5</v>
      </c>
    </row>
    <row r="1047" spans="1:5" x14ac:dyDescent="0.2">
      <c r="A1047" s="1" t="s">
        <v>26</v>
      </c>
      <c r="B1047" s="2" t="s">
        <v>129</v>
      </c>
      <c r="C1047" s="2" t="s">
        <v>86</v>
      </c>
      <c r="D1047" s="2" t="str">
        <f t="shared" si="30"/>
        <v>kBtu_per_US_Gal_to_Joules_per_ft3</v>
      </c>
      <c r="E1047" s="3">
        <f>1055.06/0.133681</f>
        <v>7892.3706435469512</v>
      </c>
    </row>
    <row r="1048" spans="1:5" x14ac:dyDescent="0.2">
      <c r="A1048" s="1" t="s">
        <v>26</v>
      </c>
      <c r="B1048" s="2" t="s">
        <v>129</v>
      </c>
      <c r="C1048" s="2" t="s">
        <v>60</v>
      </c>
      <c r="D1048" s="2" t="str">
        <f t="shared" si="30"/>
        <v>kBtu_per_US_Gal_to_Joules_per_CCF</v>
      </c>
      <c r="E1048" s="3">
        <f>1055.06/0.00133681</f>
        <v>789237.06435469515</v>
      </c>
    </row>
    <row r="1049" spans="1:5" x14ac:dyDescent="0.2">
      <c r="A1049" s="1" t="s">
        <v>26</v>
      </c>
      <c r="B1049" s="2" t="s">
        <v>129</v>
      </c>
      <c r="C1049" s="2" t="s">
        <v>97</v>
      </c>
      <c r="D1049" s="2" t="str">
        <f t="shared" si="30"/>
        <v>kBtu_per_US_Gal_to_Joules_per_m3</v>
      </c>
      <c r="E1049" s="3">
        <f>1055.06/0.00378541</f>
        <v>278717.49691578984</v>
      </c>
    </row>
    <row r="1050" spans="1:5" x14ac:dyDescent="0.2">
      <c r="A1050" s="1" t="s">
        <v>26</v>
      </c>
      <c r="B1050" s="2" t="s">
        <v>129</v>
      </c>
      <c r="C1050" s="2" t="s">
        <v>61</v>
      </c>
      <c r="D1050" s="2" t="str">
        <f t="shared" si="30"/>
        <v>kBtu_per_US_Gal_to_Joules_per_L</v>
      </c>
      <c r="E1050" s="3">
        <f>1055.06/3.78541</f>
        <v>278.71749691578981</v>
      </c>
    </row>
    <row r="1051" spans="1:5" x14ac:dyDescent="0.2">
      <c r="A1051" s="1" t="s">
        <v>26</v>
      </c>
      <c r="B1051" s="2" t="s">
        <v>129</v>
      </c>
      <c r="C1051" s="2" t="s">
        <v>92</v>
      </c>
      <c r="D1051" s="2" t="str">
        <f t="shared" si="30"/>
        <v>kBtu_per_US_Gal_to_kWh_per_ft3</v>
      </c>
      <c r="E1051" s="3">
        <f>0.293071/0.133681</f>
        <v>2.1923160359362965</v>
      </c>
    </row>
    <row r="1052" spans="1:5" x14ac:dyDescent="0.2">
      <c r="A1052" s="1" t="s">
        <v>26</v>
      </c>
      <c r="B1052" s="2" t="s">
        <v>129</v>
      </c>
      <c r="C1052" s="2" t="s">
        <v>50</v>
      </c>
      <c r="D1052" s="2" t="str">
        <f t="shared" si="30"/>
        <v>kBtu_per_US_Gal_to_kWh_per_CCF</v>
      </c>
      <c r="E1052" s="3">
        <f>0.293071/0.00133681</f>
        <v>219.23160359362964</v>
      </c>
    </row>
    <row r="1053" spans="1:5" x14ac:dyDescent="0.2">
      <c r="A1053" s="1" t="s">
        <v>26</v>
      </c>
      <c r="B1053" s="2" t="s">
        <v>129</v>
      </c>
      <c r="C1053" s="2" t="s">
        <v>87</v>
      </c>
      <c r="D1053" s="2" t="str">
        <f t="shared" si="30"/>
        <v>kBtu_per_US_Gal_to_kWh_per_m3</v>
      </c>
      <c r="E1053" s="3">
        <f>0.293071/0.00378541</f>
        <v>77.421204043947697</v>
      </c>
    </row>
    <row r="1054" spans="1:5" x14ac:dyDescent="0.2">
      <c r="A1054" s="1" t="s">
        <v>26</v>
      </c>
      <c r="B1054" s="2" t="s">
        <v>129</v>
      </c>
      <c r="C1054" s="2" t="s">
        <v>51</v>
      </c>
      <c r="D1054" s="2" t="str">
        <f t="shared" si="30"/>
        <v>kBtu_per_US_Gal_to_kWh_per_L</v>
      </c>
      <c r="E1054" s="3">
        <f>0.293071/3.78541</f>
        <v>7.7421204043947686E-2</v>
      </c>
    </row>
    <row r="1055" spans="1:5" x14ac:dyDescent="0.2">
      <c r="A1055" s="1" t="s">
        <v>26</v>
      </c>
      <c r="B1055" s="2" t="s">
        <v>129</v>
      </c>
      <c r="C1055" s="2" t="s">
        <v>93</v>
      </c>
      <c r="D1055" s="2" t="str">
        <f>B1055 &amp; "_to_" &amp; C1055</f>
        <v>kBtu_per_US_Gal_to_MWh_per_ft3</v>
      </c>
      <c r="E1055" s="3">
        <f>0.000293071/0.133681</f>
        <v>2.1923160359362962E-3</v>
      </c>
    </row>
    <row r="1056" spans="1:5" x14ac:dyDescent="0.2">
      <c r="A1056" s="1" t="s">
        <v>26</v>
      </c>
      <c r="B1056" s="2" t="s">
        <v>129</v>
      </c>
      <c r="C1056" s="2" t="s">
        <v>52</v>
      </c>
      <c r="D1056" s="2" t="str">
        <f>B1056 &amp; "_to_" &amp; C1056</f>
        <v>kBtu_per_US_Gal_to_MWh_per_CCF</v>
      </c>
      <c r="E1056" s="3">
        <f>0.000293071/0.00133681</f>
        <v>0.21923160359362961</v>
      </c>
    </row>
    <row r="1057" spans="1:5" x14ac:dyDescent="0.2">
      <c r="A1057" s="1" t="s">
        <v>26</v>
      </c>
      <c r="B1057" s="2" t="s">
        <v>129</v>
      </c>
      <c r="C1057" s="2" t="s">
        <v>88</v>
      </c>
      <c r="D1057" s="2" t="str">
        <f t="shared" si="30"/>
        <v>kBtu_per_US_Gal_to_MWh_per_m3</v>
      </c>
      <c r="E1057" s="3">
        <f>0.000293071/0.00378541</f>
        <v>7.7421204043947686E-2</v>
      </c>
    </row>
    <row r="1058" spans="1:5" x14ac:dyDescent="0.2">
      <c r="A1058" s="1" t="s">
        <v>26</v>
      </c>
      <c r="B1058" s="2" t="s">
        <v>129</v>
      </c>
      <c r="C1058" s="2" t="s">
        <v>53</v>
      </c>
      <c r="D1058" s="2" t="str">
        <f t="shared" si="30"/>
        <v>kBtu_per_US_Gal_to_MWh_per_L</v>
      </c>
      <c r="E1058" s="3">
        <f>0.000293071/3.78541</f>
        <v>7.7421204043947675E-5</v>
      </c>
    </row>
    <row r="1059" spans="1:5" x14ac:dyDescent="0.2">
      <c r="A1059" s="1" t="s">
        <v>26</v>
      </c>
      <c r="B1059" s="2" t="s">
        <v>129</v>
      </c>
      <c r="C1059" s="2" t="s">
        <v>95</v>
      </c>
      <c r="D1059" s="2" t="str">
        <f t="shared" si="30"/>
        <v>kBtu_per_US_Gal_to_MMBtu_per_ft3</v>
      </c>
      <c r="E1059" s="3">
        <f>0.001/0.133681</f>
        <v>7.4804946103036339E-3</v>
      </c>
    </row>
    <row r="1060" spans="1:5" x14ac:dyDescent="0.2">
      <c r="A1060" s="1" t="s">
        <v>26</v>
      </c>
      <c r="B1060" s="2" t="s">
        <v>129</v>
      </c>
      <c r="C1060" s="2" t="s">
        <v>56</v>
      </c>
      <c r="D1060" s="2" t="str">
        <f t="shared" si="30"/>
        <v>kBtu_per_US_Gal_to_MMBtu_per_CCF</v>
      </c>
      <c r="E1060" s="3">
        <f>0.001/0.00133681</f>
        <v>0.74804946103036341</v>
      </c>
    </row>
    <row r="1061" spans="1:5" x14ac:dyDescent="0.2">
      <c r="A1061" s="1" t="s">
        <v>26</v>
      </c>
      <c r="B1061" s="2" t="s">
        <v>129</v>
      </c>
      <c r="C1061" s="2" t="s">
        <v>90</v>
      </c>
      <c r="D1061" s="2" t="str">
        <f t="shared" si="30"/>
        <v>kBtu_per_US_Gal_to_MMBtu_per_m3</v>
      </c>
      <c r="E1061" s="3">
        <f>0.001/0.00378541</f>
        <v>0.26417217685798899</v>
      </c>
    </row>
    <row r="1062" spans="1:5" x14ac:dyDescent="0.2">
      <c r="A1062" s="1" t="s">
        <v>26</v>
      </c>
      <c r="B1062" s="2" t="s">
        <v>129</v>
      </c>
      <c r="C1062" s="2" t="s">
        <v>57</v>
      </c>
      <c r="D1062" s="2" t="str">
        <f t="shared" si="30"/>
        <v>kBtu_per_US_Gal_to_MMBtu_per_L</v>
      </c>
      <c r="E1062" s="3">
        <f>0.001/3.78541</f>
        <v>2.6417217685798894E-4</v>
      </c>
    </row>
    <row r="1063" spans="1:5" x14ac:dyDescent="0.2">
      <c r="A1063" s="1" t="s">
        <v>26</v>
      </c>
      <c r="B1063" s="2" t="s">
        <v>129</v>
      </c>
      <c r="C1063" s="2" t="s">
        <v>96</v>
      </c>
      <c r="D1063" s="2" t="str">
        <f t="shared" si="30"/>
        <v>kBtu_per_US_Gal_to_therm_per_ft3</v>
      </c>
      <c r="E1063" s="3">
        <f>0.01/0.133681</f>
        <v>7.4804946103036341E-2</v>
      </c>
    </row>
    <row r="1064" spans="1:5" x14ac:dyDescent="0.2">
      <c r="A1064" s="1" t="s">
        <v>26</v>
      </c>
      <c r="B1064" s="2" t="s">
        <v>129</v>
      </c>
      <c r="C1064" s="2" t="s">
        <v>58</v>
      </c>
      <c r="D1064" s="2" t="str">
        <f t="shared" si="30"/>
        <v>kBtu_per_US_Gal_to_therm_per_CCF</v>
      </c>
      <c r="E1064" s="3">
        <f>0.01/0.00133681</f>
        <v>7.4804946103036336</v>
      </c>
    </row>
    <row r="1065" spans="1:5" x14ac:dyDescent="0.2">
      <c r="A1065" s="1" t="s">
        <v>26</v>
      </c>
      <c r="B1065" s="2" t="s">
        <v>129</v>
      </c>
      <c r="C1065" s="2" t="s">
        <v>91</v>
      </c>
      <c r="D1065" s="2" t="str">
        <f>B1065 &amp; "_to_" &amp; C1065</f>
        <v>kBtu_per_US_Gal_to_therm_per_m3</v>
      </c>
      <c r="E1065" s="3">
        <f>0.01/0.00378541</f>
        <v>2.6417217685798899</v>
      </c>
    </row>
    <row r="1066" spans="1:5" x14ac:dyDescent="0.2">
      <c r="A1066" s="1" t="s">
        <v>26</v>
      </c>
      <c r="B1066" s="2" t="s">
        <v>129</v>
      </c>
      <c r="C1066" s="2" t="s">
        <v>59</v>
      </c>
      <c r="D1066" s="2" t="str">
        <f>B1066 &amp; "_to_" &amp; C1066</f>
        <v>kBtu_per_US_Gal_to_therm_per_L</v>
      </c>
      <c r="E1066" s="3">
        <f>0.01/3.78541</f>
        <v>2.6417217685798895E-3</v>
      </c>
    </row>
    <row r="1067" spans="1:5" x14ac:dyDescent="0.2">
      <c r="A1067" s="1" t="s">
        <v>26</v>
      </c>
      <c r="B1067" s="2" t="s">
        <v>55</v>
      </c>
      <c r="C1067" s="2" t="s">
        <v>86</v>
      </c>
      <c r="D1067" s="2" t="str">
        <f t="shared" si="30"/>
        <v>kBtu_per_L_to_Joules_per_ft3</v>
      </c>
      <c r="E1067" s="3">
        <f>1055.06/0.0353147</f>
        <v>29875.94401198368</v>
      </c>
    </row>
    <row r="1068" spans="1:5" x14ac:dyDescent="0.2">
      <c r="A1068" s="1" t="s">
        <v>26</v>
      </c>
      <c r="B1068" s="2" t="s">
        <v>55</v>
      </c>
      <c r="C1068" s="2" t="s">
        <v>60</v>
      </c>
      <c r="D1068" s="2" t="str">
        <f t="shared" si="30"/>
        <v>kBtu_per_L_to_Joules_per_CCF</v>
      </c>
      <c r="E1068" s="3">
        <f>1055.06/0.000353147</f>
        <v>2987594.4011983676</v>
      </c>
    </row>
    <row r="1069" spans="1:5" x14ac:dyDescent="0.2">
      <c r="A1069" s="1" t="s">
        <v>26</v>
      </c>
      <c r="B1069" s="2" t="s">
        <v>55</v>
      </c>
      <c r="C1069" s="2" t="s">
        <v>97</v>
      </c>
      <c r="D1069" s="2" t="str">
        <f t="shared" si="30"/>
        <v>kBtu_per_L_to_Joules_per_m3</v>
      </c>
      <c r="E1069" s="3">
        <f>1055.06/0.001</f>
        <v>1055060</v>
      </c>
    </row>
    <row r="1070" spans="1:5" x14ac:dyDescent="0.2">
      <c r="A1070" s="1" t="s">
        <v>26</v>
      </c>
      <c r="B1070" s="2" t="s">
        <v>55</v>
      </c>
      <c r="C1070" s="2" t="s">
        <v>132</v>
      </c>
      <c r="D1070" s="2" t="str">
        <f t="shared" si="30"/>
        <v>kBtu_per_L_to_Joules_per_US_Gal</v>
      </c>
      <c r="E1070" s="3">
        <f>1055.06/0.264172</f>
        <v>3993.8373483942273</v>
      </c>
    </row>
    <row r="1071" spans="1:5" x14ac:dyDescent="0.2">
      <c r="A1071" s="1" t="s">
        <v>26</v>
      </c>
      <c r="B1071" s="2" t="s">
        <v>55</v>
      </c>
      <c r="C1071" s="2" t="s">
        <v>92</v>
      </c>
      <c r="D1071" s="2" t="str">
        <f t="shared" si="30"/>
        <v>kBtu_per_L_to_kWh_per_ft3</v>
      </c>
      <c r="E1071" s="3">
        <f>0.293071/0.0353147</f>
        <v>8.2988387272155801</v>
      </c>
    </row>
    <row r="1072" spans="1:5" x14ac:dyDescent="0.2">
      <c r="A1072" s="1" t="s">
        <v>26</v>
      </c>
      <c r="B1072" s="2" t="s">
        <v>55</v>
      </c>
      <c r="C1072" s="2" t="s">
        <v>50</v>
      </c>
      <c r="D1072" s="2" t="str">
        <f t="shared" si="30"/>
        <v>kBtu_per_L_to_kWh_per_CCF</v>
      </c>
      <c r="E1072" s="3">
        <f>0.293071/0.000353147</f>
        <v>829.88387272155796</v>
      </c>
    </row>
    <row r="1073" spans="1:5" x14ac:dyDescent="0.2">
      <c r="A1073" s="1" t="s">
        <v>26</v>
      </c>
      <c r="B1073" s="2" t="s">
        <v>55</v>
      </c>
      <c r="C1073" s="2" t="s">
        <v>87</v>
      </c>
      <c r="D1073" s="2" t="str">
        <f t="shared" si="30"/>
        <v>kBtu_per_L_to_kWh_per_m3</v>
      </c>
      <c r="E1073" s="3">
        <f>0.293071/0.001</f>
        <v>293.07100000000003</v>
      </c>
    </row>
    <row r="1074" spans="1:5" x14ac:dyDescent="0.2">
      <c r="A1074" s="1" t="s">
        <v>26</v>
      </c>
      <c r="B1074" s="2" t="s">
        <v>55</v>
      </c>
      <c r="C1074" s="2" t="s">
        <v>127</v>
      </c>
      <c r="D1074" s="2" t="str">
        <f t="shared" si="30"/>
        <v>kBtu_per_L_to_kWh_per_US_Gal</v>
      </c>
      <c r="E1074" s="3">
        <f>0.293071/0.264172</f>
        <v>1.1093946368275216</v>
      </c>
    </row>
    <row r="1075" spans="1:5" x14ac:dyDescent="0.2">
      <c r="A1075" s="1" t="s">
        <v>26</v>
      </c>
      <c r="B1075" s="2" t="s">
        <v>55</v>
      </c>
      <c r="C1075" s="2" t="s">
        <v>93</v>
      </c>
      <c r="D1075" s="2" t="str">
        <f>B1075 &amp; "_to_" &amp; C1075</f>
        <v>kBtu_per_L_to_MWh_per_ft3</v>
      </c>
      <c r="E1075" s="3">
        <f>0.000293071/0.0353147</f>
        <v>8.2988387272155788E-3</v>
      </c>
    </row>
    <row r="1076" spans="1:5" x14ac:dyDescent="0.2">
      <c r="A1076" s="1" t="s">
        <v>26</v>
      </c>
      <c r="B1076" s="2" t="s">
        <v>55</v>
      </c>
      <c r="C1076" s="2" t="s">
        <v>52</v>
      </c>
      <c r="D1076" s="2" t="str">
        <f>B1076 &amp; "_to_" &amp; C1076</f>
        <v>kBtu_per_L_to_MWh_per_CCF</v>
      </c>
      <c r="E1076" s="3">
        <f>0.000293071/0.000353147</f>
        <v>0.82988387272155784</v>
      </c>
    </row>
    <row r="1077" spans="1:5" x14ac:dyDescent="0.2">
      <c r="A1077" s="1" t="s">
        <v>26</v>
      </c>
      <c r="B1077" s="2" t="s">
        <v>55</v>
      </c>
      <c r="C1077" s="2" t="s">
        <v>88</v>
      </c>
      <c r="D1077" s="2" t="str">
        <f t="shared" si="30"/>
        <v>kBtu_per_L_to_MWh_per_m3</v>
      </c>
      <c r="E1077" s="3">
        <f>0.000293071/0.001</f>
        <v>0.29307099999999997</v>
      </c>
    </row>
    <row r="1078" spans="1:5" x14ac:dyDescent="0.2">
      <c r="A1078" s="1" t="s">
        <v>26</v>
      </c>
      <c r="B1078" s="2" t="s">
        <v>55</v>
      </c>
      <c r="C1078" s="2" t="s">
        <v>128</v>
      </c>
      <c r="D1078" s="2" t="str">
        <f t="shared" si="30"/>
        <v>kBtu_per_L_to_MWh_per_US_Gal</v>
      </c>
      <c r="E1078" s="3">
        <f>0.000293071/0.264172</f>
        <v>1.1093946368275214E-3</v>
      </c>
    </row>
    <row r="1079" spans="1:5" x14ac:dyDescent="0.2">
      <c r="A1079" s="1" t="s">
        <v>26</v>
      </c>
      <c r="B1079" s="2" t="s">
        <v>55</v>
      </c>
      <c r="C1079" s="2" t="s">
        <v>95</v>
      </c>
      <c r="D1079" s="2" t="str">
        <f t="shared" si="30"/>
        <v>kBtu_per_L_to_MMBtu_per_ft3</v>
      </c>
      <c r="E1079" s="3">
        <f>0.001/0.0353147</f>
        <v>2.8316819907857071E-2</v>
      </c>
    </row>
    <row r="1080" spans="1:5" x14ac:dyDescent="0.2">
      <c r="A1080" s="1" t="s">
        <v>26</v>
      </c>
      <c r="B1080" s="2" t="s">
        <v>55</v>
      </c>
      <c r="C1080" s="2" t="s">
        <v>56</v>
      </c>
      <c r="D1080" s="2" t="str">
        <f t="shared" si="30"/>
        <v>kBtu_per_L_to_MMBtu_per_CCF</v>
      </c>
      <c r="E1080" s="3">
        <f>0.001/0.000353147</f>
        <v>2.8316819907857069</v>
      </c>
    </row>
    <row r="1081" spans="1:5" x14ac:dyDescent="0.2">
      <c r="A1081" s="1" t="s">
        <v>26</v>
      </c>
      <c r="B1081" s="2" t="s">
        <v>55</v>
      </c>
      <c r="C1081" s="2" t="s">
        <v>130</v>
      </c>
      <c r="D1081" s="2" t="str">
        <f t="shared" si="30"/>
        <v>kBtu_per_L_to_MMBtu_per_US_Gal</v>
      </c>
      <c r="E1081" s="3">
        <f>0.001/0.264172</f>
        <v>3.7854125342579831E-3</v>
      </c>
    </row>
    <row r="1082" spans="1:5" x14ac:dyDescent="0.2">
      <c r="A1082" s="1" t="s">
        <v>26</v>
      </c>
      <c r="B1082" s="2" t="s">
        <v>55</v>
      </c>
      <c r="C1082" s="2" t="s">
        <v>96</v>
      </c>
      <c r="D1082" s="2" t="str">
        <f t="shared" si="30"/>
        <v>kBtu_per_L_to_therm_per_ft3</v>
      </c>
      <c r="E1082" s="3">
        <f>0.01/0.0353147</f>
        <v>0.28316819907857071</v>
      </c>
    </row>
    <row r="1083" spans="1:5" x14ac:dyDescent="0.2">
      <c r="A1083" s="1" t="s">
        <v>26</v>
      </c>
      <c r="B1083" s="2" t="s">
        <v>55</v>
      </c>
      <c r="C1083" s="2" t="s">
        <v>58</v>
      </c>
      <c r="D1083" s="2" t="str">
        <f t="shared" ref="D1083:D1145" si="31">B1083 &amp; "_to_" &amp; C1083</f>
        <v>kBtu_per_L_to_therm_per_CCF</v>
      </c>
      <c r="E1083" s="3">
        <f>0.01/0.000353147</f>
        <v>28.31681990785707</v>
      </c>
    </row>
    <row r="1084" spans="1:5" x14ac:dyDescent="0.2">
      <c r="A1084" s="1" t="s">
        <v>26</v>
      </c>
      <c r="B1084" s="2" t="s">
        <v>55</v>
      </c>
      <c r="C1084" s="2" t="s">
        <v>91</v>
      </c>
      <c r="D1084" s="2" t="str">
        <f>B1084 &amp; "_to_" &amp; C1084</f>
        <v>kBtu_per_L_to_therm_per_m3</v>
      </c>
      <c r="E1084" s="3">
        <f>0.01/0.001</f>
        <v>10</v>
      </c>
    </row>
    <row r="1085" spans="1:5" x14ac:dyDescent="0.2">
      <c r="A1085" s="1" t="s">
        <v>26</v>
      </c>
      <c r="B1085" s="2" t="s">
        <v>55</v>
      </c>
      <c r="C1085" s="2" t="s">
        <v>131</v>
      </c>
      <c r="D1085" s="2" t="str">
        <f>B1085 &amp; "_to_" &amp; C1085</f>
        <v>kBtu_per_L_to_therm_per_US_Gal</v>
      </c>
      <c r="E1085" s="3">
        <f>0.01/0.264172</f>
        <v>3.7854125342579835E-2</v>
      </c>
    </row>
    <row r="1086" spans="1:5" x14ac:dyDescent="0.2">
      <c r="A1086" s="1" t="s">
        <v>26</v>
      </c>
      <c r="B1086" s="2" t="s">
        <v>95</v>
      </c>
      <c r="C1086" s="2" t="s">
        <v>60</v>
      </c>
      <c r="D1086" s="2" t="str">
        <f t="shared" si="31"/>
        <v>MMBtu_per_ft3_to_Joules_per_CCF</v>
      </c>
      <c r="E1086" s="3">
        <f>1055060000/0.01</f>
        <v>105506000000</v>
      </c>
    </row>
    <row r="1087" spans="1:5" x14ac:dyDescent="0.2">
      <c r="A1087" s="1" t="s">
        <v>26</v>
      </c>
      <c r="B1087" s="2" t="s">
        <v>95</v>
      </c>
      <c r="C1087" s="2" t="s">
        <v>97</v>
      </c>
      <c r="D1087" s="2" t="str">
        <f t="shared" si="31"/>
        <v>MMBtu_per_ft3_to_Joules_per_m3</v>
      </c>
      <c r="E1087" s="3">
        <f>1055060000/0.0283168</f>
        <v>37259153576.675331</v>
      </c>
    </row>
    <row r="1088" spans="1:5" x14ac:dyDescent="0.2">
      <c r="A1088" s="1" t="s">
        <v>26</v>
      </c>
      <c r="B1088" s="2" t="s">
        <v>95</v>
      </c>
      <c r="C1088" s="2" t="s">
        <v>132</v>
      </c>
      <c r="D1088" s="2" t="str">
        <f t="shared" si="31"/>
        <v>MMBtu_per_ft3_to_Joules_per_US_Gal</v>
      </c>
      <c r="E1088" s="3">
        <f>1055060000/7.48052</f>
        <v>141040997.14993075</v>
      </c>
    </row>
    <row r="1089" spans="1:5" x14ac:dyDescent="0.2">
      <c r="A1089" s="1" t="s">
        <v>26</v>
      </c>
      <c r="B1089" s="2" t="s">
        <v>95</v>
      </c>
      <c r="C1089" s="2" t="s">
        <v>61</v>
      </c>
      <c r="D1089" s="2" t="str">
        <f t="shared" si="31"/>
        <v>MMBtu_per_ft3_to_Joules_per_L</v>
      </c>
      <c r="E1089" s="3">
        <f>1055060000/28.3168</f>
        <v>37259153.576675333</v>
      </c>
    </row>
    <row r="1090" spans="1:5" x14ac:dyDescent="0.2">
      <c r="A1090" s="1" t="s">
        <v>26</v>
      </c>
      <c r="B1090" s="2" t="s">
        <v>95</v>
      </c>
      <c r="C1090" s="2" t="s">
        <v>50</v>
      </c>
      <c r="D1090" s="2" t="str">
        <f t="shared" si="31"/>
        <v>MMBtu_per_ft3_to_kWh_per_CCF</v>
      </c>
      <c r="E1090" s="3">
        <f>293.071/0.01</f>
        <v>29307.100000000002</v>
      </c>
    </row>
    <row r="1091" spans="1:5" x14ac:dyDescent="0.2">
      <c r="A1091" s="1" t="s">
        <v>26</v>
      </c>
      <c r="B1091" s="2" t="s">
        <v>95</v>
      </c>
      <c r="C1091" s="2" t="s">
        <v>87</v>
      </c>
      <c r="D1091" s="2" t="str">
        <f t="shared" si="31"/>
        <v>MMBtu_per_ft3_to_kWh_per_m3</v>
      </c>
      <c r="E1091" s="3">
        <f>293.071/0.0283168</f>
        <v>10349.721719968358</v>
      </c>
    </row>
    <row r="1092" spans="1:5" x14ac:dyDescent="0.2">
      <c r="A1092" s="1" t="s">
        <v>26</v>
      </c>
      <c r="B1092" s="2" t="s">
        <v>95</v>
      </c>
      <c r="C1092" s="2" t="s">
        <v>127</v>
      </c>
      <c r="D1092" s="2" t="str">
        <f t="shared" si="31"/>
        <v>MMBtu_per_ft3_to_kWh_per_US_Gal</v>
      </c>
      <c r="E1092" s="3">
        <f>293.071/7.48052</f>
        <v>39.177891376535321</v>
      </c>
    </row>
    <row r="1093" spans="1:5" x14ac:dyDescent="0.2">
      <c r="A1093" s="1" t="s">
        <v>26</v>
      </c>
      <c r="B1093" s="2" t="s">
        <v>95</v>
      </c>
      <c r="C1093" s="2" t="s">
        <v>51</v>
      </c>
      <c r="D1093" s="2" t="str">
        <f t="shared" si="31"/>
        <v>MMBtu_per_ft3_to_kWh_per_L</v>
      </c>
      <c r="E1093" s="3">
        <f>293.071/28.3168</f>
        <v>10.349721719968359</v>
      </c>
    </row>
    <row r="1094" spans="1:5" x14ac:dyDescent="0.2">
      <c r="A1094" s="1" t="s">
        <v>26</v>
      </c>
      <c r="B1094" s="2" t="s">
        <v>95</v>
      </c>
      <c r="C1094" s="2" t="s">
        <v>52</v>
      </c>
      <c r="D1094" s="2" t="str">
        <f>B1094 &amp; "_to_" &amp; C1094</f>
        <v>MMBtu_per_ft3_to_MWh_per_CCF</v>
      </c>
      <c r="E1094" s="3">
        <f>0.293071/0.01</f>
        <v>29.307100000000002</v>
      </c>
    </row>
    <row r="1095" spans="1:5" x14ac:dyDescent="0.2">
      <c r="A1095" s="1" t="s">
        <v>26</v>
      </c>
      <c r="B1095" s="2" t="s">
        <v>95</v>
      </c>
      <c r="C1095" s="2" t="s">
        <v>88</v>
      </c>
      <c r="D1095" s="2" t="str">
        <f>B1095 &amp; "_to_" &amp; C1095</f>
        <v>MMBtu_per_ft3_to_MWh_per_m3</v>
      </c>
      <c r="E1095" s="3">
        <f>0.293071/0.0283168</f>
        <v>10.349721719968359</v>
      </c>
    </row>
    <row r="1096" spans="1:5" x14ac:dyDescent="0.2">
      <c r="A1096" s="1" t="s">
        <v>26</v>
      </c>
      <c r="B1096" s="2" t="s">
        <v>95</v>
      </c>
      <c r="C1096" s="2" t="s">
        <v>128</v>
      </c>
      <c r="D1096" s="2" t="str">
        <f t="shared" si="31"/>
        <v>MMBtu_per_ft3_to_MWh_per_US_Gal</v>
      </c>
      <c r="E1096" s="3">
        <f>0.293071/7.48052</f>
        <v>3.9177891376535323E-2</v>
      </c>
    </row>
    <row r="1097" spans="1:5" x14ac:dyDescent="0.2">
      <c r="A1097" s="1" t="s">
        <v>26</v>
      </c>
      <c r="B1097" s="2" t="s">
        <v>95</v>
      </c>
      <c r="C1097" s="2" t="s">
        <v>53</v>
      </c>
      <c r="D1097" s="2" t="str">
        <f t="shared" si="31"/>
        <v>MMBtu_per_ft3_to_MWh_per_L</v>
      </c>
      <c r="E1097" s="3">
        <f>0.293071/28.3168</f>
        <v>1.0349721719968358E-2</v>
      </c>
    </row>
    <row r="1098" spans="1:5" x14ac:dyDescent="0.2">
      <c r="A1098" s="1" t="s">
        <v>26</v>
      </c>
      <c r="B1098" s="2" t="s">
        <v>95</v>
      </c>
      <c r="C1098" s="2" t="s">
        <v>54</v>
      </c>
      <c r="D1098" s="2" t="str">
        <f t="shared" si="31"/>
        <v>MMBtu_per_ft3_to_kBtu_per_CCF</v>
      </c>
      <c r="E1098" s="3">
        <f>1000/0.01</f>
        <v>100000</v>
      </c>
    </row>
    <row r="1099" spans="1:5" x14ac:dyDescent="0.2">
      <c r="A1099" s="1" t="s">
        <v>26</v>
      </c>
      <c r="B1099" s="2" t="s">
        <v>95</v>
      </c>
      <c r="C1099" s="2" t="s">
        <v>89</v>
      </c>
      <c r="D1099" s="2" t="str">
        <f t="shared" si="31"/>
        <v>MMBtu_per_ft3_to_kBtu_per_m3</v>
      </c>
      <c r="E1099" s="3">
        <f>1000/0.0283168</f>
        <v>35314.72482766414</v>
      </c>
    </row>
    <row r="1100" spans="1:5" x14ac:dyDescent="0.2">
      <c r="A1100" s="1" t="s">
        <v>26</v>
      </c>
      <c r="B1100" s="2" t="s">
        <v>95</v>
      </c>
      <c r="C1100" s="2" t="s">
        <v>129</v>
      </c>
      <c r="D1100" s="2" t="str">
        <f t="shared" si="31"/>
        <v>MMBtu_per_ft3_to_kBtu_per_US_Gal</v>
      </c>
      <c r="E1100" s="3">
        <f>1000/7.48052</f>
        <v>133.68054627218427</v>
      </c>
    </row>
    <row r="1101" spans="1:5" x14ac:dyDescent="0.2">
      <c r="A1101" s="1" t="s">
        <v>26</v>
      </c>
      <c r="B1101" s="2" t="s">
        <v>95</v>
      </c>
      <c r="C1101" s="2" t="s">
        <v>55</v>
      </c>
      <c r="D1101" s="2" t="str">
        <f t="shared" si="31"/>
        <v>MMBtu_per_ft3_to_kBtu_per_L</v>
      </c>
      <c r="E1101" s="3">
        <f>1000/28.3168</f>
        <v>35.314724827664143</v>
      </c>
    </row>
    <row r="1102" spans="1:5" x14ac:dyDescent="0.2">
      <c r="A1102" s="1" t="s">
        <v>26</v>
      </c>
      <c r="B1102" s="2" t="s">
        <v>95</v>
      </c>
      <c r="C1102" s="2" t="s">
        <v>58</v>
      </c>
      <c r="D1102" s="2" t="str">
        <f t="shared" si="31"/>
        <v>MMBtu_per_ft3_to_therm_per_CCF</v>
      </c>
      <c r="E1102" s="3">
        <f>10/0.01</f>
        <v>1000</v>
      </c>
    </row>
    <row r="1103" spans="1:5" x14ac:dyDescent="0.2">
      <c r="A1103" s="1" t="s">
        <v>26</v>
      </c>
      <c r="B1103" s="2" t="s">
        <v>95</v>
      </c>
      <c r="C1103" s="2" t="s">
        <v>91</v>
      </c>
      <c r="D1103" s="2" t="str">
        <f t="shared" si="31"/>
        <v>MMBtu_per_ft3_to_therm_per_m3</v>
      </c>
      <c r="E1103" s="3">
        <f>10/0.0283168</f>
        <v>353.14724827664145</v>
      </c>
    </row>
    <row r="1104" spans="1:5" x14ac:dyDescent="0.2">
      <c r="A1104" s="1" t="s">
        <v>26</v>
      </c>
      <c r="B1104" s="2" t="s">
        <v>95</v>
      </c>
      <c r="C1104" s="2" t="s">
        <v>131</v>
      </c>
      <c r="D1104" s="2" t="str">
        <f>B1104 &amp; "_to_" &amp; C1104</f>
        <v>MMBtu_per_ft3_to_therm_per_US_Gal</v>
      </c>
      <c r="E1104" s="3">
        <f>10/7.48052</f>
        <v>1.3368054627218429</v>
      </c>
    </row>
    <row r="1105" spans="1:5" x14ac:dyDescent="0.2">
      <c r="A1105" s="1" t="s">
        <v>26</v>
      </c>
      <c r="B1105" s="2" t="s">
        <v>95</v>
      </c>
      <c r="C1105" s="2" t="s">
        <v>59</v>
      </c>
      <c r="D1105" s="2" t="str">
        <f>B1105 &amp; "_to_" &amp; C1105</f>
        <v>MMBtu_per_ft3_to_therm_per_L</v>
      </c>
      <c r="E1105" s="3">
        <f>10/28.3168</f>
        <v>0.3531472482766414</v>
      </c>
    </row>
    <row r="1106" spans="1:5" x14ac:dyDescent="0.2">
      <c r="A1106" s="1" t="s">
        <v>26</v>
      </c>
      <c r="B1106" s="2" t="s">
        <v>56</v>
      </c>
      <c r="C1106" s="2" t="s">
        <v>86</v>
      </c>
      <c r="D1106" s="2" t="str">
        <f t="shared" si="31"/>
        <v>MMBtu_per_CCF_to_Joules_per_ft3</v>
      </c>
      <c r="E1106" s="3">
        <f>1055060000/100</f>
        <v>10550600</v>
      </c>
    </row>
    <row r="1107" spans="1:5" x14ac:dyDescent="0.2">
      <c r="A1107" s="1" t="s">
        <v>26</v>
      </c>
      <c r="B1107" s="2" t="s">
        <v>56</v>
      </c>
      <c r="C1107" s="2" t="s">
        <v>97</v>
      </c>
      <c r="D1107" s="2" t="str">
        <f t="shared" si="31"/>
        <v>MMBtu_per_CCF_to_Joules_per_m3</v>
      </c>
      <c r="E1107" s="3">
        <f>1055060000/2.83168</f>
        <v>372591535.76675332</v>
      </c>
    </row>
    <row r="1108" spans="1:5" x14ac:dyDescent="0.2">
      <c r="A1108" s="1" t="s">
        <v>26</v>
      </c>
      <c r="B1108" s="2" t="s">
        <v>56</v>
      </c>
      <c r="C1108" s="2" t="s">
        <v>132</v>
      </c>
      <c r="D1108" s="2" t="str">
        <f t="shared" si="31"/>
        <v>MMBtu_per_CCF_to_Joules_per_US_Gal</v>
      </c>
      <c r="E1108" s="3">
        <f>1055060000/748.052</f>
        <v>1410409.9714993075</v>
      </c>
    </row>
    <row r="1109" spans="1:5" x14ac:dyDescent="0.2">
      <c r="A1109" s="1" t="s">
        <v>26</v>
      </c>
      <c r="B1109" s="2" t="s">
        <v>56</v>
      </c>
      <c r="C1109" s="2" t="s">
        <v>61</v>
      </c>
      <c r="D1109" s="2" t="str">
        <f t="shared" si="31"/>
        <v>MMBtu_per_CCF_to_Joules_per_L</v>
      </c>
      <c r="E1109" s="3">
        <f>1055060000/2831.68</f>
        <v>372591.53576675331</v>
      </c>
    </row>
    <row r="1110" spans="1:5" x14ac:dyDescent="0.2">
      <c r="A1110" s="1" t="s">
        <v>26</v>
      </c>
      <c r="B1110" s="2" t="s">
        <v>56</v>
      </c>
      <c r="C1110" s="2" t="s">
        <v>92</v>
      </c>
      <c r="D1110" s="2" t="str">
        <f t="shared" si="31"/>
        <v>MMBtu_per_CCF_to_kWh_per_ft3</v>
      </c>
      <c r="E1110" s="3">
        <f>293.071/100</f>
        <v>2.9307100000000004</v>
      </c>
    </row>
    <row r="1111" spans="1:5" x14ac:dyDescent="0.2">
      <c r="A1111" s="1" t="s">
        <v>26</v>
      </c>
      <c r="B1111" s="2" t="s">
        <v>56</v>
      </c>
      <c r="C1111" s="2" t="s">
        <v>87</v>
      </c>
      <c r="D1111" s="2" t="str">
        <f t="shared" si="31"/>
        <v>MMBtu_per_CCF_to_kWh_per_m3</v>
      </c>
      <c r="E1111" s="3">
        <f>293.071/2.83168</f>
        <v>103.49721719968359</v>
      </c>
    </row>
    <row r="1112" spans="1:5" x14ac:dyDescent="0.2">
      <c r="A1112" s="1" t="s">
        <v>26</v>
      </c>
      <c r="B1112" s="2" t="s">
        <v>56</v>
      </c>
      <c r="C1112" s="2" t="s">
        <v>127</v>
      </c>
      <c r="D1112" s="2" t="str">
        <f t="shared" ref="D1112:D1131" si="32">B1112 &amp; "_to_" &amp; C1112</f>
        <v>MMBtu_per_CCF_to_kWh_per_US_Gal</v>
      </c>
      <c r="E1112" s="3">
        <f>293.071/748.052</f>
        <v>0.39177891376535323</v>
      </c>
    </row>
    <row r="1113" spans="1:5" x14ac:dyDescent="0.2">
      <c r="A1113" s="1" t="s">
        <v>26</v>
      </c>
      <c r="B1113" s="2" t="s">
        <v>56</v>
      </c>
      <c r="C1113" s="2" t="s">
        <v>51</v>
      </c>
      <c r="D1113" s="2" t="str">
        <f t="shared" si="32"/>
        <v>MMBtu_per_CCF_to_kWh_per_L</v>
      </c>
      <c r="E1113" s="3">
        <f>293.071/2831.68</f>
        <v>0.10349721719968359</v>
      </c>
    </row>
    <row r="1114" spans="1:5" x14ac:dyDescent="0.2">
      <c r="A1114" s="1" t="s">
        <v>26</v>
      </c>
      <c r="B1114" s="2" t="s">
        <v>56</v>
      </c>
      <c r="C1114" s="2" t="s">
        <v>93</v>
      </c>
      <c r="D1114" s="2" t="str">
        <f t="shared" si="32"/>
        <v>MMBtu_per_CCF_to_MWh_per_ft3</v>
      </c>
      <c r="E1114" s="3">
        <f>0.293071/100</f>
        <v>2.9307100000000004E-3</v>
      </c>
    </row>
    <row r="1115" spans="1:5" x14ac:dyDescent="0.2">
      <c r="A1115" s="1" t="s">
        <v>26</v>
      </c>
      <c r="B1115" s="2" t="s">
        <v>56</v>
      </c>
      <c r="C1115" s="2" t="s">
        <v>88</v>
      </c>
      <c r="D1115" s="2" t="str">
        <f t="shared" si="32"/>
        <v>MMBtu_per_CCF_to_MWh_per_m3</v>
      </c>
      <c r="E1115" s="3">
        <f>0.293071/2.83168</f>
        <v>0.10349721719968359</v>
      </c>
    </row>
    <row r="1116" spans="1:5" x14ac:dyDescent="0.2">
      <c r="A1116" s="1" t="s">
        <v>26</v>
      </c>
      <c r="B1116" s="2" t="s">
        <v>56</v>
      </c>
      <c r="C1116" s="2" t="s">
        <v>128</v>
      </c>
      <c r="D1116" s="2" t="str">
        <f t="shared" si="32"/>
        <v>MMBtu_per_CCF_to_MWh_per_US_Gal</v>
      </c>
      <c r="E1116" s="3">
        <f>0.293071/748.052</f>
        <v>3.9177891376535322E-4</v>
      </c>
    </row>
    <row r="1117" spans="1:5" x14ac:dyDescent="0.2">
      <c r="A1117" s="1" t="s">
        <v>26</v>
      </c>
      <c r="B1117" s="2" t="s">
        <v>56</v>
      </c>
      <c r="C1117" s="2" t="s">
        <v>53</v>
      </c>
      <c r="D1117" s="2" t="str">
        <f t="shared" si="32"/>
        <v>MMBtu_per_CCF_to_MWh_per_L</v>
      </c>
      <c r="E1117" s="3">
        <f>0.293071/2831.68</f>
        <v>1.034972171996836E-4</v>
      </c>
    </row>
    <row r="1118" spans="1:5" x14ac:dyDescent="0.2">
      <c r="A1118" s="1" t="s">
        <v>26</v>
      </c>
      <c r="B1118" s="2" t="s">
        <v>56</v>
      </c>
      <c r="C1118" s="2" t="s">
        <v>94</v>
      </c>
      <c r="D1118" s="2" t="str">
        <f t="shared" si="32"/>
        <v>MMBtu_per_CCF_to_kBtu_per_ft3</v>
      </c>
      <c r="E1118" s="3">
        <f>1000/100</f>
        <v>10</v>
      </c>
    </row>
    <row r="1119" spans="1:5" x14ac:dyDescent="0.2">
      <c r="A1119" s="1" t="s">
        <v>26</v>
      </c>
      <c r="B1119" s="2" t="s">
        <v>56</v>
      </c>
      <c r="C1119" s="2" t="s">
        <v>89</v>
      </c>
      <c r="D1119" s="2" t="str">
        <f t="shared" si="32"/>
        <v>MMBtu_per_CCF_to_kBtu_per_m3</v>
      </c>
      <c r="E1119" s="3">
        <f>1000/2.83168</f>
        <v>353.14724827664145</v>
      </c>
    </row>
    <row r="1120" spans="1:5" x14ac:dyDescent="0.2">
      <c r="A1120" s="1" t="s">
        <v>26</v>
      </c>
      <c r="B1120" s="2" t="s">
        <v>56</v>
      </c>
      <c r="C1120" s="2" t="s">
        <v>129</v>
      </c>
      <c r="D1120" s="2" t="str">
        <f t="shared" si="32"/>
        <v>MMBtu_per_CCF_to_kBtu_per_US_Gal</v>
      </c>
      <c r="E1120" s="3">
        <f>1000/748.052</f>
        <v>1.3368054627218429</v>
      </c>
    </row>
    <row r="1121" spans="1:5" x14ac:dyDescent="0.2">
      <c r="A1121" s="1" t="s">
        <v>26</v>
      </c>
      <c r="B1121" s="2" t="s">
        <v>56</v>
      </c>
      <c r="C1121" s="2" t="s">
        <v>55</v>
      </c>
      <c r="D1121" s="2" t="str">
        <f t="shared" si="32"/>
        <v>MMBtu_per_CCF_to_kBtu_per_L</v>
      </c>
      <c r="E1121" s="3">
        <f>1000/2831.68</f>
        <v>0.35314724827664146</v>
      </c>
    </row>
    <row r="1122" spans="1:5" x14ac:dyDescent="0.2">
      <c r="A1122" s="1" t="s">
        <v>26</v>
      </c>
      <c r="B1122" s="2" t="s">
        <v>56</v>
      </c>
      <c r="C1122" s="2" t="s">
        <v>96</v>
      </c>
      <c r="D1122" s="2" t="str">
        <f t="shared" si="32"/>
        <v>MMBtu_per_CCF_to_therm_per_ft3</v>
      </c>
      <c r="E1122" s="3">
        <f>10/100</f>
        <v>0.1</v>
      </c>
    </row>
    <row r="1123" spans="1:5" x14ac:dyDescent="0.2">
      <c r="A1123" s="1" t="s">
        <v>26</v>
      </c>
      <c r="B1123" s="2" t="s">
        <v>56</v>
      </c>
      <c r="C1123" s="2" t="s">
        <v>91</v>
      </c>
      <c r="D1123" s="2" t="str">
        <f t="shared" si="32"/>
        <v>MMBtu_per_CCF_to_therm_per_m3</v>
      </c>
      <c r="E1123" s="3">
        <f>10/2.83168</f>
        <v>3.5314724827664143</v>
      </c>
    </row>
    <row r="1124" spans="1:5" x14ac:dyDescent="0.2">
      <c r="A1124" s="1" t="s">
        <v>26</v>
      </c>
      <c r="B1124" s="2" t="s">
        <v>56</v>
      </c>
      <c r="C1124" s="2" t="s">
        <v>131</v>
      </c>
      <c r="D1124" s="2" t="str">
        <f t="shared" si="32"/>
        <v>MMBtu_per_CCF_to_therm_per_US_Gal</v>
      </c>
      <c r="E1124" s="3">
        <f>10/748.052</f>
        <v>1.3368054627218429E-2</v>
      </c>
    </row>
    <row r="1125" spans="1:5" x14ac:dyDescent="0.2">
      <c r="A1125" s="1" t="s">
        <v>26</v>
      </c>
      <c r="B1125" s="2" t="s">
        <v>56</v>
      </c>
      <c r="C1125" s="2" t="s">
        <v>59</v>
      </c>
      <c r="D1125" s="2" t="str">
        <f t="shared" si="32"/>
        <v>MMBtu_per_CCF_to_therm_per_L</v>
      </c>
      <c r="E1125" s="3">
        <f>10/2831.68</f>
        <v>3.5314724827664144E-3</v>
      </c>
    </row>
    <row r="1126" spans="1:5" x14ac:dyDescent="0.2">
      <c r="A1126" s="1" t="s">
        <v>26</v>
      </c>
      <c r="B1126" s="2" t="s">
        <v>90</v>
      </c>
      <c r="C1126" s="2" t="s">
        <v>86</v>
      </c>
      <c r="D1126" s="2" t="str">
        <f t="shared" si="32"/>
        <v>MMBtu_per_m3_to_Joules_per_ft3</v>
      </c>
      <c r="E1126" s="3">
        <f>1055060000/35.3147</f>
        <v>29875944.011983678</v>
      </c>
    </row>
    <row r="1127" spans="1:5" x14ac:dyDescent="0.2">
      <c r="A1127" s="1" t="s">
        <v>26</v>
      </c>
      <c r="B1127" s="2" t="s">
        <v>90</v>
      </c>
      <c r="C1127" s="2" t="s">
        <v>60</v>
      </c>
      <c r="D1127" s="2" t="str">
        <f t="shared" si="32"/>
        <v>MMBtu_per_m3_to_Joules_per_CCF</v>
      </c>
      <c r="E1127" s="3">
        <f>1055060000/0.353147</f>
        <v>2987594401.1983681</v>
      </c>
    </row>
    <row r="1128" spans="1:5" x14ac:dyDescent="0.2">
      <c r="A1128" s="1" t="s">
        <v>26</v>
      </c>
      <c r="B1128" s="2" t="s">
        <v>90</v>
      </c>
      <c r="C1128" s="2" t="s">
        <v>132</v>
      </c>
      <c r="D1128" s="2" t="str">
        <f t="shared" si="32"/>
        <v>MMBtu_per_m3_to_Joules_per_US_Gal</v>
      </c>
      <c r="E1128" s="3">
        <f>1055060000/264.172</f>
        <v>3993837.3483942277</v>
      </c>
    </row>
    <row r="1129" spans="1:5" x14ac:dyDescent="0.2">
      <c r="A1129" s="1" t="s">
        <v>26</v>
      </c>
      <c r="B1129" s="2" t="s">
        <v>90</v>
      </c>
      <c r="C1129" s="2" t="s">
        <v>61</v>
      </c>
      <c r="D1129" s="2" t="str">
        <f t="shared" si="32"/>
        <v>MMBtu_per_m3_to_Joules_per_L</v>
      </c>
      <c r="E1129" s="3">
        <f>1055060000/1000</f>
        <v>1055060</v>
      </c>
    </row>
    <row r="1130" spans="1:5" x14ac:dyDescent="0.2">
      <c r="A1130" s="1" t="s">
        <v>26</v>
      </c>
      <c r="B1130" s="2" t="s">
        <v>90</v>
      </c>
      <c r="C1130" s="2" t="s">
        <v>92</v>
      </c>
      <c r="D1130" s="2" t="str">
        <f t="shared" si="32"/>
        <v>MMBtu_per_m3_to_kWh_per_ft3</v>
      </c>
      <c r="E1130" s="3">
        <f>293.071/35.3147</f>
        <v>8.2988387272155784</v>
      </c>
    </row>
    <row r="1131" spans="1:5" x14ac:dyDescent="0.2">
      <c r="A1131" s="1" t="s">
        <v>26</v>
      </c>
      <c r="B1131" s="2" t="s">
        <v>90</v>
      </c>
      <c r="C1131" s="2" t="s">
        <v>50</v>
      </c>
      <c r="D1131" s="2" t="str">
        <f t="shared" si="32"/>
        <v>MMBtu_per_m3_to_kWh_per_CCF</v>
      </c>
      <c r="E1131" s="3">
        <f>293.071/0.353147</f>
        <v>829.88387272155796</v>
      </c>
    </row>
    <row r="1132" spans="1:5" x14ac:dyDescent="0.2">
      <c r="A1132" s="1" t="s">
        <v>26</v>
      </c>
      <c r="B1132" s="2" t="s">
        <v>90</v>
      </c>
      <c r="C1132" s="2" t="s">
        <v>127</v>
      </c>
      <c r="D1132" s="2" t="str">
        <f t="shared" si="31"/>
        <v>MMBtu_per_m3_to_kWh_per_US_Gal</v>
      </c>
      <c r="E1132" s="3">
        <f>293.071/264.172</f>
        <v>1.1093946368275214</v>
      </c>
    </row>
    <row r="1133" spans="1:5" x14ac:dyDescent="0.2">
      <c r="A1133" s="1" t="s">
        <v>26</v>
      </c>
      <c r="B1133" s="2" t="s">
        <v>90</v>
      </c>
      <c r="C1133" s="2" t="s">
        <v>51</v>
      </c>
      <c r="D1133" s="2" t="str">
        <f t="shared" si="31"/>
        <v>MMBtu_per_m3_to_kWh_per_L</v>
      </c>
      <c r="E1133" s="3">
        <f>293.071/1000</f>
        <v>0.29307100000000003</v>
      </c>
    </row>
    <row r="1134" spans="1:5" x14ac:dyDescent="0.2">
      <c r="A1134" s="1" t="s">
        <v>26</v>
      </c>
      <c r="B1134" s="2" t="s">
        <v>90</v>
      </c>
      <c r="C1134" s="2" t="s">
        <v>93</v>
      </c>
      <c r="D1134" s="2" t="str">
        <f>B1134 &amp; "_to_" &amp; C1134</f>
        <v>MMBtu_per_m3_to_MWh_per_ft3</v>
      </c>
      <c r="E1134" s="3">
        <f>0.293071/35.3147</f>
        <v>8.2988387272155788E-3</v>
      </c>
    </row>
    <row r="1135" spans="1:5" x14ac:dyDescent="0.2">
      <c r="A1135" s="1" t="s">
        <v>26</v>
      </c>
      <c r="B1135" s="2" t="s">
        <v>90</v>
      </c>
      <c r="C1135" s="2" t="s">
        <v>52</v>
      </c>
      <c r="D1135" s="2" t="str">
        <f>B1135 &amp; "_to_" &amp; C1135</f>
        <v>MMBtu_per_m3_to_MWh_per_CCF</v>
      </c>
      <c r="E1135" s="3">
        <f>0.293071/0.353147</f>
        <v>0.82988387272155795</v>
      </c>
    </row>
    <row r="1136" spans="1:5" x14ac:dyDescent="0.2">
      <c r="A1136" s="1" t="s">
        <v>26</v>
      </c>
      <c r="B1136" s="2" t="s">
        <v>90</v>
      </c>
      <c r="C1136" s="2" t="s">
        <v>128</v>
      </c>
      <c r="D1136" s="2" t="str">
        <f t="shared" si="31"/>
        <v>MMBtu_per_m3_to_MWh_per_US_Gal</v>
      </c>
      <c r="E1136" s="3">
        <f>0.293071/264.172</f>
        <v>1.1093946368275214E-3</v>
      </c>
    </row>
    <row r="1137" spans="1:5" x14ac:dyDescent="0.2">
      <c r="A1137" s="1" t="s">
        <v>26</v>
      </c>
      <c r="B1137" s="2" t="s">
        <v>90</v>
      </c>
      <c r="C1137" s="2" t="s">
        <v>53</v>
      </c>
      <c r="D1137" s="2" t="str">
        <f t="shared" si="31"/>
        <v>MMBtu_per_m3_to_MWh_per_L</v>
      </c>
      <c r="E1137" s="3">
        <f>0.293071/1000</f>
        <v>2.93071E-4</v>
      </c>
    </row>
    <row r="1138" spans="1:5" x14ac:dyDescent="0.2">
      <c r="A1138" s="1" t="s">
        <v>26</v>
      </c>
      <c r="B1138" s="2" t="s">
        <v>90</v>
      </c>
      <c r="C1138" s="2" t="s">
        <v>94</v>
      </c>
      <c r="D1138" s="2" t="str">
        <f t="shared" si="31"/>
        <v>MMBtu_per_m3_to_kBtu_per_ft3</v>
      </c>
      <c r="E1138" s="3">
        <f>1000/35.3147</f>
        <v>28.316819907857067</v>
      </c>
    </row>
    <row r="1139" spans="1:5" x14ac:dyDescent="0.2">
      <c r="A1139" s="1" t="s">
        <v>26</v>
      </c>
      <c r="B1139" s="2" t="s">
        <v>90</v>
      </c>
      <c r="C1139" s="2" t="s">
        <v>54</v>
      </c>
      <c r="D1139" s="2" t="str">
        <f t="shared" si="31"/>
        <v>MMBtu_per_m3_to_kBtu_per_CCF</v>
      </c>
      <c r="E1139" s="3">
        <f>1000/0.353147</f>
        <v>2831.6819907857071</v>
      </c>
    </row>
    <row r="1140" spans="1:5" x14ac:dyDescent="0.2">
      <c r="A1140" s="1" t="s">
        <v>26</v>
      </c>
      <c r="B1140" s="2" t="s">
        <v>90</v>
      </c>
      <c r="C1140" s="2" t="s">
        <v>129</v>
      </c>
      <c r="D1140" s="2" t="str">
        <f t="shared" si="31"/>
        <v>MMBtu_per_m3_to_kBtu_per_US_Gal</v>
      </c>
      <c r="E1140" s="3">
        <f>1000/264.172</f>
        <v>3.7854125342579832</v>
      </c>
    </row>
    <row r="1141" spans="1:5" x14ac:dyDescent="0.2">
      <c r="A1141" s="1" t="s">
        <v>26</v>
      </c>
      <c r="B1141" s="2" t="s">
        <v>90</v>
      </c>
      <c r="C1141" s="2" t="s">
        <v>96</v>
      </c>
      <c r="D1141" s="2" t="str">
        <f t="shared" si="31"/>
        <v>MMBtu_per_m3_to_therm_per_ft3</v>
      </c>
      <c r="E1141" s="3">
        <f>10/35.3147</f>
        <v>0.28316819907857066</v>
      </c>
    </row>
    <row r="1142" spans="1:5" x14ac:dyDescent="0.2">
      <c r="A1142" s="1" t="s">
        <v>26</v>
      </c>
      <c r="B1142" s="2" t="s">
        <v>90</v>
      </c>
      <c r="C1142" s="2" t="s">
        <v>58</v>
      </c>
      <c r="D1142" s="2" t="str">
        <f t="shared" si="31"/>
        <v>MMBtu_per_m3_to_therm_per_CCF</v>
      </c>
      <c r="E1142" s="3">
        <f>10/0.353147</f>
        <v>28.31681990785707</v>
      </c>
    </row>
    <row r="1143" spans="1:5" x14ac:dyDescent="0.2">
      <c r="A1143" s="1" t="s">
        <v>26</v>
      </c>
      <c r="B1143" s="2" t="s">
        <v>90</v>
      </c>
      <c r="C1143" s="2" t="s">
        <v>131</v>
      </c>
      <c r="D1143" s="2" t="str">
        <f>B1143 &amp; "_to_" &amp; C1143</f>
        <v>MMBtu_per_m3_to_therm_per_US_Gal</v>
      </c>
      <c r="E1143" s="3">
        <f>10/264.172</f>
        <v>3.7854125342579828E-2</v>
      </c>
    </row>
    <row r="1144" spans="1:5" x14ac:dyDescent="0.2">
      <c r="A1144" s="1" t="s">
        <v>26</v>
      </c>
      <c r="B1144" s="2" t="s">
        <v>90</v>
      </c>
      <c r="C1144" s="2" t="s">
        <v>59</v>
      </c>
      <c r="D1144" s="2" t="str">
        <f>B1144 &amp; "_to_" &amp; C1144</f>
        <v>MMBtu_per_m3_to_therm_per_L</v>
      </c>
      <c r="E1144" s="3">
        <f>10/1000</f>
        <v>0.01</v>
      </c>
    </row>
    <row r="1145" spans="1:5" x14ac:dyDescent="0.2">
      <c r="A1145" s="1" t="s">
        <v>26</v>
      </c>
      <c r="B1145" s="2" t="s">
        <v>130</v>
      </c>
      <c r="C1145" s="2" t="s">
        <v>86</v>
      </c>
      <c r="D1145" s="2" t="str">
        <f t="shared" si="31"/>
        <v>MMBtu_per_US_Gal_to_Joules_per_ft3</v>
      </c>
      <c r="E1145" s="3">
        <f>1055060000/0.133681</f>
        <v>7892370643.5469513</v>
      </c>
    </row>
    <row r="1146" spans="1:5" x14ac:dyDescent="0.2">
      <c r="A1146" s="1" t="s">
        <v>26</v>
      </c>
      <c r="B1146" s="2" t="s">
        <v>130</v>
      </c>
      <c r="C1146" s="2" t="s">
        <v>60</v>
      </c>
      <c r="D1146" s="2" t="str">
        <f t="shared" ref="D1146:D1190" si="33">B1146 &amp; "_to_" &amp; C1146</f>
        <v>MMBtu_per_US_Gal_to_Joules_per_CCF</v>
      </c>
      <c r="E1146" s="3">
        <f>1055060000/0.00133681</f>
        <v>789237064354.69519</v>
      </c>
    </row>
    <row r="1147" spans="1:5" x14ac:dyDescent="0.2">
      <c r="A1147" s="1" t="s">
        <v>26</v>
      </c>
      <c r="B1147" s="2" t="s">
        <v>130</v>
      </c>
      <c r="C1147" s="2" t="s">
        <v>97</v>
      </c>
      <c r="D1147" s="2" t="str">
        <f t="shared" si="33"/>
        <v>MMBtu_per_US_Gal_to_Joules_per_m3</v>
      </c>
      <c r="E1147" s="3">
        <f>1055060000/0.00378541</f>
        <v>278717496915.78986</v>
      </c>
    </row>
    <row r="1148" spans="1:5" x14ac:dyDescent="0.2">
      <c r="A1148" s="1" t="s">
        <v>26</v>
      </c>
      <c r="B1148" s="2" t="s">
        <v>130</v>
      </c>
      <c r="C1148" s="2" t="s">
        <v>61</v>
      </c>
      <c r="D1148" s="2" t="str">
        <f t="shared" si="33"/>
        <v>MMBtu_per_US_Gal_to_Joules_per_L</v>
      </c>
      <c r="E1148" s="3">
        <f>1055060000/3.78541</f>
        <v>278717496.91578984</v>
      </c>
    </row>
    <row r="1149" spans="1:5" x14ac:dyDescent="0.2">
      <c r="A1149" s="1" t="s">
        <v>26</v>
      </c>
      <c r="B1149" s="2" t="s">
        <v>130</v>
      </c>
      <c r="C1149" s="2" t="s">
        <v>92</v>
      </c>
      <c r="D1149" s="2" t="str">
        <f t="shared" si="33"/>
        <v>MMBtu_per_US_Gal_to_kWh_per_ft3</v>
      </c>
      <c r="E1149" s="3">
        <f>293.071/0.133681</f>
        <v>2192.3160359362964</v>
      </c>
    </row>
    <row r="1150" spans="1:5" x14ac:dyDescent="0.2">
      <c r="A1150" s="1" t="s">
        <v>26</v>
      </c>
      <c r="B1150" s="2" t="s">
        <v>130</v>
      </c>
      <c r="C1150" s="2" t="s">
        <v>50</v>
      </c>
      <c r="D1150" s="2" t="str">
        <f t="shared" si="33"/>
        <v>MMBtu_per_US_Gal_to_kWh_per_CCF</v>
      </c>
      <c r="E1150" s="3">
        <f>293.071/0.00133681</f>
        <v>219231.60359362964</v>
      </c>
    </row>
    <row r="1151" spans="1:5" x14ac:dyDescent="0.2">
      <c r="A1151" s="1" t="s">
        <v>26</v>
      </c>
      <c r="B1151" s="2" t="s">
        <v>130</v>
      </c>
      <c r="C1151" s="2" t="s">
        <v>87</v>
      </c>
      <c r="D1151" s="2" t="str">
        <f t="shared" si="33"/>
        <v>MMBtu_per_US_Gal_to_kWh_per_m3</v>
      </c>
      <c r="E1151" s="3">
        <f>293.071/0.00378541</f>
        <v>77421.204043947699</v>
      </c>
    </row>
    <row r="1152" spans="1:5" x14ac:dyDescent="0.2">
      <c r="A1152" s="1" t="s">
        <v>26</v>
      </c>
      <c r="B1152" s="2" t="s">
        <v>130</v>
      </c>
      <c r="C1152" s="2" t="s">
        <v>51</v>
      </c>
      <c r="D1152" s="2" t="str">
        <f t="shared" si="33"/>
        <v>MMBtu_per_US_Gal_to_kWh_per_L</v>
      </c>
      <c r="E1152" s="3">
        <f>293.071/3.78541</f>
        <v>77.421204043947682</v>
      </c>
    </row>
    <row r="1153" spans="1:5" x14ac:dyDescent="0.2">
      <c r="A1153" s="1" t="s">
        <v>26</v>
      </c>
      <c r="B1153" s="2" t="s">
        <v>130</v>
      </c>
      <c r="C1153" s="2" t="s">
        <v>93</v>
      </c>
      <c r="D1153" s="2" t="str">
        <f>B1153 &amp; "_to_" &amp; C1153</f>
        <v>MMBtu_per_US_Gal_to_MWh_per_ft3</v>
      </c>
      <c r="E1153" s="3">
        <f>0.293071/0.133681</f>
        <v>2.1923160359362965</v>
      </c>
    </row>
    <row r="1154" spans="1:5" x14ac:dyDescent="0.2">
      <c r="A1154" s="1" t="s">
        <v>26</v>
      </c>
      <c r="B1154" s="2" t="s">
        <v>130</v>
      </c>
      <c r="C1154" s="2" t="s">
        <v>52</v>
      </c>
      <c r="D1154" s="2" t="str">
        <f>B1154 &amp; "_to_" &amp; C1154</f>
        <v>MMBtu_per_US_Gal_to_MWh_per_CCF</v>
      </c>
      <c r="E1154" s="3">
        <f>0.293071/0.00133681</f>
        <v>219.23160359362964</v>
      </c>
    </row>
    <row r="1155" spans="1:5" x14ac:dyDescent="0.2">
      <c r="A1155" s="1" t="s">
        <v>26</v>
      </c>
      <c r="B1155" s="2" t="s">
        <v>130</v>
      </c>
      <c r="C1155" s="2" t="s">
        <v>88</v>
      </c>
      <c r="D1155" s="2" t="str">
        <f t="shared" si="33"/>
        <v>MMBtu_per_US_Gal_to_MWh_per_m3</v>
      </c>
      <c r="E1155" s="3">
        <f>0.293071/0.00378541</f>
        <v>77.421204043947697</v>
      </c>
    </row>
    <row r="1156" spans="1:5" x14ac:dyDescent="0.2">
      <c r="A1156" s="1" t="s">
        <v>26</v>
      </c>
      <c r="B1156" s="2" t="s">
        <v>130</v>
      </c>
      <c r="C1156" s="2" t="s">
        <v>53</v>
      </c>
      <c r="D1156" s="2" t="str">
        <f t="shared" si="33"/>
        <v>MMBtu_per_US_Gal_to_MWh_per_L</v>
      </c>
      <c r="E1156" s="3">
        <f>0.293071/3.78541</f>
        <v>7.7421204043947686E-2</v>
      </c>
    </row>
    <row r="1157" spans="1:5" x14ac:dyDescent="0.2">
      <c r="A1157" s="1" t="s">
        <v>26</v>
      </c>
      <c r="B1157" s="2" t="s">
        <v>130</v>
      </c>
      <c r="C1157" s="2" t="s">
        <v>94</v>
      </c>
      <c r="D1157" s="2" t="str">
        <f t="shared" si="33"/>
        <v>MMBtu_per_US_Gal_to_kBtu_per_ft3</v>
      </c>
      <c r="E1157" s="3">
        <f>1000/0.133681</f>
        <v>7480.4946103036336</v>
      </c>
    </row>
    <row r="1158" spans="1:5" x14ac:dyDescent="0.2">
      <c r="A1158" s="1" t="s">
        <v>26</v>
      </c>
      <c r="B1158" s="2" t="s">
        <v>130</v>
      </c>
      <c r="C1158" s="2" t="s">
        <v>54</v>
      </c>
      <c r="D1158" s="2" t="str">
        <f t="shared" si="33"/>
        <v>MMBtu_per_US_Gal_to_kBtu_per_CCF</v>
      </c>
      <c r="E1158" s="3">
        <f>1000/0.00133681</f>
        <v>748049.46103036334</v>
      </c>
    </row>
    <row r="1159" spans="1:5" x14ac:dyDescent="0.2">
      <c r="A1159" s="1" t="s">
        <v>26</v>
      </c>
      <c r="B1159" s="2" t="s">
        <v>130</v>
      </c>
      <c r="C1159" s="2" t="s">
        <v>89</v>
      </c>
      <c r="D1159" s="2" t="str">
        <f t="shared" si="33"/>
        <v>MMBtu_per_US_Gal_to_kBtu_per_m3</v>
      </c>
      <c r="E1159" s="3">
        <f>1000/0.00378541</f>
        <v>264172.17685798899</v>
      </c>
    </row>
    <row r="1160" spans="1:5" x14ac:dyDescent="0.2">
      <c r="A1160" s="1" t="s">
        <v>26</v>
      </c>
      <c r="B1160" s="2" t="s">
        <v>130</v>
      </c>
      <c r="C1160" s="2" t="s">
        <v>55</v>
      </c>
      <c r="D1160" s="2" t="str">
        <f t="shared" si="33"/>
        <v>MMBtu_per_US_Gal_to_kBtu_per_L</v>
      </c>
      <c r="E1160" s="3">
        <f>1000/3.78541</f>
        <v>264.17217685798897</v>
      </c>
    </row>
    <row r="1161" spans="1:5" x14ac:dyDescent="0.2">
      <c r="A1161" s="1" t="s">
        <v>26</v>
      </c>
      <c r="B1161" s="2" t="s">
        <v>130</v>
      </c>
      <c r="C1161" s="2" t="s">
        <v>96</v>
      </c>
      <c r="D1161" s="2" t="str">
        <f t="shared" si="33"/>
        <v>MMBtu_per_US_Gal_to_therm_per_ft3</v>
      </c>
      <c r="E1161" s="3">
        <f>10/0.133681</f>
        <v>74.804946103036329</v>
      </c>
    </row>
    <row r="1162" spans="1:5" x14ac:dyDescent="0.2">
      <c r="A1162" s="1" t="s">
        <v>26</v>
      </c>
      <c r="B1162" s="2" t="s">
        <v>130</v>
      </c>
      <c r="C1162" s="2" t="s">
        <v>58</v>
      </c>
      <c r="D1162" s="2" t="str">
        <f t="shared" si="33"/>
        <v>MMBtu_per_US_Gal_to_therm_per_CCF</v>
      </c>
      <c r="E1162" s="3">
        <f>10/0.00133681</f>
        <v>7480.4946103036336</v>
      </c>
    </row>
    <row r="1163" spans="1:5" x14ac:dyDescent="0.2">
      <c r="A1163" s="1" t="s">
        <v>26</v>
      </c>
      <c r="B1163" s="2" t="s">
        <v>130</v>
      </c>
      <c r="C1163" s="2" t="s">
        <v>91</v>
      </c>
      <c r="D1163" s="2" t="str">
        <f>B1163 &amp; "_to_" &amp; C1163</f>
        <v>MMBtu_per_US_Gal_to_therm_per_m3</v>
      </c>
      <c r="E1163" s="3">
        <f>10/0.00378541</f>
        <v>2641.7217685798896</v>
      </c>
    </row>
    <row r="1164" spans="1:5" x14ac:dyDescent="0.2">
      <c r="A1164" s="1" t="s">
        <v>26</v>
      </c>
      <c r="B1164" s="2" t="s">
        <v>130</v>
      </c>
      <c r="C1164" s="2" t="s">
        <v>59</v>
      </c>
      <c r="D1164" s="2" t="str">
        <f>B1164 &amp; "_to_" &amp; C1164</f>
        <v>MMBtu_per_US_Gal_to_therm_per_L</v>
      </c>
      <c r="E1164" s="3">
        <f>10/3.78541</f>
        <v>2.6417217685798895</v>
      </c>
    </row>
    <row r="1165" spans="1:5" x14ac:dyDescent="0.2">
      <c r="A1165" s="1" t="s">
        <v>26</v>
      </c>
      <c r="B1165" s="2" t="s">
        <v>57</v>
      </c>
      <c r="C1165" s="2" t="s">
        <v>86</v>
      </c>
      <c r="D1165" s="2" t="str">
        <f t="shared" si="33"/>
        <v>MMBtu_per_L_to_Joules_per_ft3</v>
      </c>
      <c r="E1165" s="3">
        <f>1055060000/0.0353147</f>
        <v>29875944011.983681</v>
      </c>
    </row>
    <row r="1166" spans="1:5" x14ac:dyDescent="0.2">
      <c r="A1166" s="1" t="s">
        <v>26</v>
      </c>
      <c r="B1166" s="2" t="s">
        <v>57</v>
      </c>
      <c r="C1166" s="2" t="s">
        <v>60</v>
      </c>
      <c r="D1166" s="2" t="str">
        <f t="shared" si="33"/>
        <v>MMBtu_per_L_to_Joules_per_CCF</v>
      </c>
      <c r="E1166" s="3">
        <f>1055060000/0.000353147</f>
        <v>2987594401198.3677</v>
      </c>
    </row>
    <row r="1167" spans="1:5" x14ac:dyDescent="0.2">
      <c r="A1167" s="1" t="s">
        <v>26</v>
      </c>
      <c r="B1167" s="2" t="s">
        <v>57</v>
      </c>
      <c r="C1167" s="2" t="s">
        <v>97</v>
      </c>
      <c r="D1167" s="2" t="str">
        <f t="shared" si="33"/>
        <v>MMBtu_per_L_to_Joules_per_m3</v>
      </c>
      <c r="E1167" s="3">
        <f>1055060000/0.001</f>
        <v>1055060000000</v>
      </c>
    </row>
    <row r="1168" spans="1:5" x14ac:dyDescent="0.2">
      <c r="A1168" s="1" t="s">
        <v>26</v>
      </c>
      <c r="B1168" s="2" t="s">
        <v>57</v>
      </c>
      <c r="C1168" s="2" t="s">
        <v>132</v>
      </c>
      <c r="D1168" s="2" t="str">
        <f t="shared" si="33"/>
        <v>MMBtu_per_L_to_Joules_per_US_Gal</v>
      </c>
      <c r="E1168" s="3">
        <f>1055060000/0.264172</f>
        <v>3993837348.3942275</v>
      </c>
    </row>
    <row r="1169" spans="1:5" x14ac:dyDescent="0.2">
      <c r="A1169" s="1" t="s">
        <v>26</v>
      </c>
      <c r="B1169" s="2" t="s">
        <v>57</v>
      </c>
      <c r="C1169" s="2" t="s">
        <v>92</v>
      </c>
      <c r="D1169" s="2" t="str">
        <f t="shared" si="33"/>
        <v>MMBtu_per_L_to_kWh_per_ft3</v>
      </c>
      <c r="E1169" s="3">
        <f>293.071/0.0353147</f>
        <v>8298.8387272155796</v>
      </c>
    </row>
    <row r="1170" spans="1:5" x14ac:dyDescent="0.2">
      <c r="A1170" s="1" t="s">
        <v>26</v>
      </c>
      <c r="B1170" s="2" t="s">
        <v>57</v>
      </c>
      <c r="C1170" s="2" t="s">
        <v>50</v>
      </c>
      <c r="D1170" s="2" t="str">
        <f t="shared" si="33"/>
        <v>MMBtu_per_L_to_kWh_per_CCF</v>
      </c>
      <c r="E1170" s="3">
        <f>293.071/0.000353147</f>
        <v>829883.87272155797</v>
      </c>
    </row>
    <row r="1171" spans="1:5" x14ac:dyDescent="0.2">
      <c r="A1171" s="1" t="s">
        <v>26</v>
      </c>
      <c r="B1171" s="2" t="s">
        <v>57</v>
      </c>
      <c r="C1171" s="2" t="s">
        <v>87</v>
      </c>
      <c r="D1171" s="2" t="str">
        <f t="shared" si="33"/>
        <v>MMBtu_per_L_to_kWh_per_m3</v>
      </c>
      <c r="E1171" s="3">
        <f>293.071/0.001</f>
        <v>293071</v>
      </c>
    </row>
    <row r="1172" spans="1:5" x14ac:dyDescent="0.2">
      <c r="A1172" s="1" t="s">
        <v>26</v>
      </c>
      <c r="B1172" s="2" t="s">
        <v>57</v>
      </c>
      <c r="C1172" s="2" t="s">
        <v>127</v>
      </c>
      <c r="D1172" s="2" t="str">
        <f t="shared" si="33"/>
        <v>MMBtu_per_L_to_kWh_per_US_Gal</v>
      </c>
      <c r="E1172" s="3">
        <f>293.071/0.264172</f>
        <v>1109.3946368275215</v>
      </c>
    </row>
    <row r="1173" spans="1:5" x14ac:dyDescent="0.2">
      <c r="A1173" s="1" t="s">
        <v>26</v>
      </c>
      <c r="B1173" s="2" t="s">
        <v>57</v>
      </c>
      <c r="C1173" s="2" t="s">
        <v>93</v>
      </c>
      <c r="D1173" s="2" t="str">
        <f>B1173 &amp; "_to_" &amp; C1173</f>
        <v>MMBtu_per_L_to_MWh_per_ft3</v>
      </c>
      <c r="E1173" s="3">
        <f>0.293071/0.0353147</f>
        <v>8.2988387272155801</v>
      </c>
    </row>
    <row r="1174" spans="1:5" x14ac:dyDescent="0.2">
      <c r="A1174" s="1" t="s">
        <v>26</v>
      </c>
      <c r="B1174" s="2" t="s">
        <v>57</v>
      </c>
      <c r="C1174" s="2" t="s">
        <v>52</v>
      </c>
      <c r="D1174" s="2" t="str">
        <f>B1174 &amp; "_to_" &amp; C1174</f>
        <v>MMBtu_per_L_to_MWh_per_CCF</v>
      </c>
      <c r="E1174" s="3">
        <f>0.293071/0.000353147</f>
        <v>829.88387272155796</v>
      </c>
    </row>
    <row r="1175" spans="1:5" x14ac:dyDescent="0.2">
      <c r="A1175" s="1" t="s">
        <v>26</v>
      </c>
      <c r="B1175" s="2" t="s">
        <v>57</v>
      </c>
      <c r="C1175" s="2" t="s">
        <v>88</v>
      </c>
      <c r="D1175" s="2" t="str">
        <f t="shared" si="33"/>
        <v>MMBtu_per_L_to_MWh_per_m3</v>
      </c>
      <c r="E1175" s="3">
        <f>0.293071/0.001</f>
        <v>293.07100000000003</v>
      </c>
    </row>
    <row r="1176" spans="1:5" x14ac:dyDescent="0.2">
      <c r="A1176" s="1" t="s">
        <v>26</v>
      </c>
      <c r="B1176" s="2" t="s">
        <v>57</v>
      </c>
      <c r="C1176" s="2" t="s">
        <v>128</v>
      </c>
      <c r="D1176" s="2" t="str">
        <f t="shared" si="33"/>
        <v>MMBtu_per_L_to_MWh_per_US_Gal</v>
      </c>
      <c r="E1176" s="3">
        <f>0.293071/0.264172</f>
        <v>1.1093946368275216</v>
      </c>
    </row>
    <row r="1177" spans="1:5" x14ac:dyDescent="0.2">
      <c r="A1177" s="1" t="s">
        <v>26</v>
      </c>
      <c r="B1177" s="2" t="s">
        <v>57</v>
      </c>
      <c r="C1177" s="2" t="s">
        <v>94</v>
      </c>
      <c r="D1177" s="2" t="str">
        <f t="shared" si="33"/>
        <v>MMBtu_per_L_to_kBtu_per_ft3</v>
      </c>
      <c r="E1177" s="3">
        <f>1000/0.0353147</f>
        <v>28316.819907857069</v>
      </c>
    </row>
    <row r="1178" spans="1:5" x14ac:dyDescent="0.2">
      <c r="A1178" s="1" t="s">
        <v>26</v>
      </c>
      <c r="B1178" s="2" t="s">
        <v>57</v>
      </c>
      <c r="C1178" s="2" t="s">
        <v>54</v>
      </c>
      <c r="D1178" s="2" t="str">
        <f t="shared" si="33"/>
        <v>MMBtu_per_L_to_kBtu_per_CCF</v>
      </c>
      <c r="E1178" s="3">
        <f>1000/0.000353147</f>
        <v>2831681.9907857068</v>
      </c>
    </row>
    <row r="1179" spans="1:5" x14ac:dyDescent="0.2">
      <c r="A1179" s="1" t="s">
        <v>26</v>
      </c>
      <c r="B1179" s="2" t="s">
        <v>57</v>
      </c>
      <c r="C1179" s="2" t="s">
        <v>89</v>
      </c>
      <c r="D1179" s="2" t="str">
        <f t="shared" si="33"/>
        <v>MMBtu_per_L_to_kBtu_per_m3</v>
      </c>
      <c r="E1179" s="3">
        <f>1000/0.001</f>
        <v>1000000</v>
      </c>
    </row>
    <row r="1180" spans="1:5" x14ac:dyDescent="0.2">
      <c r="A1180" s="1" t="s">
        <v>26</v>
      </c>
      <c r="B1180" s="2" t="s">
        <v>57</v>
      </c>
      <c r="C1180" s="2" t="s">
        <v>129</v>
      </c>
      <c r="D1180" s="2" t="str">
        <f t="shared" si="33"/>
        <v>MMBtu_per_L_to_kBtu_per_US_Gal</v>
      </c>
      <c r="E1180" s="3">
        <f>1000/0.264172</f>
        <v>3785.4125342579832</v>
      </c>
    </row>
    <row r="1181" spans="1:5" x14ac:dyDescent="0.2">
      <c r="A1181" s="1" t="s">
        <v>26</v>
      </c>
      <c r="B1181" s="2" t="s">
        <v>57</v>
      </c>
      <c r="C1181" s="2" t="s">
        <v>96</v>
      </c>
      <c r="D1181" s="2" t="str">
        <f t="shared" si="33"/>
        <v>MMBtu_per_L_to_therm_per_ft3</v>
      </c>
      <c r="E1181" s="3">
        <f>10/0.0353147</f>
        <v>283.16819907857069</v>
      </c>
    </row>
    <row r="1182" spans="1:5" x14ac:dyDescent="0.2">
      <c r="A1182" s="1" t="s">
        <v>26</v>
      </c>
      <c r="B1182" s="2" t="s">
        <v>57</v>
      </c>
      <c r="C1182" s="2" t="s">
        <v>58</v>
      </c>
      <c r="D1182" s="2" t="str">
        <f t="shared" si="33"/>
        <v>MMBtu_per_L_to_therm_per_CCF</v>
      </c>
      <c r="E1182" s="3">
        <f>10/0.000353147</f>
        <v>28316.819907857069</v>
      </c>
    </row>
    <row r="1183" spans="1:5" x14ac:dyDescent="0.2">
      <c r="A1183" s="1" t="s">
        <v>26</v>
      </c>
      <c r="B1183" s="2" t="s">
        <v>57</v>
      </c>
      <c r="C1183" s="2" t="s">
        <v>91</v>
      </c>
      <c r="D1183" s="2" t="str">
        <f>B1183 &amp; "_to_" &amp; C1183</f>
        <v>MMBtu_per_L_to_therm_per_m3</v>
      </c>
      <c r="E1183" s="3">
        <f>10/0.001</f>
        <v>10000</v>
      </c>
    </row>
    <row r="1184" spans="1:5" x14ac:dyDescent="0.2">
      <c r="A1184" s="1" t="s">
        <v>26</v>
      </c>
      <c r="B1184" s="2" t="s">
        <v>57</v>
      </c>
      <c r="C1184" s="2" t="s">
        <v>131</v>
      </c>
      <c r="D1184" s="2" t="str">
        <f>B1184 &amp; "_to_" &amp; C1184</f>
        <v>MMBtu_per_L_to_therm_per_US_Gal</v>
      </c>
      <c r="E1184" s="3">
        <f>10/0.264172</f>
        <v>37.854125342579835</v>
      </c>
    </row>
    <row r="1185" spans="1:5" x14ac:dyDescent="0.2">
      <c r="A1185" s="1" t="s">
        <v>26</v>
      </c>
      <c r="B1185" s="2" t="s">
        <v>96</v>
      </c>
      <c r="C1185" s="2" t="s">
        <v>60</v>
      </c>
      <c r="D1185" s="2" t="str">
        <f t="shared" si="33"/>
        <v>therm_per_ft3_to_Joules_per_CCF</v>
      </c>
      <c r="E1185" s="3">
        <f>105480/0.01</f>
        <v>10548000</v>
      </c>
    </row>
    <row r="1186" spans="1:5" x14ac:dyDescent="0.2">
      <c r="A1186" s="1" t="s">
        <v>26</v>
      </c>
      <c r="B1186" s="2" t="s">
        <v>96</v>
      </c>
      <c r="C1186" s="2" t="s">
        <v>97</v>
      </c>
      <c r="D1186" s="2" t="str">
        <f t="shared" si="33"/>
        <v>therm_per_ft3_to_Joules_per_m3</v>
      </c>
      <c r="E1186" s="3">
        <f>105480/0.0283168</f>
        <v>3724997.1748220138</v>
      </c>
    </row>
    <row r="1187" spans="1:5" x14ac:dyDescent="0.2">
      <c r="A1187" s="1" t="s">
        <v>26</v>
      </c>
      <c r="B1187" s="2" t="s">
        <v>96</v>
      </c>
      <c r="C1187" s="2" t="s">
        <v>132</v>
      </c>
      <c r="D1187" s="2" t="str">
        <f t="shared" si="33"/>
        <v>therm_per_ft3_to_Joules_per_US_Gal</v>
      </c>
      <c r="E1187" s="3">
        <f>105480/7.48052</f>
        <v>14100.624020789997</v>
      </c>
    </row>
    <row r="1188" spans="1:5" x14ac:dyDescent="0.2">
      <c r="A1188" s="1" t="s">
        <v>26</v>
      </c>
      <c r="B1188" s="2" t="s">
        <v>96</v>
      </c>
      <c r="C1188" s="2" t="s">
        <v>61</v>
      </c>
      <c r="D1188" s="2" t="str">
        <f t="shared" si="33"/>
        <v>therm_per_ft3_to_Joules_per_L</v>
      </c>
      <c r="E1188" s="3">
        <f>105480/28.3168</f>
        <v>3724.9971748220137</v>
      </c>
    </row>
    <row r="1189" spans="1:5" x14ac:dyDescent="0.2">
      <c r="A1189" s="1" t="s">
        <v>26</v>
      </c>
      <c r="B1189" s="2" t="s">
        <v>96</v>
      </c>
      <c r="C1189" s="2" t="s">
        <v>50</v>
      </c>
      <c r="D1189" s="2" t="str">
        <f t="shared" si="33"/>
        <v>therm_per_ft3_to_kWh_per_CCF</v>
      </c>
      <c r="E1189" s="3">
        <f>29.3071/0.01</f>
        <v>2930.7099999999996</v>
      </c>
    </row>
    <row r="1190" spans="1:5" x14ac:dyDescent="0.2">
      <c r="A1190" s="1" t="s">
        <v>26</v>
      </c>
      <c r="B1190" s="2" t="s">
        <v>96</v>
      </c>
      <c r="C1190" s="2" t="s">
        <v>87</v>
      </c>
      <c r="D1190" s="2" t="str">
        <f t="shared" si="33"/>
        <v>therm_per_ft3_to_kWh_per_m3</v>
      </c>
      <c r="E1190" s="3">
        <f>29.3071/0.0283168</f>
        <v>1034.9721719968359</v>
      </c>
    </row>
    <row r="1191" spans="1:5" x14ac:dyDescent="0.2">
      <c r="A1191" s="1" t="s">
        <v>26</v>
      </c>
      <c r="B1191" s="2" t="s">
        <v>96</v>
      </c>
      <c r="C1191" s="2" t="s">
        <v>127</v>
      </c>
      <c r="D1191" s="2" t="str">
        <f t="shared" ref="D1191:D1221" si="34">B1191 &amp; "_to_" &amp; C1191</f>
        <v>therm_per_ft3_to_kWh_per_US_Gal</v>
      </c>
      <c r="E1191" s="3">
        <f>29.3071/7.48052</f>
        <v>3.9177891376535317</v>
      </c>
    </row>
    <row r="1192" spans="1:5" x14ac:dyDescent="0.2">
      <c r="A1192" s="1" t="s">
        <v>26</v>
      </c>
      <c r="B1192" s="2" t="s">
        <v>96</v>
      </c>
      <c r="C1192" s="2" t="s">
        <v>51</v>
      </c>
      <c r="D1192" s="2" t="str">
        <f t="shared" si="34"/>
        <v>therm_per_ft3_to_kWh_per_L</v>
      </c>
      <c r="E1192" s="3">
        <f>29.3071/28.3168</f>
        <v>1.0349721719968357</v>
      </c>
    </row>
    <row r="1193" spans="1:5" x14ac:dyDescent="0.2">
      <c r="A1193" s="1" t="s">
        <v>26</v>
      </c>
      <c r="B1193" s="2" t="s">
        <v>96</v>
      </c>
      <c r="C1193" s="2" t="s">
        <v>52</v>
      </c>
      <c r="D1193" s="2" t="str">
        <f t="shared" si="34"/>
        <v>therm_per_ft3_to_MWh_per_CCF</v>
      </c>
      <c r="E1193" s="3">
        <f>0.0293071/0.01</f>
        <v>2.9307099999999999</v>
      </c>
    </row>
    <row r="1194" spans="1:5" x14ac:dyDescent="0.2">
      <c r="A1194" s="1" t="s">
        <v>26</v>
      </c>
      <c r="B1194" s="2" t="s">
        <v>96</v>
      </c>
      <c r="C1194" s="2" t="s">
        <v>88</v>
      </c>
      <c r="D1194" s="2" t="str">
        <f t="shared" si="34"/>
        <v>therm_per_ft3_to_MWh_per_m3</v>
      </c>
      <c r="E1194" s="3">
        <f>0.0293071/0.0283168</f>
        <v>1.0349721719968359</v>
      </c>
    </row>
    <row r="1195" spans="1:5" x14ac:dyDescent="0.2">
      <c r="A1195" s="1" t="s">
        <v>26</v>
      </c>
      <c r="B1195" s="2" t="s">
        <v>96</v>
      </c>
      <c r="C1195" s="2" t="s">
        <v>128</v>
      </c>
      <c r="D1195" s="2" t="str">
        <f t="shared" si="34"/>
        <v>therm_per_ft3_to_MWh_per_US_Gal</v>
      </c>
      <c r="E1195" s="3">
        <f>0.0293071/7.48052</f>
        <v>3.9177891376535314E-3</v>
      </c>
    </row>
    <row r="1196" spans="1:5" x14ac:dyDescent="0.2">
      <c r="A1196" s="1" t="s">
        <v>26</v>
      </c>
      <c r="B1196" s="2" t="s">
        <v>96</v>
      </c>
      <c r="C1196" s="2" t="s">
        <v>53</v>
      </c>
      <c r="D1196" s="2" t="str">
        <f t="shared" si="34"/>
        <v>therm_per_ft3_to_MWh_per_L</v>
      </c>
      <c r="E1196" s="3">
        <f>0.0293071/28.3168</f>
        <v>1.0349721719968357E-3</v>
      </c>
    </row>
    <row r="1197" spans="1:5" x14ac:dyDescent="0.2">
      <c r="A1197" s="1" t="s">
        <v>26</v>
      </c>
      <c r="B1197" s="2" t="s">
        <v>96</v>
      </c>
      <c r="C1197" s="2" t="s">
        <v>54</v>
      </c>
      <c r="D1197" s="2" t="str">
        <f t="shared" si="34"/>
        <v>therm_per_ft3_to_kBtu_per_CCF</v>
      </c>
      <c r="E1197" s="3">
        <f>100/0.01</f>
        <v>10000</v>
      </c>
    </row>
    <row r="1198" spans="1:5" x14ac:dyDescent="0.2">
      <c r="A1198" s="1" t="s">
        <v>26</v>
      </c>
      <c r="B1198" s="2" t="s">
        <v>96</v>
      </c>
      <c r="C1198" s="2" t="s">
        <v>89</v>
      </c>
      <c r="D1198" s="2" t="str">
        <f t="shared" si="34"/>
        <v>therm_per_ft3_to_kBtu_per_m3</v>
      </c>
      <c r="E1198" s="3">
        <f>100/0.0283168</f>
        <v>3531.4724827664145</v>
      </c>
    </row>
    <row r="1199" spans="1:5" x14ac:dyDescent="0.2">
      <c r="A1199" s="1" t="s">
        <v>26</v>
      </c>
      <c r="B1199" s="2" t="s">
        <v>96</v>
      </c>
      <c r="C1199" s="2" t="s">
        <v>129</v>
      </c>
      <c r="D1199" s="2" t="str">
        <f t="shared" si="34"/>
        <v>therm_per_ft3_to_kBtu_per_US_Gal</v>
      </c>
      <c r="E1199" s="3">
        <f>100/7.48052</f>
        <v>13.368054627218427</v>
      </c>
    </row>
    <row r="1200" spans="1:5" x14ac:dyDescent="0.2">
      <c r="A1200" s="1" t="s">
        <v>26</v>
      </c>
      <c r="B1200" s="2" t="s">
        <v>96</v>
      </c>
      <c r="C1200" s="2" t="s">
        <v>55</v>
      </c>
      <c r="D1200" s="2" t="str">
        <f t="shared" si="34"/>
        <v>therm_per_ft3_to_kBtu_per_L</v>
      </c>
      <c r="E1200" s="3">
        <f>100/28.3168</f>
        <v>3.5314724827664143</v>
      </c>
    </row>
    <row r="1201" spans="1:5" x14ac:dyDescent="0.2">
      <c r="A1201" s="1" t="s">
        <v>26</v>
      </c>
      <c r="B1201" s="2" t="s">
        <v>96</v>
      </c>
      <c r="C1201" s="2" t="s">
        <v>56</v>
      </c>
      <c r="D1201" s="2" t="str">
        <f t="shared" si="34"/>
        <v>therm_per_ft3_to_MMBtu_per_CCF</v>
      </c>
      <c r="E1201" s="3">
        <f>0.1/0.01</f>
        <v>10</v>
      </c>
    </row>
    <row r="1202" spans="1:5" x14ac:dyDescent="0.2">
      <c r="A1202" s="1" t="s">
        <v>26</v>
      </c>
      <c r="B1202" s="2" t="s">
        <v>96</v>
      </c>
      <c r="C1202" s="2" t="s">
        <v>90</v>
      </c>
      <c r="D1202" s="2" t="str">
        <f t="shared" si="34"/>
        <v>therm_per_ft3_to_MMBtu_per_m3</v>
      </c>
      <c r="E1202" s="3">
        <f>0.1/0.0283168</f>
        <v>3.5314724827664143</v>
      </c>
    </row>
    <row r="1203" spans="1:5" x14ac:dyDescent="0.2">
      <c r="A1203" s="1" t="s">
        <v>26</v>
      </c>
      <c r="B1203" s="2" t="s">
        <v>96</v>
      </c>
      <c r="C1203" s="2" t="s">
        <v>130</v>
      </c>
      <c r="D1203" s="2" t="str">
        <f t="shared" si="34"/>
        <v>therm_per_ft3_to_MMBtu_per_US_Gal</v>
      </c>
      <c r="E1203" s="3">
        <f>0.1/7.48052</f>
        <v>1.3368054627218429E-2</v>
      </c>
    </row>
    <row r="1204" spans="1:5" x14ac:dyDescent="0.2">
      <c r="A1204" s="1" t="s">
        <v>26</v>
      </c>
      <c r="B1204" s="2" t="s">
        <v>96</v>
      </c>
      <c r="C1204" s="2" t="s">
        <v>57</v>
      </c>
      <c r="D1204" s="2" t="str">
        <f t="shared" si="34"/>
        <v>therm_per_ft3_to_MMBtu_per_L</v>
      </c>
      <c r="E1204" s="3">
        <f>0.1/28.3168</f>
        <v>3.5314724827664144E-3</v>
      </c>
    </row>
    <row r="1205" spans="1:5" x14ac:dyDescent="0.2">
      <c r="A1205" s="1" t="s">
        <v>26</v>
      </c>
      <c r="B1205" s="2" t="s">
        <v>58</v>
      </c>
      <c r="C1205" s="2" t="s">
        <v>86</v>
      </c>
      <c r="D1205" s="2" t="str">
        <f t="shared" si="34"/>
        <v>therm_per_CCF_to_Joules_per_ft3</v>
      </c>
      <c r="E1205" s="3">
        <f>105480/100</f>
        <v>1054.8</v>
      </c>
    </row>
    <row r="1206" spans="1:5" x14ac:dyDescent="0.2">
      <c r="A1206" s="1" t="s">
        <v>26</v>
      </c>
      <c r="B1206" s="2" t="s">
        <v>58</v>
      </c>
      <c r="C1206" s="2" t="s">
        <v>97</v>
      </c>
      <c r="D1206" s="2" t="str">
        <f t="shared" si="34"/>
        <v>therm_per_CCF_to_Joules_per_m3</v>
      </c>
      <c r="E1206" s="3">
        <f>105480/2.83168</f>
        <v>37249.971748220138</v>
      </c>
    </row>
    <row r="1207" spans="1:5" x14ac:dyDescent="0.2">
      <c r="A1207" s="1" t="s">
        <v>26</v>
      </c>
      <c r="B1207" s="2" t="s">
        <v>58</v>
      </c>
      <c r="C1207" s="2" t="s">
        <v>132</v>
      </c>
      <c r="D1207" s="2" t="str">
        <f t="shared" si="34"/>
        <v>therm_per_CCF_to_Joules_per_US_Gal</v>
      </c>
      <c r="E1207" s="3">
        <f>105480/748.052</f>
        <v>141.00624020789999</v>
      </c>
    </row>
    <row r="1208" spans="1:5" x14ac:dyDescent="0.2">
      <c r="A1208" s="1" t="s">
        <v>26</v>
      </c>
      <c r="B1208" s="2" t="s">
        <v>58</v>
      </c>
      <c r="C1208" s="2" t="s">
        <v>61</v>
      </c>
      <c r="D1208" s="2" t="str">
        <f t="shared" si="34"/>
        <v>therm_per_CCF_to_Joules_per_L</v>
      </c>
      <c r="E1208" s="3">
        <f>105480/2831.68</f>
        <v>37.24997174822014</v>
      </c>
    </row>
    <row r="1209" spans="1:5" x14ac:dyDescent="0.2">
      <c r="A1209" s="1" t="s">
        <v>26</v>
      </c>
      <c r="B1209" s="2" t="s">
        <v>58</v>
      </c>
      <c r="C1209" s="2" t="s">
        <v>92</v>
      </c>
      <c r="D1209" s="2" t="str">
        <f t="shared" si="34"/>
        <v>therm_per_CCF_to_kWh_per_ft3</v>
      </c>
      <c r="E1209" s="3">
        <f>29.3071/100</f>
        <v>0.29307099999999997</v>
      </c>
    </row>
    <row r="1210" spans="1:5" x14ac:dyDescent="0.2">
      <c r="A1210" s="1" t="s">
        <v>26</v>
      </c>
      <c r="B1210" s="2" t="s">
        <v>58</v>
      </c>
      <c r="C1210" s="2" t="s">
        <v>87</v>
      </c>
      <c r="D1210" s="2" t="str">
        <f t="shared" si="34"/>
        <v>therm_per_CCF_to_kWh_per_m3</v>
      </c>
      <c r="E1210" s="3">
        <f>29.3071/2.83168</f>
        <v>10.349721719968358</v>
      </c>
    </row>
    <row r="1211" spans="1:5" x14ac:dyDescent="0.2">
      <c r="A1211" s="1" t="s">
        <v>26</v>
      </c>
      <c r="B1211" s="2" t="s">
        <v>58</v>
      </c>
      <c r="C1211" s="2" t="s">
        <v>127</v>
      </c>
      <c r="D1211" s="2" t="str">
        <f t="shared" si="34"/>
        <v>therm_per_CCF_to_kWh_per_US_Gal</v>
      </c>
      <c r="E1211" s="3">
        <f>29.3071/748.052</f>
        <v>3.9177891376535316E-2</v>
      </c>
    </row>
    <row r="1212" spans="1:5" x14ac:dyDescent="0.2">
      <c r="A1212" s="1" t="s">
        <v>26</v>
      </c>
      <c r="B1212" s="2" t="s">
        <v>58</v>
      </c>
      <c r="C1212" s="2" t="s">
        <v>51</v>
      </c>
      <c r="D1212" s="2" t="str">
        <f t="shared" si="34"/>
        <v>therm_per_CCF_to_kWh_per_L</v>
      </c>
      <c r="E1212" s="3">
        <f>29.3071/2831.68</f>
        <v>1.0349721719968358E-2</v>
      </c>
    </row>
    <row r="1213" spans="1:5" x14ac:dyDescent="0.2">
      <c r="A1213" s="1" t="s">
        <v>26</v>
      </c>
      <c r="B1213" s="2" t="s">
        <v>58</v>
      </c>
      <c r="C1213" s="2" t="s">
        <v>93</v>
      </c>
      <c r="D1213" s="2" t="str">
        <f t="shared" si="34"/>
        <v>therm_per_CCF_to_MWh_per_ft3</v>
      </c>
      <c r="E1213" s="3">
        <f>0.0293071/100</f>
        <v>2.93071E-4</v>
      </c>
    </row>
    <row r="1214" spans="1:5" x14ac:dyDescent="0.2">
      <c r="A1214" s="1" t="s">
        <v>26</v>
      </c>
      <c r="B1214" s="2" t="s">
        <v>58</v>
      </c>
      <c r="C1214" s="2" t="s">
        <v>88</v>
      </c>
      <c r="D1214" s="2" t="str">
        <f t="shared" si="34"/>
        <v>therm_per_CCF_to_MWh_per_m3</v>
      </c>
      <c r="E1214" s="3">
        <f>0.0293071/2.83168</f>
        <v>1.0349721719968358E-2</v>
      </c>
    </row>
    <row r="1215" spans="1:5" x14ac:dyDescent="0.2">
      <c r="A1215" s="1" t="s">
        <v>26</v>
      </c>
      <c r="B1215" s="2" t="s">
        <v>58</v>
      </c>
      <c r="C1215" s="2" t="s">
        <v>128</v>
      </c>
      <c r="D1215" s="2" t="str">
        <f t="shared" si="34"/>
        <v>therm_per_CCF_to_MWh_per_US_Gal</v>
      </c>
      <c r="E1215" s="3">
        <f>0.0293071/748.052</f>
        <v>3.9177891376535322E-5</v>
      </c>
    </row>
    <row r="1216" spans="1:5" x14ac:dyDescent="0.2">
      <c r="A1216" s="1" t="s">
        <v>26</v>
      </c>
      <c r="B1216" s="2" t="s">
        <v>58</v>
      </c>
      <c r="C1216" s="2" t="s">
        <v>53</v>
      </c>
      <c r="D1216" s="2" t="str">
        <f t="shared" si="34"/>
        <v>therm_per_CCF_to_MWh_per_L</v>
      </c>
      <c r="E1216" s="3">
        <f>0.0293071/2831.68</f>
        <v>1.0349721719968358E-5</v>
      </c>
    </row>
    <row r="1217" spans="1:5" x14ac:dyDescent="0.2">
      <c r="A1217" s="1" t="s">
        <v>26</v>
      </c>
      <c r="B1217" s="2" t="s">
        <v>58</v>
      </c>
      <c r="C1217" s="2" t="s">
        <v>89</v>
      </c>
      <c r="D1217" s="2" t="str">
        <f t="shared" si="34"/>
        <v>therm_per_CCF_to_kBtu_per_m3</v>
      </c>
      <c r="E1217" s="3">
        <f>100/2.83168</f>
        <v>35.314724827664143</v>
      </c>
    </row>
    <row r="1218" spans="1:5" x14ac:dyDescent="0.2">
      <c r="A1218" s="1" t="s">
        <v>26</v>
      </c>
      <c r="B1218" s="2" t="s">
        <v>58</v>
      </c>
      <c r="C1218" s="2" t="s">
        <v>129</v>
      </c>
      <c r="D1218" s="2" t="str">
        <f t="shared" si="34"/>
        <v>therm_per_CCF_to_kBtu_per_US_Gal</v>
      </c>
      <c r="E1218" s="3">
        <f>100/748.052</f>
        <v>0.13368054627218429</v>
      </c>
    </row>
    <row r="1219" spans="1:5" x14ac:dyDescent="0.2">
      <c r="A1219" s="1" t="s">
        <v>26</v>
      </c>
      <c r="B1219" s="2" t="s">
        <v>58</v>
      </c>
      <c r="C1219" s="2" t="s">
        <v>55</v>
      </c>
      <c r="D1219" s="2" t="str">
        <f t="shared" si="34"/>
        <v>therm_per_CCF_to_kBtu_per_L</v>
      </c>
      <c r="E1219" s="3">
        <f>100/2831.68</f>
        <v>3.5314724827664144E-2</v>
      </c>
    </row>
    <row r="1220" spans="1:5" x14ac:dyDescent="0.2">
      <c r="A1220" s="1" t="s">
        <v>26</v>
      </c>
      <c r="B1220" s="2" t="s">
        <v>58</v>
      </c>
      <c r="C1220" s="2" t="s">
        <v>95</v>
      </c>
      <c r="D1220" s="2" t="str">
        <f t="shared" si="34"/>
        <v>therm_per_CCF_to_MMBtu_per_ft3</v>
      </c>
      <c r="E1220" s="3">
        <f>0.1/100</f>
        <v>1E-3</v>
      </c>
    </row>
    <row r="1221" spans="1:5" x14ac:dyDescent="0.2">
      <c r="A1221" s="1" t="s">
        <v>26</v>
      </c>
      <c r="B1221" s="2" t="s">
        <v>58</v>
      </c>
      <c r="C1221" s="2" t="s">
        <v>90</v>
      </c>
      <c r="D1221" s="2" t="str">
        <f t="shared" si="34"/>
        <v>therm_per_CCF_to_MMBtu_per_m3</v>
      </c>
      <c r="E1221" s="3">
        <f>0.1/2.83168</f>
        <v>3.5314724827664144E-2</v>
      </c>
    </row>
    <row r="1222" spans="1:5" x14ac:dyDescent="0.2">
      <c r="A1222" s="1" t="s">
        <v>26</v>
      </c>
      <c r="B1222" s="2" t="s">
        <v>58</v>
      </c>
      <c r="C1222" s="2" t="s">
        <v>130</v>
      </c>
      <c r="D1222" s="2" t="str">
        <f t="shared" ref="D1222:D1253" si="35">B1222 &amp; "_to_" &amp; C1222</f>
        <v>therm_per_CCF_to_MMBtu_per_US_Gal</v>
      </c>
      <c r="E1222" s="3">
        <f>0.1/748.052</f>
        <v>1.3368054627218429E-4</v>
      </c>
    </row>
    <row r="1223" spans="1:5" x14ac:dyDescent="0.2">
      <c r="A1223" s="1" t="s">
        <v>26</v>
      </c>
      <c r="B1223" s="2" t="s">
        <v>58</v>
      </c>
      <c r="C1223" s="2" t="s">
        <v>57</v>
      </c>
      <c r="D1223" s="2" t="str">
        <f t="shared" si="35"/>
        <v>therm_per_CCF_to_MMBtu_per_L</v>
      </c>
      <c r="E1223" s="3">
        <f>0.1/2831.68</f>
        <v>3.5314724827664145E-5</v>
      </c>
    </row>
    <row r="1224" spans="1:5" x14ac:dyDescent="0.2">
      <c r="A1224" s="1" t="s">
        <v>26</v>
      </c>
      <c r="B1224" s="2" t="s">
        <v>91</v>
      </c>
      <c r="C1224" s="2" t="s">
        <v>86</v>
      </c>
      <c r="D1224" s="2" t="str">
        <f t="shared" si="35"/>
        <v>therm_per_m3_to_Joules_per_ft3</v>
      </c>
      <c r="E1224" s="3">
        <f>105480/35.3147</f>
        <v>2986.8581638807632</v>
      </c>
    </row>
    <row r="1225" spans="1:5" x14ac:dyDescent="0.2">
      <c r="A1225" s="1" t="s">
        <v>26</v>
      </c>
      <c r="B1225" s="2" t="s">
        <v>91</v>
      </c>
      <c r="C1225" s="2" t="s">
        <v>60</v>
      </c>
      <c r="D1225" s="2" t="str">
        <f t="shared" si="35"/>
        <v>therm_per_m3_to_Joules_per_CCF</v>
      </c>
      <c r="E1225" s="3">
        <f>105480/0.353147</f>
        <v>298685.81638807635</v>
      </c>
    </row>
    <row r="1226" spans="1:5" x14ac:dyDescent="0.2">
      <c r="A1226" s="1" t="s">
        <v>26</v>
      </c>
      <c r="B1226" s="2" t="s">
        <v>91</v>
      </c>
      <c r="C1226" s="2" t="s">
        <v>132</v>
      </c>
      <c r="D1226" s="2" t="str">
        <f t="shared" si="35"/>
        <v>therm_per_m3_to_Joules_per_US_Gal</v>
      </c>
      <c r="E1226" s="3">
        <f>105480/264.172</f>
        <v>399.28531411353208</v>
      </c>
    </row>
    <row r="1227" spans="1:5" x14ac:dyDescent="0.2">
      <c r="A1227" s="1" t="s">
        <v>26</v>
      </c>
      <c r="B1227" s="2" t="s">
        <v>91</v>
      </c>
      <c r="C1227" s="2" t="s">
        <v>61</v>
      </c>
      <c r="D1227" s="2" t="str">
        <f t="shared" si="35"/>
        <v>therm_per_m3_to_Joules_per_L</v>
      </c>
      <c r="E1227" s="3">
        <f>105480/1000</f>
        <v>105.48</v>
      </c>
    </row>
    <row r="1228" spans="1:5" x14ac:dyDescent="0.2">
      <c r="A1228" s="1" t="s">
        <v>26</v>
      </c>
      <c r="B1228" s="2" t="s">
        <v>91</v>
      </c>
      <c r="C1228" s="2" t="s">
        <v>92</v>
      </c>
      <c r="D1228" s="2" t="str">
        <f t="shared" si="35"/>
        <v>therm_per_m3_to_kWh_per_ft3</v>
      </c>
      <c r="E1228" s="3">
        <f>29.3071/35.3147</f>
        <v>0.82988387272155784</v>
      </c>
    </row>
    <row r="1229" spans="1:5" x14ac:dyDescent="0.2">
      <c r="A1229" s="1" t="s">
        <v>26</v>
      </c>
      <c r="B1229" s="2" t="s">
        <v>91</v>
      </c>
      <c r="C1229" s="2" t="s">
        <v>50</v>
      </c>
      <c r="D1229" s="2" t="str">
        <f t="shared" si="35"/>
        <v>therm_per_m3_to_kWh_per_CCF</v>
      </c>
      <c r="E1229" s="3">
        <f>29.3071/0.353147</f>
        <v>82.988387272155791</v>
      </c>
    </row>
    <row r="1230" spans="1:5" x14ac:dyDescent="0.2">
      <c r="A1230" s="1" t="s">
        <v>26</v>
      </c>
      <c r="B1230" s="2" t="s">
        <v>91</v>
      </c>
      <c r="C1230" s="2" t="s">
        <v>127</v>
      </c>
      <c r="D1230" s="2" t="str">
        <f t="shared" si="35"/>
        <v>therm_per_m3_to_kWh_per_US_Gal</v>
      </c>
      <c r="E1230" s="3">
        <f>29.3071/264.172</f>
        <v>0.11093946368275213</v>
      </c>
    </row>
    <row r="1231" spans="1:5" x14ac:dyDescent="0.2">
      <c r="A1231" s="1" t="s">
        <v>26</v>
      </c>
      <c r="B1231" s="2" t="s">
        <v>91</v>
      </c>
      <c r="C1231" s="2" t="s">
        <v>51</v>
      </c>
      <c r="D1231" s="2" t="str">
        <f t="shared" si="35"/>
        <v>therm_per_m3_to_kWh_per_L</v>
      </c>
      <c r="E1231" s="3">
        <f>29.3071/1000</f>
        <v>2.9307099999999999E-2</v>
      </c>
    </row>
    <row r="1232" spans="1:5" x14ac:dyDescent="0.2">
      <c r="A1232" s="1" t="s">
        <v>26</v>
      </c>
      <c r="B1232" s="2" t="s">
        <v>91</v>
      </c>
      <c r="C1232" s="2" t="s">
        <v>93</v>
      </c>
      <c r="D1232" s="2" t="str">
        <f t="shared" si="35"/>
        <v>therm_per_m3_to_MWh_per_ft3</v>
      </c>
      <c r="E1232" s="3">
        <f>0.0293071/35.3147</f>
        <v>8.2988387272155779E-4</v>
      </c>
    </row>
    <row r="1233" spans="1:5" x14ac:dyDescent="0.2">
      <c r="A1233" s="1" t="s">
        <v>26</v>
      </c>
      <c r="B1233" s="2" t="s">
        <v>91</v>
      </c>
      <c r="C1233" s="2" t="s">
        <v>52</v>
      </c>
      <c r="D1233" s="2" t="str">
        <f t="shared" si="35"/>
        <v>therm_per_m3_to_MWh_per_CCF</v>
      </c>
      <c r="E1233" s="3">
        <f>0.0293071/0.353147</f>
        <v>8.2988387272155795E-2</v>
      </c>
    </row>
    <row r="1234" spans="1:5" x14ac:dyDescent="0.2">
      <c r="A1234" s="1" t="s">
        <v>26</v>
      </c>
      <c r="B1234" s="2" t="s">
        <v>91</v>
      </c>
      <c r="C1234" s="2" t="s">
        <v>128</v>
      </c>
      <c r="D1234" s="2" t="str">
        <f t="shared" si="35"/>
        <v>therm_per_m3_to_MWh_per_US_Gal</v>
      </c>
      <c r="E1234" s="3">
        <f>0.0293071/264.172</f>
        <v>1.1093946368275214E-4</v>
      </c>
    </row>
    <row r="1235" spans="1:5" x14ac:dyDescent="0.2">
      <c r="A1235" s="1" t="s">
        <v>26</v>
      </c>
      <c r="B1235" s="2" t="s">
        <v>91</v>
      </c>
      <c r="C1235" s="2" t="s">
        <v>53</v>
      </c>
      <c r="D1235" s="2" t="str">
        <f t="shared" si="35"/>
        <v>therm_per_m3_to_MWh_per_L</v>
      </c>
      <c r="E1235" s="3">
        <f>0.0293071/1000</f>
        <v>2.9307099999999999E-5</v>
      </c>
    </row>
    <row r="1236" spans="1:5" x14ac:dyDescent="0.2">
      <c r="A1236" s="1" t="s">
        <v>26</v>
      </c>
      <c r="B1236" s="2" t="s">
        <v>91</v>
      </c>
      <c r="C1236" s="2" t="s">
        <v>94</v>
      </c>
      <c r="D1236" s="2" t="str">
        <f t="shared" si="35"/>
        <v>therm_per_m3_to_kBtu_per_ft3</v>
      </c>
      <c r="E1236" s="3">
        <f>100/35.3147</f>
        <v>2.8316819907857065</v>
      </c>
    </row>
    <row r="1237" spans="1:5" x14ac:dyDescent="0.2">
      <c r="A1237" s="1" t="s">
        <v>26</v>
      </c>
      <c r="B1237" s="2" t="s">
        <v>91</v>
      </c>
      <c r="C1237" s="2" t="s">
        <v>54</v>
      </c>
      <c r="D1237" s="2" t="str">
        <f t="shared" si="35"/>
        <v>therm_per_m3_to_kBtu_per_CCF</v>
      </c>
      <c r="E1237" s="3">
        <f>100/0.353147</f>
        <v>283.16819907857069</v>
      </c>
    </row>
    <row r="1238" spans="1:5" x14ac:dyDescent="0.2">
      <c r="A1238" s="1" t="s">
        <v>26</v>
      </c>
      <c r="B1238" s="2" t="s">
        <v>91</v>
      </c>
      <c r="C1238" s="2" t="s">
        <v>129</v>
      </c>
      <c r="D1238" s="2" t="str">
        <f t="shared" si="35"/>
        <v>therm_per_m3_to_kBtu_per_US_Gal</v>
      </c>
      <c r="E1238" s="3">
        <f>100/264.172</f>
        <v>0.37854125342579831</v>
      </c>
    </row>
    <row r="1239" spans="1:5" x14ac:dyDescent="0.2">
      <c r="A1239" s="1" t="s">
        <v>26</v>
      </c>
      <c r="B1239" s="2" t="s">
        <v>91</v>
      </c>
      <c r="C1239" s="2" t="s">
        <v>55</v>
      </c>
      <c r="D1239" s="2" t="str">
        <f t="shared" si="35"/>
        <v>therm_per_m3_to_kBtu_per_L</v>
      </c>
      <c r="E1239" s="3">
        <f>100/1000</f>
        <v>0.1</v>
      </c>
    </row>
    <row r="1240" spans="1:5" x14ac:dyDescent="0.2">
      <c r="A1240" s="1" t="s">
        <v>26</v>
      </c>
      <c r="B1240" s="2" t="s">
        <v>91</v>
      </c>
      <c r="C1240" s="2" t="s">
        <v>95</v>
      </c>
      <c r="D1240" s="2" t="str">
        <f t="shared" si="35"/>
        <v>therm_per_m3_to_MMBtu_per_ft3</v>
      </c>
      <c r="E1240" s="3">
        <f>0.1/35.3147</f>
        <v>2.8316819907857069E-3</v>
      </c>
    </row>
    <row r="1241" spans="1:5" x14ac:dyDescent="0.2">
      <c r="A1241" s="1" t="s">
        <v>26</v>
      </c>
      <c r="B1241" s="2" t="s">
        <v>91</v>
      </c>
      <c r="C1241" s="2" t="s">
        <v>56</v>
      </c>
      <c r="D1241" s="2" t="str">
        <f t="shared" si="35"/>
        <v>therm_per_m3_to_MMBtu_per_CCF</v>
      </c>
      <c r="E1241" s="3">
        <f>0.1/0.353147</f>
        <v>0.28316819907857071</v>
      </c>
    </row>
    <row r="1242" spans="1:5" x14ac:dyDescent="0.2">
      <c r="A1242" s="1" t="s">
        <v>26</v>
      </c>
      <c r="B1242" s="2" t="s">
        <v>91</v>
      </c>
      <c r="C1242" s="2" t="s">
        <v>130</v>
      </c>
      <c r="D1242" s="2" t="str">
        <f t="shared" si="35"/>
        <v>therm_per_m3_to_MMBtu_per_US_Gal</v>
      </c>
      <c r="E1242" s="3">
        <f>0.1/264.172</f>
        <v>3.7854125342579834E-4</v>
      </c>
    </row>
    <row r="1243" spans="1:5" x14ac:dyDescent="0.2">
      <c r="A1243" s="1" t="s">
        <v>26</v>
      </c>
      <c r="B1243" s="2" t="s">
        <v>91</v>
      </c>
      <c r="C1243" s="2" t="s">
        <v>57</v>
      </c>
      <c r="D1243" s="2" t="str">
        <f t="shared" si="35"/>
        <v>therm_per_m3_to_MMBtu_per_L</v>
      </c>
      <c r="E1243" s="3">
        <f>0.1/1000</f>
        <v>1E-4</v>
      </c>
    </row>
    <row r="1244" spans="1:5" x14ac:dyDescent="0.2">
      <c r="A1244" s="1" t="s">
        <v>26</v>
      </c>
      <c r="B1244" s="2" t="s">
        <v>131</v>
      </c>
      <c r="C1244" s="2" t="s">
        <v>86</v>
      </c>
      <c r="D1244" s="2" t="str">
        <f t="shared" si="35"/>
        <v>therm_per_US_Gal_to_Joules_per_ft3</v>
      </c>
      <c r="E1244" s="3">
        <f>105480/0.133681</f>
        <v>789042.57149482728</v>
      </c>
    </row>
    <row r="1245" spans="1:5" x14ac:dyDescent="0.2">
      <c r="A1245" s="1" t="s">
        <v>26</v>
      </c>
      <c r="B1245" s="2" t="s">
        <v>131</v>
      </c>
      <c r="C1245" s="2" t="s">
        <v>60</v>
      </c>
      <c r="D1245" s="2" t="str">
        <f t="shared" si="35"/>
        <v>therm_per_US_Gal_to_Joules_per_CCF</v>
      </c>
      <c r="E1245" s="3">
        <f>105480/0.00133681</f>
        <v>78904257.149482727</v>
      </c>
    </row>
    <row r="1246" spans="1:5" x14ac:dyDescent="0.2">
      <c r="A1246" s="1" t="s">
        <v>26</v>
      </c>
      <c r="B1246" s="2" t="s">
        <v>131</v>
      </c>
      <c r="C1246" s="2" t="s">
        <v>97</v>
      </c>
      <c r="D1246" s="2" t="str">
        <f t="shared" si="35"/>
        <v>therm_per_US_Gal_to_Joules_per_m3</v>
      </c>
      <c r="E1246" s="3">
        <f>105480/0.00378541</f>
        <v>27864881.214980677</v>
      </c>
    </row>
    <row r="1247" spans="1:5" x14ac:dyDescent="0.2">
      <c r="A1247" s="1" t="s">
        <v>26</v>
      </c>
      <c r="B1247" s="2" t="s">
        <v>131</v>
      </c>
      <c r="C1247" s="2" t="s">
        <v>61</v>
      </c>
      <c r="D1247" s="2" t="str">
        <f t="shared" si="35"/>
        <v>therm_per_US_Gal_to_Joules_per_L</v>
      </c>
      <c r="E1247" s="3">
        <f>105480/3.78541</f>
        <v>27864.881214980676</v>
      </c>
    </row>
    <row r="1248" spans="1:5" x14ac:dyDescent="0.2">
      <c r="A1248" s="1" t="s">
        <v>26</v>
      </c>
      <c r="B1248" s="2" t="s">
        <v>131</v>
      </c>
      <c r="C1248" s="2" t="s">
        <v>92</v>
      </c>
      <c r="D1248" s="2" t="str">
        <f t="shared" si="35"/>
        <v>therm_per_US_Gal_to_kWh_per_ft3</v>
      </c>
      <c r="E1248" s="3">
        <f>29.3071/0.133681</f>
        <v>219.23160359362961</v>
      </c>
    </row>
    <row r="1249" spans="1:5" x14ac:dyDescent="0.2">
      <c r="A1249" s="1" t="s">
        <v>26</v>
      </c>
      <c r="B1249" s="2" t="s">
        <v>131</v>
      </c>
      <c r="C1249" s="2" t="s">
        <v>50</v>
      </c>
      <c r="D1249" s="2" t="str">
        <f t="shared" si="35"/>
        <v>therm_per_US_Gal_to_kWh_per_CCF</v>
      </c>
      <c r="E1249" s="3">
        <f>29.3071/0.00133681</f>
        <v>21923.160359362962</v>
      </c>
    </row>
    <row r="1250" spans="1:5" x14ac:dyDescent="0.2">
      <c r="A1250" s="1" t="s">
        <v>26</v>
      </c>
      <c r="B1250" s="2" t="s">
        <v>131</v>
      </c>
      <c r="C1250" s="2" t="s">
        <v>87</v>
      </c>
      <c r="D1250" s="2" t="str">
        <f t="shared" si="35"/>
        <v>therm_per_US_Gal_to_kWh_per_m3</v>
      </c>
      <c r="E1250" s="3">
        <f>29.3071/0.00378541</f>
        <v>7742.1204043947682</v>
      </c>
    </row>
    <row r="1251" spans="1:5" x14ac:dyDescent="0.2">
      <c r="A1251" s="1" t="s">
        <v>26</v>
      </c>
      <c r="B1251" s="2" t="s">
        <v>131</v>
      </c>
      <c r="C1251" s="2" t="s">
        <v>51</v>
      </c>
      <c r="D1251" s="2" t="str">
        <f t="shared" si="35"/>
        <v>therm_per_US_Gal_to_kWh_per_L</v>
      </c>
      <c r="E1251" s="3">
        <f>29.3071/3.78541</f>
        <v>7.7421204043947673</v>
      </c>
    </row>
    <row r="1252" spans="1:5" x14ac:dyDescent="0.2">
      <c r="A1252" s="1" t="s">
        <v>26</v>
      </c>
      <c r="B1252" s="2" t="s">
        <v>131</v>
      </c>
      <c r="C1252" s="2" t="s">
        <v>93</v>
      </c>
      <c r="D1252" s="2" t="str">
        <f t="shared" si="35"/>
        <v>therm_per_US_Gal_to_MWh_per_ft3</v>
      </c>
      <c r="E1252" s="3">
        <f>0.0293071/0.133681</f>
        <v>0.21923160359362961</v>
      </c>
    </row>
    <row r="1253" spans="1:5" x14ac:dyDescent="0.2">
      <c r="A1253" s="1" t="s">
        <v>26</v>
      </c>
      <c r="B1253" s="2" t="s">
        <v>131</v>
      </c>
      <c r="C1253" s="2" t="s">
        <v>52</v>
      </c>
      <c r="D1253" s="2" t="str">
        <f t="shared" si="35"/>
        <v>therm_per_US_Gal_to_MWh_per_CCF</v>
      </c>
      <c r="E1253" s="3">
        <f>0.0293071/0.00133681</f>
        <v>21.923160359362964</v>
      </c>
    </row>
    <row r="1254" spans="1:5" x14ac:dyDescent="0.2">
      <c r="A1254" s="1" t="s">
        <v>26</v>
      </c>
      <c r="B1254" s="2" t="s">
        <v>131</v>
      </c>
      <c r="C1254" s="2" t="s">
        <v>88</v>
      </c>
      <c r="D1254" s="2" t="str">
        <f t="shared" ref="D1254:D1285" si="36">B1254 &amp; "_to_" &amp; C1254</f>
        <v>therm_per_US_Gal_to_MWh_per_m3</v>
      </c>
      <c r="E1254" s="3">
        <f>0.0293071/0.00378541</f>
        <v>7.7421204043947682</v>
      </c>
    </row>
    <row r="1255" spans="1:5" x14ac:dyDescent="0.2">
      <c r="A1255" s="1" t="s">
        <v>26</v>
      </c>
      <c r="B1255" s="2" t="s">
        <v>131</v>
      </c>
      <c r="C1255" s="2" t="s">
        <v>53</v>
      </c>
      <c r="D1255" s="2" t="str">
        <f t="shared" si="36"/>
        <v>therm_per_US_Gal_to_MWh_per_L</v>
      </c>
      <c r="E1255" s="3">
        <f>0.0293071/3.78541</f>
        <v>7.7421204043947676E-3</v>
      </c>
    </row>
    <row r="1256" spans="1:5" x14ac:dyDescent="0.2">
      <c r="A1256" s="1" t="s">
        <v>26</v>
      </c>
      <c r="B1256" s="2" t="s">
        <v>131</v>
      </c>
      <c r="C1256" s="2" t="s">
        <v>94</v>
      </c>
      <c r="D1256" s="2" t="str">
        <f t="shared" si="36"/>
        <v>therm_per_US_Gal_to_kBtu_per_ft3</v>
      </c>
      <c r="E1256" s="3">
        <f>100/0.133681</f>
        <v>748.04946103036332</v>
      </c>
    </row>
    <row r="1257" spans="1:5" x14ac:dyDescent="0.2">
      <c r="A1257" s="1" t="s">
        <v>26</v>
      </c>
      <c r="B1257" s="2" t="s">
        <v>131</v>
      </c>
      <c r="C1257" s="2" t="s">
        <v>54</v>
      </c>
      <c r="D1257" s="2" t="str">
        <f t="shared" si="36"/>
        <v>therm_per_US_Gal_to_kBtu_per_CCF</v>
      </c>
      <c r="E1257" s="3">
        <f>100/0.00133681</f>
        <v>74804.946103036331</v>
      </c>
    </row>
    <row r="1258" spans="1:5" x14ac:dyDescent="0.2">
      <c r="A1258" s="1" t="s">
        <v>26</v>
      </c>
      <c r="B1258" s="2" t="s">
        <v>131</v>
      </c>
      <c r="C1258" s="2" t="s">
        <v>89</v>
      </c>
      <c r="D1258" s="2" t="str">
        <f t="shared" si="36"/>
        <v>therm_per_US_Gal_to_kBtu_per_m3</v>
      </c>
      <c r="E1258" s="3">
        <f>100/0.00378541</f>
        <v>26417.217685798896</v>
      </c>
    </row>
    <row r="1259" spans="1:5" x14ac:dyDescent="0.2">
      <c r="A1259" s="1" t="s">
        <v>26</v>
      </c>
      <c r="B1259" s="2" t="s">
        <v>131</v>
      </c>
      <c r="C1259" s="2" t="s">
        <v>55</v>
      </c>
      <c r="D1259" s="2" t="str">
        <f t="shared" si="36"/>
        <v>therm_per_US_Gal_to_kBtu_per_L</v>
      </c>
      <c r="E1259" s="3">
        <f>100/3.78541</f>
        <v>26.417217685798896</v>
      </c>
    </row>
    <row r="1260" spans="1:5" x14ac:dyDescent="0.2">
      <c r="A1260" s="1" t="s">
        <v>26</v>
      </c>
      <c r="B1260" s="2" t="s">
        <v>131</v>
      </c>
      <c r="C1260" s="2" t="s">
        <v>95</v>
      </c>
      <c r="D1260" s="2" t="str">
        <f t="shared" si="36"/>
        <v>therm_per_US_Gal_to_MMBtu_per_ft3</v>
      </c>
      <c r="E1260" s="3">
        <f>0.1/0.133681</f>
        <v>0.74804946103036341</v>
      </c>
    </row>
    <row r="1261" spans="1:5" x14ac:dyDescent="0.2">
      <c r="A1261" s="1" t="s">
        <v>26</v>
      </c>
      <c r="B1261" s="2" t="s">
        <v>131</v>
      </c>
      <c r="C1261" s="2" t="s">
        <v>56</v>
      </c>
      <c r="D1261" s="2" t="str">
        <f t="shared" si="36"/>
        <v>therm_per_US_Gal_to_MMBtu_per_CCF</v>
      </c>
      <c r="E1261" s="3">
        <f>0.1/0.00133681</f>
        <v>74.804946103036343</v>
      </c>
    </row>
    <row r="1262" spans="1:5" x14ac:dyDescent="0.2">
      <c r="A1262" s="1" t="s">
        <v>26</v>
      </c>
      <c r="B1262" s="2" t="s">
        <v>131</v>
      </c>
      <c r="C1262" s="2" t="s">
        <v>90</v>
      </c>
      <c r="D1262" s="2" t="str">
        <f t="shared" si="36"/>
        <v>therm_per_US_Gal_to_MMBtu_per_m3</v>
      </c>
      <c r="E1262" s="3">
        <f>0.1/0.00378541</f>
        <v>26.417217685798899</v>
      </c>
    </row>
    <row r="1263" spans="1:5" x14ac:dyDescent="0.2">
      <c r="A1263" s="1" t="s">
        <v>26</v>
      </c>
      <c r="B1263" s="2" t="s">
        <v>131</v>
      </c>
      <c r="C1263" s="2" t="s">
        <v>57</v>
      </c>
      <c r="D1263" s="2" t="str">
        <f t="shared" si="36"/>
        <v>therm_per_US_Gal_to_MMBtu_per_L</v>
      </c>
      <c r="E1263" s="3">
        <f>0.1/3.78541</f>
        <v>2.6417217685798897E-2</v>
      </c>
    </row>
    <row r="1264" spans="1:5" x14ac:dyDescent="0.2">
      <c r="A1264" s="1" t="s">
        <v>26</v>
      </c>
      <c r="B1264" s="2" t="s">
        <v>59</v>
      </c>
      <c r="C1264" s="2" t="s">
        <v>86</v>
      </c>
      <c r="D1264" s="2" t="str">
        <f t="shared" si="36"/>
        <v>therm_per_L_to_Joules_per_ft3</v>
      </c>
      <c r="E1264" s="3">
        <f>105480/0.0353147</f>
        <v>2986858.1638807636</v>
      </c>
    </row>
    <row r="1265" spans="1:5" x14ac:dyDescent="0.2">
      <c r="A1265" s="1" t="s">
        <v>26</v>
      </c>
      <c r="B1265" s="2" t="s">
        <v>59</v>
      </c>
      <c r="C1265" s="2" t="s">
        <v>60</v>
      </c>
      <c r="D1265" s="2" t="str">
        <f t="shared" si="36"/>
        <v>therm_per_L_to_Joules_per_CCF</v>
      </c>
      <c r="E1265" s="3">
        <f>105480/0.000353147</f>
        <v>298685816.38807636</v>
      </c>
    </row>
    <row r="1266" spans="1:5" x14ac:dyDescent="0.2">
      <c r="A1266" s="1" t="s">
        <v>26</v>
      </c>
      <c r="B1266" s="2" t="s">
        <v>59</v>
      </c>
      <c r="C1266" s="2" t="s">
        <v>97</v>
      </c>
      <c r="D1266" s="2" t="str">
        <f t="shared" si="36"/>
        <v>therm_per_L_to_Joules_per_m3</v>
      </c>
      <c r="E1266" s="3">
        <f>105480/0.001</f>
        <v>105480000</v>
      </c>
    </row>
    <row r="1267" spans="1:5" x14ac:dyDescent="0.2">
      <c r="A1267" s="1" t="s">
        <v>26</v>
      </c>
      <c r="B1267" s="2" t="s">
        <v>59</v>
      </c>
      <c r="C1267" s="2" t="s">
        <v>132</v>
      </c>
      <c r="D1267" s="2" t="str">
        <f t="shared" si="36"/>
        <v>therm_per_L_to_Joules_per_US_Gal</v>
      </c>
      <c r="E1267" s="3">
        <f>105480/0.264172</f>
        <v>399285.31411353208</v>
      </c>
    </row>
    <row r="1268" spans="1:5" x14ac:dyDescent="0.2">
      <c r="A1268" s="1" t="s">
        <v>26</v>
      </c>
      <c r="B1268" s="2" t="s">
        <v>59</v>
      </c>
      <c r="C1268" s="2" t="s">
        <v>92</v>
      </c>
      <c r="D1268" s="2" t="str">
        <f t="shared" si="36"/>
        <v>therm_per_L_to_kWh_per_ft3</v>
      </c>
      <c r="E1268" s="3">
        <f>29.3071/0.0353147</f>
        <v>829.88387272155785</v>
      </c>
    </row>
    <row r="1269" spans="1:5" x14ac:dyDescent="0.2">
      <c r="A1269" s="1" t="s">
        <v>26</v>
      </c>
      <c r="B1269" s="2" t="s">
        <v>59</v>
      </c>
      <c r="C1269" s="2" t="s">
        <v>50</v>
      </c>
      <c r="D1269" s="2" t="str">
        <f t="shared" si="36"/>
        <v>therm_per_L_to_kWh_per_CCF</v>
      </c>
      <c r="E1269" s="3">
        <f>29.3071/0.000353147</f>
        <v>82988.387272155785</v>
      </c>
    </row>
    <row r="1270" spans="1:5" x14ac:dyDescent="0.2">
      <c r="A1270" s="1" t="s">
        <v>26</v>
      </c>
      <c r="B1270" s="2" t="s">
        <v>59</v>
      </c>
      <c r="C1270" s="2" t="s">
        <v>87</v>
      </c>
      <c r="D1270" s="2" t="str">
        <f t="shared" si="36"/>
        <v>therm_per_L_to_kWh_per_m3</v>
      </c>
      <c r="E1270" s="3">
        <f>29.3071/0.001</f>
        <v>29307.1</v>
      </c>
    </row>
    <row r="1271" spans="1:5" x14ac:dyDescent="0.2">
      <c r="A1271" s="1" t="s">
        <v>26</v>
      </c>
      <c r="B1271" s="2" t="s">
        <v>59</v>
      </c>
      <c r="C1271" s="2" t="s">
        <v>127</v>
      </c>
      <c r="D1271" s="2" t="str">
        <f t="shared" si="36"/>
        <v>therm_per_L_to_kWh_per_US_Gal</v>
      </c>
      <c r="E1271" s="3">
        <f>29.3071/0.264172</f>
        <v>110.93946368275213</v>
      </c>
    </row>
    <row r="1272" spans="1:5" x14ac:dyDescent="0.2">
      <c r="A1272" s="1" t="s">
        <v>26</v>
      </c>
      <c r="B1272" s="2" t="s">
        <v>59</v>
      </c>
      <c r="C1272" s="2" t="s">
        <v>93</v>
      </c>
      <c r="D1272" s="2" t="str">
        <f t="shared" si="36"/>
        <v>therm_per_L_to_MWh_per_ft3</v>
      </c>
      <c r="E1272" s="3">
        <f>0.0293071/0.0353147</f>
        <v>0.82988387272155795</v>
      </c>
    </row>
    <row r="1273" spans="1:5" x14ac:dyDescent="0.2">
      <c r="A1273" s="1" t="s">
        <v>26</v>
      </c>
      <c r="B1273" s="2" t="s">
        <v>59</v>
      </c>
      <c r="C1273" s="2" t="s">
        <v>52</v>
      </c>
      <c r="D1273" s="2" t="str">
        <f t="shared" si="36"/>
        <v>therm_per_L_to_MWh_per_CCF</v>
      </c>
      <c r="E1273" s="3">
        <f>0.0293071/0.000353147</f>
        <v>82.988387272155791</v>
      </c>
    </row>
    <row r="1274" spans="1:5" x14ac:dyDescent="0.2">
      <c r="A1274" s="1" t="s">
        <v>26</v>
      </c>
      <c r="B1274" s="2" t="s">
        <v>59</v>
      </c>
      <c r="C1274" s="2" t="s">
        <v>88</v>
      </c>
      <c r="D1274" s="2" t="str">
        <f t="shared" si="36"/>
        <v>therm_per_L_to_MWh_per_m3</v>
      </c>
      <c r="E1274" s="3">
        <f>0.0293071/0.001</f>
        <v>29.307099999999998</v>
      </c>
    </row>
    <row r="1275" spans="1:5" x14ac:dyDescent="0.2">
      <c r="A1275" s="1" t="s">
        <v>26</v>
      </c>
      <c r="B1275" s="2" t="s">
        <v>59</v>
      </c>
      <c r="C1275" s="2" t="s">
        <v>128</v>
      </c>
      <c r="D1275" s="2" t="str">
        <f t="shared" si="36"/>
        <v>therm_per_L_to_MWh_per_US_Gal</v>
      </c>
      <c r="E1275" s="3">
        <f>0.0293071/0.264172</f>
        <v>0.11093946368275213</v>
      </c>
    </row>
    <row r="1276" spans="1:5" x14ac:dyDescent="0.2">
      <c r="A1276" s="1" t="s">
        <v>26</v>
      </c>
      <c r="B1276" s="2" t="s">
        <v>59</v>
      </c>
      <c r="C1276" s="2" t="s">
        <v>94</v>
      </c>
      <c r="D1276" s="2" t="str">
        <f t="shared" si="36"/>
        <v>therm_per_L_to_kBtu_per_ft3</v>
      </c>
      <c r="E1276" s="3">
        <f>100/0.0353147</f>
        <v>2831.6819907857071</v>
      </c>
    </row>
    <row r="1277" spans="1:5" x14ac:dyDescent="0.2">
      <c r="A1277" s="1" t="s">
        <v>26</v>
      </c>
      <c r="B1277" s="2" t="s">
        <v>59</v>
      </c>
      <c r="C1277" s="2" t="s">
        <v>54</v>
      </c>
      <c r="D1277" s="2" t="str">
        <f t="shared" si="36"/>
        <v>therm_per_L_to_kBtu_per_CCF</v>
      </c>
      <c r="E1277" s="3">
        <f>100/0.000353147</f>
        <v>283168.1990785707</v>
      </c>
    </row>
    <row r="1278" spans="1:5" x14ac:dyDescent="0.2">
      <c r="A1278" s="1" t="s">
        <v>26</v>
      </c>
      <c r="B1278" s="2" t="s">
        <v>59</v>
      </c>
      <c r="C1278" s="2" t="s">
        <v>89</v>
      </c>
      <c r="D1278" s="2" t="str">
        <f t="shared" si="36"/>
        <v>therm_per_L_to_kBtu_per_m3</v>
      </c>
      <c r="E1278" s="3">
        <f>100/0.001</f>
        <v>100000</v>
      </c>
    </row>
    <row r="1279" spans="1:5" x14ac:dyDescent="0.2">
      <c r="A1279" s="1" t="s">
        <v>26</v>
      </c>
      <c r="B1279" s="2" t="s">
        <v>59</v>
      </c>
      <c r="C1279" s="2" t="s">
        <v>129</v>
      </c>
      <c r="D1279" s="2" t="str">
        <f t="shared" si="36"/>
        <v>therm_per_L_to_kBtu_per_US_Gal</v>
      </c>
      <c r="E1279" s="3">
        <f>100/0.264172</f>
        <v>378.54125342579835</v>
      </c>
    </row>
    <row r="1280" spans="1:5" x14ac:dyDescent="0.2">
      <c r="A1280" s="1" t="s">
        <v>26</v>
      </c>
      <c r="B1280" s="2" t="s">
        <v>59</v>
      </c>
      <c r="C1280" s="2" t="s">
        <v>95</v>
      </c>
      <c r="D1280" s="2" t="str">
        <f t="shared" si="36"/>
        <v>therm_per_L_to_MMBtu_per_ft3</v>
      </c>
      <c r="E1280" s="3">
        <f>0.1/0.0353147</f>
        <v>2.8316819907857074</v>
      </c>
    </row>
    <row r="1281" spans="1:5" x14ac:dyDescent="0.2">
      <c r="A1281" s="1" t="s">
        <v>26</v>
      </c>
      <c r="B1281" s="2" t="s">
        <v>59</v>
      </c>
      <c r="C1281" s="2" t="s">
        <v>56</v>
      </c>
      <c r="D1281" s="2" t="str">
        <f t="shared" si="36"/>
        <v>therm_per_L_to_MMBtu_per_CCF</v>
      </c>
      <c r="E1281" s="3">
        <f>0.1/0.000353147</f>
        <v>283.16819907857069</v>
      </c>
    </row>
    <row r="1282" spans="1:5" x14ac:dyDescent="0.2">
      <c r="A1282" s="1" t="s">
        <v>26</v>
      </c>
      <c r="B1282" s="2" t="s">
        <v>59</v>
      </c>
      <c r="C1282" s="2" t="s">
        <v>90</v>
      </c>
      <c r="D1282" s="2" t="str">
        <f t="shared" si="36"/>
        <v>therm_per_L_to_MMBtu_per_m3</v>
      </c>
      <c r="E1282" s="3">
        <f>0.1/0.001</f>
        <v>100</v>
      </c>
    </row>
    <row r="1283" spans="1:5" x14ac:dyDescent="0.2">
      <c r="A1283" s="1" t="s">
        <v>26</v>
      </c>
      <c r="B1283" s="2" t="s">
        <v>59</v>
      </c>
      <c r="C1283" s="2" t="s">
        <v>130</v>
      </c>
      <c r="D1283" s="2" t="str">
        <f t="shared" si="36"/>
        <v>therm_per_L_to_MMBtu_per_US_Gal</v>
      </c>
      <c r="E1283" s="3">
        <f>0.1/0.264172</f>
        <v>0.37854125342579836</v>
      </c>
    </row>
    <row r="1284" spans="1:5" x14ac:dyDescent="0.2">
      <c r="A1284" s="1" t="s">
        <v>27</v>
      </c>
      <c r="B1284" s="2" t="s">
        <v>98</v>
      </c>
      <c r="C1284" s="2" t="s">
        <v>62</v>
      </c>
      <c r="D1284" s="2" t="str">
        <f t="shared" si="36"/>
        <v>kg_per_ft3_to_lb_per_CCF</v>
      </c>
      <c r="E1284" s="3">
        <f>2.20462/0.01</f>
        <v>220.46199999999999</v>
      </c>
    </row>
    <row r="1285" spans="1:5" x14ac:dyDescent="0.2">
      <c r="A1285" s="1" t="s">
        <v>27</v>
      </c>
      <c r="B1285" s="2" t="s">
        <v>98</v>
      </c>
      <c r="C1285" s="2" t="s">
        <v>99</v>
      </c>
      <c r="D1285" s="2" t="str">
        <f t="shared" si="36"/>
        <v>kg_per_ft3_to_lb_per_m3</v>
      </c>
      <c r="E1285" s="3">
        <f>2.20462/0.0283168</f>
        <v>77.855548649564923</v>
      </c>
    </row>
    <row r="1286" spans="1:5" x14ac:dyDescent="0.2">
      <c r="A1286" s="1" t="s">
        <v>27</v>
      </c>
      <c r="B1286" s="2" t="s">
        <v>98</v>
      </c>
      <c r="C1286" s="2" t="s">
        <v>133</v>
      </c>
      <c r="D1286" s="2" t="str">
        <f t="shared" ref="D1286:D1317" si="37">B1286 &amp; "_to_" &amp; C1286</f>
        <v>kg_per_ft3_to_lb_per_US_Gal</v>
      </c>
      <c r="E1286" s="3">
        <f>2.20462/7.48052</f>
        <v>0.29471480592258287</v>
      </c>
    </row>
    <row r="1287" spans="1:5" x14ac:dyDescent="0.2">
      <c r="A1287" s="1" t="s">
        <v>27</v>
      </c>
      <c r="B1287" s="2" t="s">
        <v>98</v>
      </c>
      <c r="C1287" s="2" t="s">
        <v>63</v>
      </c>
      <c r="D1287" s="2" t="str">
        <f t="shared" si="37"/>
        <v>kg_per_ft3_to_lb_per_L</v>
      </c>
      <c r="E1287" s="3">
        <f>2.20462/28.3168</f>
        <v>7.7855548649564912E-2</v>
      </c>
    </row>
    <row r="1288" spans="1:5" x14ac:dyDescent="0.2">
      <c r="A1288" s="1" t="s">
        <v>27</v>
      </c>
      <c r="B1288" s="2" t="s">
        <v>98</v>
      </c>
      <c r="C1288" s="2" t="s">
        <v>134</v>
      </c>
      <c r="D1288" s="2" t="str">
        <f t="shared" si="37"/>
        <v>kg_per_ft3_to_US_Ton_per_CCF</v>
      </c>
      <c r="E1288" s="3">
        <f>0.00110231/0.01</f>
        <v>0.110231</v>
      </c>
    </row>
    <row r="1289" spans="1:5" x14ac:dyDescent="0.2">
      <c r="A1289" s="1" t="s">
        <v>27</v>
      </c>
      <c r="B1289" s="2" t="s">
        <v>98</v>
      </c>
      <c r="C1289" s="2" t="s">
        <v>145</v>
      </c>
      <c r="D1289" s="2" t="str">
        <f t="shared" si="37"/>
        <v>kg_per_ft3_to_US_Ton_per_m3</v>
      </c>
      <c r="E1289" s="3">
        <f>0.00110231/0.0283168</f>
        <v>3.8927774324782463E-2</v>
      </c>
    </row>
    <row r="1290" spans="1:5" x14ac:dyDescent="0.2">
      <c r="A1290" s="1" t="s">
        <v>27</v>
      </c>
      <c r="B1290" s="2" t="s">
        <v>98</v>
      </c>
      <c r="C1290" s="2" t="s">
        <v>135</v>
      </c>
      <c r="D1290" s="2" t="str">
        <f t="shared" si="37"/>
        <v>kg_per_ft3_to_US_Ton_per_US_Gal</v>
      </c>
      <c r="E1290" s="3">
        <f>0.00110231/7.48052</f>
        <v>1.4735740296129146E-4</v>
      </c>
    </row>
    <row r="1291" spans="1:5" x14ac:dyDescent="0.2">
      <c r="A1291" s="1" t="s">
        <v>27</v>
      </c>
      <c r="B1291" s="2" t="s">
        <v>98</v>
      </c>
      <c r="C1291" s="2" t="s">
        <v>136</v>
      </c>
      <c r="D1291" s="2" t="str">
        <f t="shared" si="37"/>
        <v>kg_per_ft3_to_US_Ton_per_L</v>
      </c>
      <c r="E1291" s="3">
        <f>0.00110231/28.3168</f>
        <v>3.8927774324782463E-5</v>
      </c>
    </row>
    <row r="1292" spans="1:5" x14ac:dyDescent="0.2">
      <c r="A1292" s="1" t="s">
        <v>27</v>
      </c>
      <c r="B1292" s="2" t="s">
        <v>98</v>
      </c>
      <c r="C1292" s="2" t="s">
        <v>137</v>
      </c>
      <c r="D1292" s="2" t="str">
        <f t="shared" si="37"/>
        <v>kg_per_ft3_to_Metric_Tonne_per_CCF</v>
      </c>
      <c r="E1292" s="3">
        <f>0.001/0.01</f>
        <v>0.1</v>
      </c>
    </row>
    <row r="1293" spans="1:5" x14ac:dyDescent="0.2">
      <c r="A1293" s="1" t="s">
        <v>27</v>
      </c>
      <c r="B1293" s="2" t="s">
        <v>98</v>
      </c>
      <c r="C1293" s="2" t="s">
        <v>146</v>
      </c>
      <c r="D1293" s="2" t="str">
        <f t="shared" si="37"/>
        <v>kg_per_ft3_to_Metric_Tonne_per_m3</v>
      </c>
      <c r="E1293" s="3">
        <f>0.001/0.0283168</f>
        <v>3.5314724827664144E-2</v>
      </c>
    </row>
    <row r="1294" spans="1:5" x14ac:dyDescent="0.2">
      <c r="A1294" s="1" t="s">
        <v>27</v>
      </c>
      <c r="B1294" s="2" t="s">
        <v>98</v>
      </c>
      <c r="C1294" s="2" t="s">
        <v>138</v>
      </c>
      <c r="D1294" s="2" t="str">
        <f t="shared" si="37"/>
        <v>kg_per_ft3_to_Metric_Tonne_per_US_Gal</v>
      </c>
      <c r="E1294" s="3">
        <f>0.001/7.48052</f>
        <v>1.3368054627218429E-4</v>
      </c>
    </row>
    <row r="1295" spans="1:5" x14ac:dyDescent="0.2">
      <c r="A1295" s="1" t="s">
        <v>27</v>
      </c>
      <c r="B1295" s="2" t="s">
        <v>98</v>
      </c>
      <c r="C1295" s="2" t="s">
        <v>139</v>
      </c>
      <c r="D1295" s="2" t="str">
        <f t="shared" si="37"/>
        <v>kg_per_ft3_to_Metric_Tonne_per_L</v>
      </c>
      <c r="E1295" s="3">
        <f>0.001/28.3168</f>
        <v>3.5314724827664145E-5</v>
      </c>
    </row>
    <row r="1296" spans="1:5" x14ac:dyDescent="0.2">
      <c r="A1296" s="1" t="s">
        <v>27</v>
      </c>
      <c r="B1296" s="2" t="s">
        <v>64</v>
      </c>
      <c r="C1296" s="2" t="s">
        <v>100</v>
      </c>
      <c r="D1296" s="2" t="str">
        <f t="shared" si="37"/>
        <v>kg_per_CCF_to_lb_per_ft3</v>
      </c>
      <c r="E1296" s="3">
        <f>2.20462/100</f>
        <v>2.2046199999999998E-2</v>
      </c>
    </row>
    <row r="1297" spans="1:5" x14ac:dyDescent="0.2">
      <c r="A1297" s="1" t="s">
        <v>27</v>
      </c>
      <c r="B1297" s="2" t="s">
        <v>64</v>
      </c>
      <c r="C1297" s="2" t="s">
        <v>99</v>
      </c>
      <c r="D1297" s="2" t="str">
        <f t="shared" si="37"/>
        <v>kg_per_CCF_to_lb_per_m3</v>
      </c>
      <c r="E1297" s="3">
        <f>2.20462/2.83168</f>
        <v>0.77855548649564921</v>
      </c>
    </row>
    <row r="1298" spans="1:5" x14ac:dyDescent="0.2">
      <c r="A1298" s="1" t="s">
        <v>27</v>
      </c>
      <c r="B1298" s="2" t="s">
        <v>64</v>
      </c>
      <c r="C1298" s="2" t="s">
        <v>133</v>
      </c>
      <c r="D1298" s="2" t="str">
        <f t="shared" si="37"/>
        <v>kg_per_CCF_to_lb_per_US_Gal</v>
      </c>
      <c r="E1298" s="3">
        <f>2.20462/748.052</f>
        <v>2.9471480592258288E-3</v>
      </c>
    </row>
    <row r="1299" spans="1:5" x14ac:dyDescent="0.2">
      <c r="A1299" s="1" t="s">
        <v>27</v>
      </c>
      <c r="B1299" s="2" t="s">
        <v>64</v>
      </c>
      <c r="C1299" s="2" t="s">
        <v>63</v>
      </c>
      <c r="D1299" s="2" t="str">
        <f t="shared" si="37"/>
        <v>kg_per_CCF_to_lb_per_L</v>
      </c>
      <c r="E1299" s="3">
        <f>2.20462/2831.68</f>
        <v>7.7855548649564921E-4</v>
      </c>
    </row>
    <row r="1300" spans="1:5" x14ac:dyDescent="0.2">
      <c r="A1300" s="1" t="s">
        <v>27</v>
      </c>
      <c r="B1300" s="2" t="s">
        <v>64</v>
      </c>
      <c r="C1300" s="2" t="s">
        <v>147</v>
      </c>
      <c r="D1300" s="2" t="str">
        <f t="shared" si="37"/>
        <v>kg_per_CCF_to_US_Ton_per_ft3</v>
      </c>
      <c r="E1300" s="3">
        <f>0.00110231/100</f>
        <v>1.10231E-5</v>
      </c>
    </row>
    <row r="1301" spans="1:5" x14ac:dyDescent="0.2">
      <c r="A1301" s="1" t="s">
        <v>27</v>
      </c>
      <c r="B1301" s="2" t="s">
        <v>64</v>
      </c>
      <c r="C1301" s="2" t="s">
        <v>145</v>
      </c>
      <c r="D1301" s="2" t="str">
        <f t="shared" si="37"/>
        <v>kg_per_CCF_to_US_Ton_per_m3</v>
      </c>
      <c r="E1301" s="3">
        <f>0.00110231/2.83168</f>
        <v>3.8927774324782461E-4</v>
      </c>
    </row>
    <row r="1302" spans="1:5" x14ac:dyDescent="0.2">
      <c r="A1302" s="1" t="s">
        <v>27</v>
      </c>
      <c r="B1302" s="2" t="s">
        <v>64</v>
      </c>
      <c r="C1302" s="2" t="s">
        <v>135</v>
      </c>
      <c r="D1302" s="2" t="str">
        <f t="shared" si="37"/>
        <v>kg_per_CCF_to_US_Ton_per_US_Gal</v>
      </c>
      <c r="E1302" s="3">
        <f>0.00110231/748.052</f>
        <v>1.4735740296129146E-6</v>
      </c>
    </row>
    <row r="1303" spans="1:5" x14ac:dyDescent="0.2">
      <c r="A1303" s="1" t="s">
        <v>27</v>
      </c>
      <c r="B1303" s="2" t="s">
        <v>64</v>
      </c>
      <c r="C1303" s="2" t="s">
        <v>136</v>
      </c>
      <c r="D1303" s="2" t="str">
        <f t="shared" si="37"/>
        <v>kg_per_CCF_to_US_Ton_per_L</v>
      </c>
      <c r="E1303" s="3">
        <f>0.00110231/2831.68</f>
        <v>3.8927774324782466E-7</v>
      </c>
    </row>
    <row r="1304" spans="1:5" x14ac:dyDescent="0.2">
      <c r="A1304" s="1" t="s">
        <v>27</v>
      </c>
      <c r="B1304" s="2" t="s">
        <v>64</v>
      </c>
      <c r="C1304" s="2" t="s">
        <v>148</v>
      </c>
      <c r="D1304" s="2" t="str">
        <f t="shared" si="37"/>
        <v>kg_per_CCF_to_Metric_Tonne_per_ft3</v>
      </c>
      <c r="E1304" s="3">
        <f>0.001/100</f>
        <v>1.0000000000000001E-5</v>
      </c>
    </row>
    <row r="1305" spans="1:5" x14ac:dyDescent="0.2">
      <c r="A1305" s="1" t="s">
        <v>27</v>
      </c>
      <c r="B1305" s="2" t="s">
        <v>64</v>
      </c>
      <c r="C1305" s="2" t="s">
        <v>146</v>
      </c>
      <c r="D1305" s="2" t="str">
        <f t="shared" si="37"/>
        <v>kg_per_CCF_to_Metric_Tonne_per_m3</v>
      </c>
      <c r="E1305" s="3">
        <f>0.001/2.83168</f>
        <v>3.5314724827664143E-4</v>
      </c>
    </row>
    <row r="1306" spans="1:5" x14ac:dyDescent="0.2">
      <c r="A1306" s="1" t="s">
        <v>27</v>
      </c>
      <c r="B1306" s="2" t="s">
        <v>64</v>
      </c>
      <c r="C1306" s="2" t="s">
        <v>138</v>
      </c>
      <c r="D1306" s="2" t="str">
        <f t="shared" si="37"/>
        <v>kg_per_CCF_to_Metric_Tonne_per_US_Gal</v>
      </c>
      <c r="E1306" s="3">
        <f>0.001/748.052</f>
        <v>1.3368054627218429E-6</v>
      </c>
    </row>
    <row r="1307" spans="1:5" x14ac:dyDescent="0.2">
      <c r="A1307" s="1" t="s">
        <v>27</v>
      </c>
      <c r="B1307" s="2" t="s">
        <v>64</v>
      </c>
      <c r="C1307" s="2" t="s">
        <v>139</v>
      </c>
      <c r="D1307" s="2" t="str">
        <f t="shared" si="37"/>
        <v>kg_per_CCF_to_Metric_Tonne_per_L</v>
      </c>
      <c r="E1307" s="3">
        <f>0.001/2831.68</f>
        <v>3.5314724827664147E-7</v>
      </c>
    </row>
    <row r="1308" spans="1:5" x14ac:dyDescent="0.2">
      <c r="A1308" s="1" t="s">
        <v>27</v>
      </c>
      <c r="B1308" s="2" t="s">
        <v>101</v>
      </c>
      <c r="C1308" s="2" t="s">
        <v>100</v>
      </c>
      <c r="D1308" s="2" t="str">
        <f t="shared" si="37"/>
        <v>kg_per_m3_to_lb_per_ft3</v>
      </c>
      <c r="E1308" s="3">
        <f>2.20462/35.3147</f>
        <v>6.2427827505259839E-2</v>
      </c>
    </row>
    <row r="1309" spans="1:5" x14ac:dyDescent="0.2">
      <c r="A1309" s="1" t="s">
        <v>27</v>
      </c>
      <c r="B1309" s="2" t="s">
        <v>101</v>
      </c>
      <c r="C1309" s="2" t="s">
        <v>62</v>
      </c>
      <c r="D1309" s="2" t="str">
        <f t="shared" si="37"/>
        <v>kg_per_m3_to_lb_per_CCF</v>
      </c>
      <c r="E1309" s="3">
        <f>2.20462/0.353147</f>
        <v>6.2427827505259845</v>
      </c>
    </row>
    <row r="1310" spans="1:5" x14ac:dyDescent="0.2">
      <c r="A1310" s="1" t="s">
        <v>27</v>
      </c>
      <c r="B1310" s="2" t="s">
        <v>101</v>
      </c>
      <c r="C1310" s="2" t="s">
        <v>133</v>
      </c>
      <c r="D1310" s="2" t="str">
        <f t="shared" si="37"/>
        <v>kg_per_m3_to_lb_per_US_Gal</v>
      </c>
      <c r="E1310" s="3">
        <f>2.20462/264.172</f>
        <v>8.3453961812758343E-3</v>
      </c>
    </row>
    <row r="1311" spans="1:5" x14ac:dyDescent="0.2">
      <c r="A1311" s="1" t="s">
        <v>27</v>
      </c>
      <c r="B1311" s="2" t="s">
        <v>101</v>
      </c>
      <c r="C1311" s="2" t="s">
        <v>63</v>
      </c>
      <c r="D1311" s="2" t="str">
        <f t="shared" si="37"/>
        <v>kg_per_m3_to_lb_per_L</v>
      </c>
      <c r="E1311" s="3">
        <f>2.20462/1000</f>
        <v>2.20462E-3</v>
      </c>
    </row>
    <row r="1312" spans="1:5" x14ac:dyDescent="0.2">
      <c r="A1312" s="1" t="s">
        <v>27</v>
      </c>
      <c r="B1312" s="2" t="s">
        <v>101</v>
      </c>
      <c r="C1312" s="2" t="s">
        <v>147</v>
      </c>
      <c r="D1312" s="2" t="str">
        <f t="shared" si="37"/>
        <v>kg_per_m3_to_US_Ton_per_ft3</v>
      </c>
      <c r="E1312" s="3">
        <f>0.00110231/35.3147</f>
        <v>3.1213913752629924E-5</v>
      </c>
    </row>
    <row r="1313" spans="1:5" x14ac:dyDescent="0.2">
      <c r="A1313" s="1" t="s">
        <v>27</v>
      </c>
      <c r="B1313" s="2" t="s">
        <v>101</v>
      </c>
      <c r="C1313" s="2" t="s">
        <v>134</v>
      </c>
      <c r="D1313" s="2" t="str">
        <f t="shared" si="37"/>
        <v>kg_per_m3_to_US_Ton_per_CCF</v>
      </c>
      <c r="E1313" s="3">
        <f>0.00110231/0.353147</f>
        <v>3.1213913752629924E-3</v>
      </c>
    </row>
    <row r="1314" spans="1:5" x14ac:dyDescent="0.2">
      <c r="A1314" s="1" t="s">
        <v>27</v>
      </c>
      <c r="B1314" s="2" t="s">
        <v>101</v>
      </c>
      <c r="C1314" s="2" t="s">
        <v>135</v>
      </c>
      <c r="D1314" s="2" t="str">
        <f t="shared" si="37"/>
        <v>kg_per_m3_to_US_Ton_per_US_Gal</v>
      </c>
      <c r="E1314" s="3">
        <f>0.00110231/264.172</f>
        <v>4.172698090637917E-6</v>
      </c>
    </row>
    <row r="1315" spans="1:5" x14ac:dyDescent="0.2">
      <c r="A1315" s="1" t="s">
        <v>27</v>
      </c>
      <c r="B1315" s="2" t="s">
        <v>101</v>
      </c>
      <c r="C1315" s="2" t="s">
        <v>136</v>
      </c>
      <c r="D1315" s="2" t="str">
        <f t="shared" si="37"/>
        <v>kg_per_m3_to_US_Ton_per_L</v>
      </c>
      <c r="E1315" s="3">
        <f>0.00110231/1000</f>
        <v>1.1023100000000001E-6</v>
      </c>
    </row>
    <row r="1316" spans="1:5" x14ac:dyDescent="0.2">
      <c r="A1316" s="1" t="s">
        <v>27</v>
      </c>
      <c r="B1316" s="2" t="s">
        <v>101</v>
      </c>
      <c r="C1316" s="2" t="s">
        <v>148</v>
      </c>
      <c r="D1316" s="2" t="str">
        <f t="shared" si="37"/>
        <v>kg_per_m3_to_Metric_Tonne_per_ft3</v>
      </c>
      <c r="E1316" s="3">
        <f>0.001/35.3147</f>
        <v>2.8316819907857067E-5</v>
      </c>
    </row>
    <row r="1317" spans="1:5" x14ac:dyDescent="0.2">
      <c r="A1317" s="1" t="s">
        <v>27</v>
      </c>
      <c r="B1317" s="2" t="s">
        <v>101</v>
      </c>
      <c r="C1317" s="2" t="s">
        <v>137</v>
      </c>
      <c r="D1317" s="2" t="str">
        <f t="shared" si="37"/>
        <v>kg_per_m3_to_Metric_Tonne_per_CCF</v>
      </c>
      <c r="E1317" s="3">
        <f>0.001/0.353147</f>
        <v>2.8316819907857069E-3</v>
      </c>
    </row>
    <row r="1318" spans="1:5" x14ac:dyDescent="0.2">
      <c r="A1318" s="1" t="s">
        <v>27</v>
      </c>
      <c r="B1318" s="2" t="s">
        <v>101</v>
      </c>
      <c r="C1318" s="2" t="s">
        <v>138</v>
      </c>
      <c r="D1318" s="2" t="str">
        <f t="shared" ref="D1318:D1348" si="38">B1318 &amp; "_to_" &amp; C1318</f>
        <v>kg_per_m3_to_Metric_Tonne_per_US_Gal</v>
      </c>
      <c r="E1318" s="3">
        <f>0.001/264.172</f>
        <v>3.7854125342579831E-6</v>
      </c>
    </row>
    <row r="1319" spans="1:5" x14ac:dyDescent="0.2">
      <c r="A1319" s="1" t="s">
        <v>27</v>
      </c>
      <c r="B1319" s="2" t="s">
        <v>101</v>
      </c>
      <c r="C1319" s="2" t="s">
        <v>139</v>
      </c>
      <c r="D1319" s="2" t="str">
        <f t="shared" si="38"/>
        <v>kg_per_m3_to_Metric_Tonne_per_L</v>
      </c>
      <c r="E1319" s="3">
        <f>0.001/1000</f>
        <v>9.9999999999999995E-7</v>
      </c>
    </row>
    <row r="1320" spans="1:5" x14ac:dyDescent="0.2">
      <c r="A1320" s="1" t="s">
        <v>27</v>
      </c>
      <c r="B1320" s="2" t="s">
        <v>140</v>
      </c>
      <c r="C1320" s="2" t="s">
        <v>100</v>
      </c>
      <c r="D1320" s="2" t="str">
        <f t="shared" si="38"/>
        <v>kg_per_US_Gal_to_lb_per_ft3</v>
      </c>
      <c r="E1320" s="3">
        <f>2.20462/0.133681</f>
        <v>16.491648027767596</v>
      </c>
    </row>
    <row r="1321" spans="1:5" x14ac:dyDescent="0.2">
      <c r="A1321" s="1" t="s">
        <v>27</v>
      </c>
      <c r="B1321" s="2" t="s">
        <v>140</v>
      </c>
      <c r="C1321" s="2" t="s">
        <v>62</v>
      </c>
      <c r="D1321" s="2" t="str">
        <f t="shared" si="38"/>
        <v>kg_per_US_Gal_to_lb_per_CCF</v>
      </c>
      <c r="E1321" s="3">
        <f>2.20462/0.00133681</f>
        <v>1649.1648027767596</v>
      </c>
    </row>
    <row r="1322" spans="1:5" x14ac:dyDescent="0.2">
      <c r="A1322" s="1" t="s">
        <v>27</v>
      </c>
      <c r="B1322" s="2" t="s">
        <v>140</v>
      </c>
      <c r="C1322" s="2" t="s">
        <v>99</v>
      </c>
      <c r="D1322" s="2" t="str">
        <f t="shared" si="38"/>
        <v>kg_per_US_Gal_to_lb_per_m3</v>
      </c>
      <c r="E1322" s="3">
        <f>2.20462/0.00378541</f>
        <v>582.39926454465956</v>
      </c>
    </row>
    <row r="1323" spans="1:5" x14ac:dyDescent="0.2">
      <c r="A1323" s="1" t="s">
        <v>27</v>
      </c>
      <c r="B1323" s="2" t="s">
        <v>140</v>
      </c>
      <c r="C1323" s="2" t="s">
        <v>63</v>
      </c>
      <c r="D1323" s="2" t="str">
        <f t="shared" si="38"/>
        <v>kg_per_US_Gal_to_lb_per_L</v>
      </c>
      <c r="E1323" s="3">
        <f>2.20462/3.78541</f>
        <v>0.58239926454465951</v>
      </c>
    </row>
    <row r="1324" spans="1:5" x14ac:dyDescent="0.2">
      <c r="A1324" s="1" t="s">
        <v>27</v>
      </c>
      <c r="B1324" s="2" t="s">
        <v>140</v>
      </c>
      <c r="C1324" s="2" t="s">
        <v>147</v>
      </c>
      <c r="D1324" s="2" t="str">
        <f t="shared" si="38"/>
        <v>kg_per_US_Gal_to_US_Ton_per_ft3</v>
      </c>
      <c r="E1324" s="3">
        <f>0.00110231/0.133681</f>
        <v>8.2458240138837992E-3</v>
      </c>
    </row>
    <row r="1325" spans="1:5" x14ac:dyDescent="0.2">
      <c r="A1325" s="1" t="s">
        <v>27</v>
      </c>
      <c r="B1325" s="2" t="s">
        <v>140</v>
      </c>
      <c r="C1325" s="2" t="s">
        <v>134</v>
      </c>
      <c r="D1325" s="2" t="str">
        <f t="shared" si="38"/>
        <v>kg_per_US_Gal_to_US_Ton_per_CCF</v>
      </c>
      <c r="E1325" s="3">
        <f>0.00110231/0.00133681</f>
        <v>0.8245824013883799</v>
      </c>
    </row>
    <row r="1326" spans="1:5" x14ac:dyDescent="0.2">
      <c r="A1326" s="1" t="s">
        <v>27</v>
      </c>
      <c r="B1326" s="2" t="s">
        <v>140</v>
      </c>
      <c r="C1326" s="2" t="s">
        <v>145</v>
      </c>
      <c r="D1326" s="2" t="str">
        <f t="shared" si="38"/>
        <v>kg_per_US_Gal_to_US_Ton_per_m3</v>
      </c>
      <c r="E1326" s="3">
        <f>0.00110231/0.00378541</f>
        <v>0.29119963227232981</v>
      </c>
    </row>
    <row r="1327" spans="1:5" x14ac:dyDescent="0.2">
      <c r="A1327" s="1" t="s">
        <v>27</v>
      </c>
      <c r="B1327" s="2" t="s">
        <v>140</v>
      </c>
      <c r="C1327" s="2" t="s">
        <v>136</v>
      </c>
      <c r="D1327" s="2" t="str">
        <f t="shared" si="38"/>
        <v>kg_per_US_Gal_to_US_Ton_per_L</v>
      </c>
      <c r="E1327" s="3">
        <f>0.00110231/3.78541</f>
        <v>2.9119963227232978E-4</v>
      </c>
    </row>
    <row r="1328" spans="1:5" x14ac:dyDescent="0.2">
      <c r="A1328" s="1" t="s">
        <v>27</v>
      </c>
      <c r="B1328" s="2" t="s">
        <v>140</v>
      </c>
      <c r="C1328" s="2" t="s">
        <v>148</v>
      </c>
      <c r="D1328" s="2" t="str">
        <f t="shared" si="38"/>
        <v>kg_per_US_Gal_to_Metric_Tonne_per_ft3</v>
      </c>
      <c r="E1328" s="3">
        <f>0.001/0.133681</f>
        <v>7.4804946103036339E-3</v>
      </c>
    </row>
    <row r="1329" spans="1:5" x14ac:dyDescent="0.2">
      <c r="A1329" s="1" t="s">
        <v>27</v>
      </c>
      <c r="B1329" s="2" t="s">
        <v>140</v>
      </c>
      <c r="C1329" s="2" t="s">
        <v>137</v>
      </c>
      <c r="D1329" s="2" t="str">
        <f t="shared" si="38"/>
        <v>kg_per_US_Gal_to_Metric_Tonne_per_CCF</v>
      </c>
      <c r="E1329" s="3">
        <f>0.001/0.00133681</f>
        <v>0.74804946103036341</v>
      </c>
    </row>
    <row r="1330" spans="1:5" x14ac:dyDescent="0.2">
      <c r="A1330" s="1" t="s">
        <v>27</v>
      </c>
      <c r="B1330" s="2" t="s">
        <v>140</v>
      </c>
      <c r="C1330" s="2" t="s">
        <v>146</v>
      </c>
      <c r="D1330" s="2" t="str">
        <f t="shared" si="38"/>
        <v>kg_per_US_Gal_to_Metric_Tonne_per_m3</v>
      </c>
      <c r="E1330" s="3">
        <f>0.001/0.00378541</f>
        <v>0.26417217685798899</v>
      </c>
    </row>
    <row r="1331" spans="1:5" x14ac:dyDescent="0.2">
      <c r="A1331" s="1" t="s">
        <v>27</v>
      </c>
      <c r="B1331" s="2" t="s">
        <v>140</v>
      </c>
      <c r="C1331" s="2" t="s">
        <v>139</v>
      </c>
      <c r="D1331" s="2" t="str">
        <f t="shared" si="38"/>
        <v>kg_per_US_Gal_to_Metric_Tonne_per_L</v>
      </c>
      <c r="E1331" s="3">
        <f>0.001/3.78541</f>
        <v>2.6417217685798894E-4</v>
      </c>
    </row>
    <row r="1332" spans="1:5" x14ac:dyDescent="0.2">
      <c r="A1332" s="1" t="s">
        <v>27</v>
      </c>
      <c r="B1332" s="2" t="s">
        <v>65</v>
      </c>
      <c r="C1332" s="2" t="s">
        <v>100</v>
      </c>
      <c r="D1332" s="2" t="str">
        <f t="shared" si="38"/>
        <v>kg_per_L_to_lb_per_ft3</v>
      </c>
      <c r="E1332" s="3">
        <f>2.20462/0.0353147</f>
        <v>62.427827505259849</v>
      </c>
    </row>
    <row r="1333" spans="1:5" x14ac:dyDescent="0.2">
      <c r="A1333" s="1" t="s">
        <v>27</v>
      </c>
      <c r="B1333" s="2" t="s">
        <v>65</v>
      </c>
      <c r="C1333" s="2" t="s">
        <v>62</v>
      </c>
      <c r="D1333" s="2" t="str">
        <f t="shared" si="38"/>
        <v>kg_per_L_to_lb_per_CCF</v>
      </c>
      <c r="E1333" s="3">
        <f>2.20462/0.000353147</f>
        <v>6242.7827505259847</v>
      </c>
    </row>
    <row r="1334" spans="1:5" x14ac:dyDescent="0.2">
      <c r="A1334" s="1" t="s">
        <v>27</v>
      </c>
      <c r="B1334" s="2" t="s">
        <v>65</v>
      </c>
      <c r="C1334" s="2" t="s">
        <v>99</v>
      </c>
      <c r="D1334" s="2" t="str">
        <f t="shared" si="38"/>
        <v>kg_per_L_to_lb_per_m3</v>
      </c>
      <c r="E1334" s="3">
        <f>2.20462/0.001</f>
        <v>2204.62</v>
      </c>
    </row>
    <row r="1335" spans="1:5" x14ac:dyDescent="0.2">
      <c r="A1335" s="1" t="s">
        <v>27</v>
      </c>
      <c r="B1335" s="2" t="s">
        <v>65</v>
      </c>
      <c r="C1335" s="2" t="s">
        <v>133</v>
      </c>
      <c r="D1335" s="2" t="str">
        <f t="shared" si="38"/>
        <v>kg_per_L_to_lb_per_US_Gal</v>
      </c>
      <c r="E1335" s="3">
        <f>2.20462/0.264172</f>
        <v>8.3453961812758344</v>
      </c>
    </row>
    <row r="1336" spans="1:5" x14ac:dyDescent="0.2">
      <c r="A1336" s="1" t="s">
        <v>27</v>
      </c>
      <c r="B1336" s="2" t="s">
        <v>65</v>
      </c>
      <c r="C1336" s="2" t="s">
        <v>147</v>
      </c>
      <c r="D1336" s="2" t="str">
        <f t="shared" si="38"/>
        <v>kg_per_L_to_US_Ton_per_ft3</v>
      </c>
      <c r="E1336" s="3">
        <f>0.00110231/0.0353147</f>
        <v>3.1213913752629927E-2</v>
      </c>
    </row>
    <row r="1337" spans="1:5" x14ac:dyDescent="0.2">
      <c r="A1337" s="1" t="s">
        <v>27</v>
      </c>
      <c r="B1337" s="2" t="s">
        <v>65</v>
      </c>
      <c r="C1337" s="2" t="s">
        <v>134</v>
      </c>
      <c r="D1337" s="2" t="str">
        <f t="shared" si="38"/>
        <v>kg_per_L_to_US_Ton_per_CCF</v>
      </c>
      <c r="E1337" s="3">
        <f>0.00110231/0.000353147</f>
        <v>3.1213913752629927</v>
      </c>
    </row>
    <row r="1338" spans="1:5" x14ac:dyDescent="0.2">
      <c r="A1338" s="1" t="s">
        <v>27</v>
      </c>
      <c r="B1338" s="2" t="s">
        <v>65</v>
      </c>
      <c r="C1338" s="2" t="s">
        <v>145</v>
      </c>
      <c r="D1338" s="2" t="str">
        <f t="shared" si="38"/>
        <v>kg_per_L_to_US_Ton_per_m3</v>
      </c>
      <c r="E1338" s="3">
        <f>0.00110231/0.001</f>
        <v>1.1023099999999999</v>
      </c>
    </row>
    <row r="1339" spans="1:5" x14ac:dyDescent="0.2">
      <c r="A1339" s="1" t="s">
        <v>27</v>
      </c>
      <c r="B1339" s="2" t="s">
        <v>65</v>
      </c>
      <c r="C1339" s="2" t="s">
        <v>135</v>
      </c>
      <c r="D1339" s="2" t="str">
        <f t="shared" si="38"/>
        <v>kg_per_L_to_US_Ton_per_US_Gal</v>
      </c>
      <c r="E1339" s="3">
        <f>0.00110231/0.264172</f>
        <v>4.1726980906379172E-3</v>
      </c>
    </row>
    <row r="1340" spans="1:5" x14ac:dyDescent="0.2">
      <c r="A1340" s="1" t="s">
        <v>27</v>
      </c>
      <c r="B1340" s="2" t="s">
        <v>65</v>
      </c>
      <c r="C1340" s="2" t="s">
        <v>148</v>
      </c>
      <c r="D1340" s="2" t="str">
        <f t="shared" si="38"/>
        <v>kg_per_L_to_Metric_Tonne_per_ft3</v>
      </c>
      <c r="E1340" s="3">
        <f>0.001/0.0353147</f>
        <v>2.8316819907857071E-2</v>
      </c>
    </row>
    <row r="1341" spans="1:5" x14ac:dyDescent="0.2">
      <c r="A1341" s="1" t="s">
        <v>27</v>
      </c>
      <c r="B1341" s="2" t="s">
        <v>65</v>
      </c>
      <c r="C1341" s="2" t="s">
        <v>137</v>
      </c>
      <c r="D1341" s="2" t="str">
        <f t="shared" si="38"/>
        <v>kg_per_L_to_Metric_Tonne_per_CCF</v>
      </c>
      <c r="E1341" s="3">
        <f>0.001/0.000353147</f>
        <v>2.8316819907857069</v>
      </c>
    </row>
    <row r="1342" spans="1:5" x14ac:dyDescent="0.2">
      <c r="A1342" s="1" t="s">
        <v>27</v>
      </c>
      <c r="B1342" s="2" t="s">
        <v>65</v>
      </c>
      <c r="C1342" s="2" t="s">
        <v>138</v>
      </c>
      <c r="D1342" s="2" t="str">
        <f t="shared" si="38"/>
        <v>kg_per_L_to_Metric_Tonne_per_US_Gal</v>
      </c>
      <c r="E1342" s="3">
        <f>0.001/0.264172</f>
        <v>3.7854125342579831E-3</v>
      </c>
    </row>
    <row r="1343" spans="1:5" x14ac:dyDescent="0.2">
      <c r="A1343" s="1" t="s">
        <v>27</v>
      </c>
      <c r="B1343" s="2" t="s">
        <v>100</v>
      </c>
      <c r="C1343" s="2" t="s">
        <v>64</v>
      </c>
      <c r="D1343" s="2" t="str">
        <f t="shared" si="38"/>
        <v>lb_per_ft3_to_kg_per_CCF</v>
      </c>
      <c r="E1343" s="3">
        <f>0.453592/0.01</f>
        <v>45.359200000000001</v>
      </c>
    </row>
    <row r="1344" spans="1:5" x14ac:dyDescent="0.2">
      <c r="A1344" s="1" t="s">
        <v>27</v>
      </c>
      <c r="B1344" s="2" t="s">
        <v>100</v>
      </c>
      <c r="C1344" s="2" t="s">
        <v>101</v>
      </c>
      <c r="D1344" s="2" t="str">
        <f t="shared" si="38"/>
        <v>lb_per_ft3_to_kg_per_m3</v>
      </c>
      <c r="E1344" s="3">
        <f>0.453592/0.0283168</f>
        <v>16.018476664029834</v>
      </c>
    </row>
    <row r="1345" spans="1:5" x14ac:dyDescent="0.2">
      <c r="A1345" s="1" t="s">
        <v>27</v>
      </c>
      <c r="B1345" s="2" t="s">
        <v>100</v>
      </c>
      <c r="C1345" s="2" t="s">
        <v>140</v>
      </c>
      <c r="D1345" s="2" t="str">
        <f t="shared" si="38"/>
        <v>lb_per_ft3_to_kg_per_US_Gal</v>
      </c>
      <c r="E1345" s="3">
        <f>0.453592/7.48052</f>
        <v>6.0636426344692615E-2</v>
      </c>
    </row>
    <row r="1346" spans="1:5" x14ac:dyDescent="0.2">
      <c r="A1346" s="1" t="s">
        <v>27</v>
      </c>
      <c r="B1346" s="2" t="s">
        <v>100</v>
      </c>
      <c r="C1346" s="2" t="s">
        <v>65</v>
      </c>
      <c r="D1346" s="2" t="str">
        <f t="shared" si="38"/>
        <v>lb_per_ft3_to_kg_per_L</v>
      </c>
      <c r="E1346" s="3">
        <f>0.453592/28.3168</f>
        <v>1.6018476664029835E-2</v>
      </c>
    </row>
    <row r="1347" spans="1:5" x14ac:dyDescent="0.2">
      <c r="A1347" s="1" t="s">
        <v>27</v>
      </c>
      <c r="B1347" s="2" t="s">
        <v>100</v>
      </c>
      <c r="C1347" s="2" t="s">
        <v>134</v>
      </c>
      <c r="D1347" s="2" t="str">
        <f t="shared" si="38"/>
        <v>lb_per_ft3_to_US_Ton_per_CCF</v>
      </c>
      <c r="E1347" s="3">
        <f>0.0005/0.01</f>
        <v>0.05</v>
      </c>
    </row>
    <row r="1348" spans="1:5" x14ac:dyDescent="0.2">
      <c r="A1348" s="1" t="s">
        <v>27</v>
      </c>
      <c r="B1348" s="2" t="s">
        <v>100</v>
      </c>
      <c r="C1348" s="2" t="s">
        <v>145</v>
      </c>
      <c r="D1348" s="2" t="str">
        <f t="shared" si="38"/>
        <v>lb_per_ft3_to_US_Ton_per_m3</v>
      </c>
      <c r="E1348" s="3">
        <f>0.0005/0.0283168</f>
        <v>1.7657362413832072E-2</v>
      </c>
    </row>
    <row r="1349" spans="1:5" x14ac:dyDescent="0.2">
      <c r="A1349" s="1" t="s">
        <v>27</v>
      </c>
      <c r="B1349" s="2" t="s">
        <v>100</v>
      </c>
      <c r="C1349" s="2" t="s">
        <v>135</v>
      </c>
      <c r="D1349" s="2" t="str">
        <f t="shared" ref="D1349:D1380" si="39">B1349 &amp; "_to_" &amp; C1349</f>
        <v>lb_per_ft3_to_US_Ton_per_US_Gal</v>
      </c>
      <c r="E1349" s="3">
        <f>0.0005/7.48052</f>
        <v>6.6840273136092144E-5</v>
      </c>
    </row>
    <row r="1350" spans="1:5" x14ac:dyDescent="0.2">
      <c r="A1350" s="1" t="s">
        <v>27</v>
      </c>
      <c r="B1350" s="2" t="s">
        <v>100</v>
      </c>
      <c r="C1350" s="2" t="s">
        <v>136</v>
      </c>
      <c r="D1350" s="2" t="str">
        <f t="shared" si="39"/>
        <v>lb_per_ft3_to_US_Ton_per_L</v>
      </c>
      <c r="E1350" s="3">
        <f>0.0005/28.3168</f>
        <v>1.7657362413832072E-5</v>
      </c>
    </row>
    <row r="1351" spans="1:5" x14ac:dyDescent="0.2">
      <c r="A1351" s="1" t="s">
        <v>27</v>
      </c>
      <c r="B1351" s="2" t="s">
        <v>100</v>
      </c>
      <c r="C1351" s="2" t="s">
        <v>137</v>
      </c>
      <c r="D1351" s="2" t="str">
        <f t="shared" si="39"/>
        <v>lb_per_ft3_to_Metric_Tonne_per_CCF</v>
      </c>
      <c r="E1351" s="3">
        <f>0.000453592/0.01</f>
        <v>4.5359200000000002E-2</v>
      </c>
    </row>
    <row r="1352" spans="1:5" x14ac:dyDescent="0.2">
      <c r="A1352" s="1" t="s">
        <v>27</v>
      </c>
      <c r="B1352" s="2" t="s">
        <v>100</v>
      </c>
      <c r="C1352" s="2" t="s">
        <v>146</v>
      </c>
      <c r="D1352" s="2" t="str">
        <f t="shared" si="39"/>
        <v>lb_per_ft3_to_Metric_Tonne_per_m3</v>
      </c>
      <c r="E1352" s="3">
        <f>0.000453592/0.0283168</f>
        <v>1.6018476664029835E-2</v>
      </c>
    </row>
    <row r="1353" spans="1:5" x14ac:dyDescent="0.2">
      <c r="A1353" s="1" t="s">
        <v>27</v>
      </c>
      <c r="B1353" s="2" t="s">
        <v>100</v>
      </c>
      <c r="C1353" s="2" t="s">
        <v>138</v>
      </c>
      <c r="D1353" s="2" t="str">
        <f t="shared" si="39"/>
        <v>lb_per_ft3_to_Metric_Tonne_per_US_Gal</v>
      </c>
      <c r="E1353" s="3">
        <f>0.000453592/7.48052</f>
        <v>6.0636426344692616E-5</v>
      </c>
    </row>
    <row r="1354" spans="1:5" x14ac:dyDescent="0.2">
      <c r="A1354" s="1" t="s">
        <v>27</v>
      </c>
      <c r="B1354" s="2" t="s">
        <v>100</v>
      </c>
      <c r="C1354" s="2" t="s">
        <v>139</v>
      </c>
      <c r="D1354" s="2" t="str">
        <f t="shared" si="39"/>
        <v>lb_per_ft3_to_Metric_Tonne_per_L</v>
      </c>
      <c r="E1354" s="3">
        <f>0.000453592/28.3168</f>
        <v>1.6018476664029833E-5</v>
      </c>
    </row>
    <row r="1355" spans="1:5" x14ac:dyDescent="0.2">
      <c r="A1355" s="1" t="s">
        <v>27</v>
      </c>
      <c r="B1355" s="2" t="s">
        <v>62</v>
      </c>
      <c r="C1355" s="2" t="s">
        <v>98</v>
      </c>
      <c r="D1355" s="2" t="str">
        <f t="shared" si="39"/>
        <v>lb_per_CCF_to_kg_per_ft3</v>
      </c>
      <c r="E1355" s="3">
        <f>0.453592/100</f>
        <v>4.5359199999999997E-3</v>
      </c>
    </row>
    <row r="1356" spans="1:5" x14ac:dyDescent="0.2">
      <c r="A1356" s="1" t="s">
        <v>27</v>
      </c>
      <c r="B1356" s="2" t="s">
        <v>62</v>
      </c>
      <c r="C1356" s="2" t="s">
        <v>101</v>
      </c>
      <c r="D1356" s="2" t="str">
        <f t="shared" si="39"/>
        <v>lb_per_CCF_to_kg_per_m3</v>
      </c>
      <c r="E1356" s="3">
        <f>0.453592/2.83168</f>
        <v>0.16018476664029835</v>
      </c>
    </row>
    <row r="1357" spans="1:5" x14ac:dyDescent="0.2">
      <c r="A1357" s="1" t="s">
        <v>27</v>
      </c>
      <c r="B1357" s="2" t="s">
        <v>62</v>
      </c>
      <c r="C1357" s="2" t="s">
        <v>140</v>
      </c>
      <c r="D1357" s="2" t="str">
        <f t="shared" si="39"/>
        <v>lb_per_CCF_to_kg_per_US_Gal</v>
      </c>
      <c r="E1357" s="3">
        <f>0.453592/748.052</f>
        <v>6.0636426344692614E-4</v>
      </c>
    </row>
    <row r="1358" spans="1:5" x14ac:dyDescent="0.2">
      <c r="A1358" s="1" t="s">
        <v>27</v>
      </c>
      <c r="B1358" s="2" t="s">
        <v>62</v>
      </c>
      <c r="C1358" s="2" t="s">
        <v>65</v>
      </c>
      <c r="D1358" s="2" t="str">
        <f t="shared" si="39"/>
        <v>lb_per_CCF_to_kg_per_L</v>
      </c>
      <c r="E1358" s="3">
        <f>0.453592/2831.68</f>
        <v>1.6018476664029835E-4</v>
      </c>
    </row>
    <row r="1359" spans="1:5" x14ac:dyDescent="0.2">
      <c r="A1359" s="1" t="s">
        <v>27</v>
      </c>
      <c r="B1359" s="2" t="s">
        <v>62</v>
      </c>
      <c r="C1359" s="2" t="s">
        <v>147</v>
      </c>
      <c r="D1359" s="2" t="str">
        <f t="shared" si="39"/>
        <v>lb_per_CCF_to_US_Ton_per_ft3</v>
      </c>
      <c r="E1359" s="3">
        <f>0.0005/100</f>
        <v>5.0000000000000004E-6</v>
      </c>
    </row>
    <row r="1360" spans="1:5" x14ac:dyDescent="0.2">
      <c r="A1360" s="1" t="s">
        <v>27</v>
      </c>
      <c r="B1360" s="2" t="s">
        <v>62</v>
      </c>
      <c r="C1360" s="2" t="s">
        <v>145</v>
      </c>
      <c r="D1360" s="2" t="str">
        <f t="shared" si="39"/>
        <v>lb_per_CCF_to_US_Ton_per_m3</v>
      </c>
      <c r="E1360" s="3">
        <f>0.0005/2.83168</f>
        <v>1.7657362413832072E-4</v>
      </c>
    </row>
    <row r="1361" spans="1:5" x14ac:dyDescent="0.2">
      <c r="A1361" s="1" t="s">
        <v>27</v>
      </c>
      <c r="B1361" s="2" t="s">
        <v>62</v>
      </c>
      <c r="C1361" s="2" t="s">
        <v>135</v>
      </c>
      <c r="D1361" s="2" t="str">
        <f t="shared" si="39"/>
        <v>lb_per_CCF_to_US_Ton_per_US_Gal</v>
      </c>
      <c r="E1361" s="3">
        <f>0.0005/748.052</f>
        <v>6.6840273136092146E-7</v>
      </c>
    </row>
    <row r="1362" spans="1:5" x14ac:dyDescent="0.2">
      <c r="A1362" s="1" t="s">
        <v>27</v>
      </c>
      <c r="B1362" s="2" t="s">
        <v>62</v>
      </c>
      <c r="C1362" s="2" t="s">
        <v>136</v>
      </c>
      <c r="D1362" s="2" t="str">
        <f t="shared" si="39"/>
        <v>lb_per_CCF_to_US_Ton_per_L</v>
      </c>
      <c r="E1362" s="3">
        <f>0.0005/2831.68</f>
        <v>1.7657362413832073E-7</v>
      </c>
    </row>
    <row r="1363" spans="1:5" x14ac:dyDescent="0.2">
      <c r="A1363" s="1" t="s">
        <v>27</v>
      </c>
      <c r="B1363" s="2" t="s">
        <v>62</v>
      </c>
      <c r="C1363" s="2" t="s">
        <v>148</v>
      </c>
      <c r="D1363" s="2" t="str">
        <f t="shared" si="39"/>
        <v>lb_per_CCF_to_Metric_Tonne_per_ft3</v>
      </c>
      <c r="E1363" s="3">
        <f>0.000453592/100</f>
        <v>4.5359199999999998E-6</v>
      </c>
    </row>
    <row r="1364" spans="1:5" x14ac:dyDescent="0.2">
      <c r="A1364" s="1" t="s">
        <v>27</v>
      </c>
      <c r="B1364" s="2" t="s">
        <v>62</v>
      </c>
      <c r="C1364" s="2" t="s">
        <v>146</v>
      </c>
      <c r="D1364" s="2" t="str">
        <f t="shared" si="39"/>
        <v>lb_per_CCF_to_Metric_Tonne_per_m3</v>
      </c>
      <c r="E1364" s="3">
        <f>0.000453592/2.83168</f>
        <v>1.6018476664029835E-4</v>
      </c>
    </row>
    <row r="1365" spans="1:5" x14ac:dyDescent="0.2">
      <c r="A1365" s="1" t="s">
        <v>27</v>
      </c>
      <c r="B1365" s="2" t="s">
        <v>62</v>
      </c>
      <c r="C1365" s="2" t="s">
        <v>138</v>
      </c>
      <c r="D1365" s="2" t="str">
        <f t="shared" si="39"/>
        <v>lb_per_CCF_to_Metric_Tonne_per_US_Gal</v>
      </c>
      <c r="E1365" s="3">
        <f>0.000453592/748.052</f>
        <v>6.0636426344692613E-7</v>
      </c>
    </row>
    <row r="1366" spans="1:5" x14ac:dyDescent="0.2">
      <c r="A1366" s="1" t="s">
        <v>27</v>
      </c>
      <c r="B1366" s="2" t="s">
        <v>62</v>
      </c>
      <c r="C1366" s="2" t="s">
        <v>139</v>
      </c>
      <c r="D1366" s="2" t="str">
        <f t="shared" si="39"/>
        <v>lb_per_CCF_to_Metric_Tonne_per_L</v>
      </c>
      <c r="E1366" s="3">
        <f>0.000453592/2831.68</f>
        <v>1.6018476664029836E-7</v>
      </c>
    </row>
    <row r="1367" spans="1:5" x14ac:dyDescent="0.2">
      <c r="A1367" s="1" t="s">
        <v>27</v>
      </c>
      <c r="B1367" s="2" t="s">
        <v>99</v>
      </c>
      <c r="C1367" s="2" t="s">
        <v>98</v>
      </c>
      <c r="D1367" s="2" t="str">
        <f t="shared" si="39"/>
        <v>lb_per_m3_to_kg_per_ft3</v>
      </c>
      <c r="E1367" s="3">
        <f>0.453592/35.3147</f>
        <v>1.2844282975644702E-2</v>
      </c>
    </row>
    <row r="1368" spans="1:5" x14ac:dyDescent="0.2">
      <c r="A1368" s="1" t="s">
        <v>27</v>
      </c>
      <c r="B1368" s="2" t="s">
        <v>99</v>
      </c>
      <c r="C1368" s="2" t="s">
        <v>64</v>
      </c>
      <c r="D1368" s="2" t="str">
        <f t="shared" si="39"/>
        <v>lb_per_m3_to_kg_per_CCF</v>
      </c>
      <c r="E1368" s="3">
        <f>0.453592/0.353147</f>
        <v>1.2844282975644703</v>
      </c>
    </row>
    <row r="1369" spans="1:5" x14ac:dyDescent="0.2">
      <c r="A1369" s="1" t="s">
        <v>27</v>
      </c>
      <c r="B1369" s="2" t="s">
        <v>99</v>
      </c>
      <c r="C1369" s="2" t="s">
        <v>140</v>
      </c>
      <c r="D1369" s="2" t="str">
        <f t="shared" si="39"/>
        <v>lb_per_m3_to_kg_per_US_Gal</v>
      </c>
      <c r="E1369" s="3">
        <f>0.453592/264.172</f>
        <v>1.717032842239147E-3</v>
      </c>
    </row>
    <row r="1370" spans="1:5" x14ac:dyDescent="0.2">
      <c r="A1370" s="1" t="s">
        <v>27</v>
      </c>
      <c r="B1370" s="2" t="s">
        <v>99</v>
      </c>
      <c r="C1370" s="2" t="s">
        <v>65</v>
      </c>
      <c r="D1370" s="2" t="str">
        <f t="shared" si="39"/>
        <v>lb_per_m3_to_kg_per_L</v>
      </c>
      <c r="E1370" s="3">
        <f>0.453592/1000</f>
        <v>4.53592E-4</v>
      </c>
    </row>
    <row r="1371" spans="1:5" x14ac:dyDescent="0.2">
      <c r="A1371" s="1" t="s">
        <v>27</v>
      </c>
      <c r="B1371" s="2" t="s">
        <v>99</v>
      </c>
      <c r="C1371" s="2" t="s">
        <v>147</v>
      </c>
      <c r="D1371" s="2" t="str">
        <f t="shared" si="39"/>
        <v>lb_per_m3_to_US_Ton_per_ft3</v>
      </c>
      <c r="E1371" s="3">
        <f>0.0005/35.3147</f>
        <v>1.4158409953928533E-5</v>
      </c>
    </row>
    <row r="1372" spans="1:5" x14ac:dyDescent="0.2">
      <c r="A1372" s="1" t="s">
        <v>27</v>
      </c>
      <c r="B1372" s="2" t="s">
        <v>99</v>
      </c>
      <c r="C1372" s="2" t="s">
        <v>134</v>
      </c>
      <c r="D1372" s="2" t="str">
        <f t="shared" si="39"/>
        <v>lb_per_m3_to_US_Ton_per_CCF</v>
      </c>
      <c r="E1372" s="3">
        <f>0.0005/0.353147</f>
        <v>1.4158409953928535E-3</v>
      </c>
    </row>
    <row r="1373" spans="1:5" x14ac:dyDescent="0.2">
      <c r="A1373" s="1" t="s">
        <v>27</v>
      </c>
      <c r="B1373" s="2" t="s">
        <v>99</v>
      </c>
      <c r="C1373" s="2" t="s">
        <v>135</v>
      </c>
      <c r="D1373" s="2" t="str">
        <f t="shared" si="39"/>
        <v>lb_per_m3_to_US_Ton_per_US_Gal</v>
      </c>
      <c r="E1373" s="3">
        <f>0.0005/264.172</f>
        <v>1.8927062671289915E-6</v>
      </c>
    </row>
    <row r="1374" spans="1:5" x14ac:dyDescent="0.2">
      <c r="A1374" s="1" t="s">
        <v>27</v>
      </c>
      <c r="B1374" s="2" t="s">
        <v>99</v>
      </c>
      <c r="C1374" s="2" t="s">
        <v>136</v>
      </c>
      <c r="D1374" s="2" t="str">
        <f t="shared" si="39"/>
        <v>lb_per_m3_to_US_Ton_per_L</v>
      </c>
      <c r="E1374" s="3">
        <f>0.0005/1000</f>
        <v>4.9999999999999998E-7</v>
      </c>
    </row>
    <row r="1375" spans="1:5" x14ac:dyDescent="0.2">
      <c r="A1375" s="1" t="s">
        <v>27</v>
      </c>
      <c r="B1375" s="2" t="s">
        <v>99</v>
      </c>
      <c r="C1375" s="2" t="s">
        <v>148</v>
      </c>
      <c r="D1375" s="2" t="str">
        <f t="shared" si="39"/>
        <v>lb_per_m3_to_Metric_Tonne_per_ft3</v>
      </c>
      <c r="E1375" s="3">
        <f>0.000453592/35.3147</f>
        <v>1.2844282975644703E-5</v>
      </c>
    </row>
    <row r="1376" spans="1:5" x14ac:dyDescent="0.2">
      <c r="A1376" s="1" t="s">
        <v>27</v>
      </c>
      <c r="B1376" s="2" t="s">
        <v>99</v>
      </c>
      <c r="C1376" s="2" t="s">
        <v>137</v>
      </c>
      <c r="D1376" s="2" t="str">
        <f t="shared" si="39"/>
        <v>lb_per_m3_to_Metric_Tonne_per_CCF</v>
      </c>
      <c r="E1376" s="3">
        <f>0.000453592/0.353147</f>
        <v>1.2844282975644705E-3</v>
      </c>
    </row>
    <row r="1377" spans="1:5" x14ac:dyDescent="0.2">
      <c r="A1377" s="1" t="s">
        <v>27</v>
      </c>
      <c r="B1377" s="2" t="s">
        <v>99</v>
      </c>
      <c r="C1377" s="2" t="s">
        <v>138</v>
      </c>
      <c r="D1377" s="2" t="str">
        <f t="shared" si="39"/>
        <v>lb_per_m3_to_Metric_Tonne_per_US_Gal</v>
      </c>
      <c r="E1377" s="3">
        <f>0.000453592/264.172</f>
        <v>1.717032842239147E-6</v>
      </c>
    </row>
    <row r="1378" spans="1:5" x14ac:dyDescent="0.2">
      <c r="A1378" s="1" t="s">
        <v>27</v>
      </c>
      <c r="B1378" s="2" t="s">
        <v>99</v>
      </c>
      <c r="C1378" s="2" t="s">
        <v>139</v>
      </c>
      <c r="D1378" s="2" t="str">
        <f t="shared" si="39"/>
        <v>lb_per_m3_to_Metric_Tonne_per_L</v>
      </c>
      <c r="E1378" s="3">
        <f>0.000453592/1000</f>
        <v>4.5359200000000003E-7</v>
      </c>
    </row>
    <row r="1379" spans="1:5" x14ac:dyDescent="0.2">
      <c r="A1379" s="1" t="s">
        <v>27</v>
      </c>
      <c r="B1379" s="2" t="s">
        <v>133</v>
      </c>
      <c r="C1379" s="2" t="s">
        <v>98</v>
      </c>
      <c r="D1379" s="2" t="str">
        <f t="shared" si="39"/>
        <v>lb_per_US_Gal_to_kg_per_ft3</v>
      </c>
      <c r="E1379" s="3">
        <f>0.453592/0.133681</f>
        <v>3.3930925112768455</v>
      </c>
    </row>
    <row r="1380" spans="1:5" x14ac:dyDescent="0.2">
      <c r="A1380" s="1" t="s">
        <v>27</v>
      </c>
      <c r="B1380" s="2" t="s">
        <v>133</v>
      </c>
      <c r="C1380" s="2" t="s">
        <v>64</v>
      </c>
      <c r="D1380" s="2" t="str">
        <f t="shared" si="39"/>
        <v>lb_per_US_Gal_to_kg_per_CCF</v>
      </c>
      <c r="E1380" s="3">
        <f>0.453592/0.00133681</f>
        <v>339.3092511276846</v>
      </c>
    </row>
    <row r="1381" spans="1:5" x14ac:dyDescent="0.2">
      <c r="A1381" s="1" t="s">
        <v>27</v>
      </c>
      <c r="B1381" s="2" t="s">
        <v>133</v>
      </c>
      <c r="C1381" s="2" t="s">
        <v>101</v>
      </c>
      <c r="D1381" s="2" t="str">
        <f t="shared" ref="D1381:D1388" si="40">B1381 &amp; "_to_" &amp; C1381</f>
        <v>lb_per_US_Gal_to_kg_per_m3</v>
      </c>
      <c r="E1381" s="3">
        <f>0.453592/0.00378541</f>
        <v>119.82638604536893</v>
      </c>
    </row>
    <row r="1382" spans="1:5" x14ac:dyDescent="0.2">
      <c r="A1382" s="1" t="s">
        <v>27</v>
      </c>
      <c r="B1382" s="2" t="s">
        <v>133</v>
      </c>
      <c r="C1382" s="2" t="s">
        <v>65</v>
      </c>
      <c r="D1382" s="2" t="str">
        <f t="shared" si="40"/>
        <v>lb_per_US_Gal_to_kg_per_L</v>
      </c>
      <c r="E1382" s="3">
        <f>0.453592/3.78541</f>
        <v>0.11982638604536892</v>
      </c>
    </row>
    <row r="1383" spans="1:5" x14ac:dyDescent="0.2">
      <c r="A1383" s="1" t="s">
        <v>27</v>
      </c>
      <c r="B1383" s="2" t="s">
        <v>133</v>
      </c>
      <c r="C1383" s="2" t="s">
        <v>147</v>
      </c>
      <c r="D1383" s="2" t="str">
        <f t="shared" si="40"/>
        <v>lb_per_US_Gal_to_US_Ton_per_ft3</v>
      </c>
      <c r="E1383" s="3">
        <f>0.0005/0.133681</f>
        <v>3.7402473051518169E-3</v>
      </c>
    </row>
    <row r="1384" spans="1:5" x14ac:dyDescent="0.2">
      <c r="A1384" s="1" t="s">
        <v>27</v>
      </c>
      <c r="B1384" s="2" t="s">
        <v>133</v>
      </c>
      <c r="C1384" s="2" t="s">
        <v>134</v>
      </c>
      <c r="D1384" s="2" t="str">
        <f t="shared" si="40"/>
        <v>lb_per_US_Gal_to_US_Ton_per_CCF</v>
      </c>
      <c r="E1384" s="3">
        <f>0.0005/0.00133681</f>
        <v>0.3740247305151817</v>
      </c>
    </row>
    <row r="1385" spans="1:5" x14ac:dyDescent="0.2">
      <c r="A1385" s="1" t="s">
        <v>27</v>
      </c>
      <c r="B1385" s="2" t="s">
        <v>133</v>
      </c>
      <c r="C1385" s="2" t="s">
        <v>145</v>
      </c>
      <c r="D1385" s="2" t="str">
        <f t="shared" si="40"/>
        <v>lb_per_US_Gal_to_US_Ton_per_m3</v>
      </c>
      <c r="E1385" s="3">
        <f>0.0005/0.00378541</f>
        <v>0.1320860884289945</v>
      </c>
    </row>
    <row r="1386" spans="1:5" x14ac:dyDescent="0.2">
      <c r="A1386" s="1" t="s">
        <v>27</v>
      </c>
      <c r="B1386" s="2" t="s">
        <v>133</v>
      </c>
      <c r="C1386" s="2" t="s">
        <v>136</v>
      </c>
      <c r="D1386" s="2" t="str">
        <f t="shared" si="40"/>
        <v>lb_per_US_Gal_to_US_Ton_per_L</v>
      </c>
      <c r="E1386" s="3">
        <f>0.0005/3.78541</f>
        <v>1.3208608842899447E-4</v>
      </c>
    </row>
    <row r="1387" spans="1:5" x14ac:dyDescent="0.2">
      <c r="A1387" s="1" t="s">
        <v>27</v>
      </c>
      <c r="B1387" s="2" t="s">
        <v>133</v>
      </c>
      <c r="C1387" s="2" t="s">
        <v>148</v>
      </c>
      <c r="D1387" s="2" t="str">
        <f t="shared" si="40"/>
        <v>lb_per_US_Gal_to_Metric_Tonne_per_ft3</v>
      </c>
      <c r="E1387" s="3">
        <f>0.000453592/0.133681</f>
        <v>3.3930925112768458E-3</v>
      </c>
    </row>
    <row r="1388" spans="1:5" x14ac:dyDescent="0.2">
      <c r="A1388" s="1" t="s">
        <v>27</v>
      </c>
      <c r="B1388" s="2" t="s">
        <v>133</v>
      </c>
      <c r="C1388" s="2" t="s">
        <v>137</v>
      </c>
      <c r="D1388" s="2" t="str">
        <f t="shared" si="40"/>
        <v>lb_per_US_Gal_to_Metric_Tonne_per_CCF</v>
      </c>
      <c r="E1388" s="3">
        <f>0.000453592/0.00133681</f>
        <v>0.33930925112768456</v>
      </c>
    </row>
    <row r="1389" spans="1:5" x14ac:dyDescent="0.2">
      <c r="A1389" s="1" t="s">
        <v>27</v>
      </c>
      <c r="B1389" s="2" t="s">
        <v>133</v>
      </c>
      <c r="C1389" s="2" t="s">
        <v>146</v>
      </c>
      <c r="D1389" s="2" t="str">
        <f t="shared" ref="D1389:D1399" si="41">B1389 &amp; "_to_" &amp; C1389</f>
        <v>lb_per_US_Gal_to_Metric_Tonne_per_m3</v>
      </c>
      <c r="E1389" s="3">
        <f>0.000453592/0.00378541</f>
        <v>0.11982638604536894</v>
      </c>
    </row>
    <row r="1390" spans="1:5" x14ac:dyDescent="0.2">
      <c r="A1390" s="1" t="s">
        <v>27</v>
      </c>
      <c r="B1390" s="2" t="s">
        <v>133</v>
      </c>
      <c r="C1390" s="2" t="s">
        <v>139</v>
      </c>
      <c r="D1390" s="2" t="str">
        <f t="shared" si="41"/>
        <v>lb_per_US_Gal_to_Metric_Tonne_per_L</v>
      </c>
      <c r="E1390" s="3">
        <f>0.000453592/3.78541</f>
        <v>1.1982638604536893E-4</v>
      </c>
    </row>
    <row r="1391" spans="1:5" x14ac:dyDescent="0.2">
      <c r="A1391" s="1" t="s">
        <v>27</v>
      </c>
      <c r="B1391" s="2" t="s">
        <v>63</v>
      </c>
      <c r="C1391" s="2" t="s">
        <v>98</v>
      </c>
      <c r="D1391" s="2" t="str">
        <f>B1391 &amp; "_to_" &amp; C1391</f>
        <v>lb_per_L_to_kg_per_ft3</v>
      </c>
      <c r="E1391" s="3">
        <f>0.453592/0.0353147</f>
        <v>12.844282975644704</v>
      </c>
    </row>
    <row r="1392" spans="1:5" x14ac:dyDescent="0.2">
      <c r="A1392" s="1" t="s">
        <v>27</v>
      </c>
      <c r="B1392" s="2" t="s">
        <v>63</v>
      </c>
      <c r="C1392" s="2" t="s">
        <v>64</v>
      </c>
      <c r="D1392" s="2" t="str">
        <f>B1392 &amp; "_to_" &amp; C1392</f>
        <v>lb_per_L_to_kg_per_CCF</v>
      </c>
      <c r="E1392" s="3">
        <f>0.453592/0.000353147</f>
        <v>1284.4282975644703</v>
      </c>
    </row>
    <row r="1393" spans="1:5" x14ac:dyDescent="0.2">
      <c r="A1393" s="1" t="s">
        <v>27</v>
      </c>
      <c r="B1393" s="2" t="s">
        <v>63</v>
      </c>
      <c r="C1393" s="2" t="s">
        <v>101</v>
      </c>
      <c r="D1393" s="2" t="str">
        <f t="shared" si="41"/>
        <v>lb_per_L_to_kg_per_m3</v>
      </c>
      <c r="E1393" s="3">
        <f>0.453592/0.001</f>
        <v>453.59199999999998</v>
      </c>
    </row>
    <row r="1394" spans="1:5" x14ac:dyDescent="0.2">
      <c r="A1394" s="1" t="s">
        <v>27</v>
      </c>
      <c r="B1394" s="2" t="s">
        <v>63</v>
      </c>
      <c r="C1394" s="2" t="s">
        <v>140</v>
      </c>
      <c r="D1394" s="2" t="str">
        <f t="shared" si="41"/>
        <v>lb_per_L_to_kg_per_US_Gal</v>
      </c>
      <c r="E1394" s="3">
        <f>0.453592/0.264172</f>
        <v>1.717032842239147</v>
      </c>
    </row>
    <row r="1395" spans="1:5" x14ac:dyDescent="0.2">
      <c r="A1395" s="1" t="s">
        <v>27</v>
      </c>
      <c r="B1395" s="2" t="s">
        <v>63</v>
      </c>
      <c r="C1395" s="2" t="s">
        <v>147</v>
      </c>
      <c r="D1395" s="2" t="str">
        <f t="shared" si="41"/>
        <v>lb_per_L_to_US_Ton_per_ft3</v>
      </c>
      <c r="E1395" s="3">
        <f>0.0005/0.0353147</f>
        <v>1.4158409953928535E-2</v>
      </c>
    </row>
    <row r="1396" spans="1:5" x14ac:dyDescent="0.2">
      <c r="A1396" s="1" t="s">
        <v>27</v>
      </c>
      <c r="B1396" s="2" t="s">
        <v>63</v>
      </c>
      <c r="C1396" s="2" t="s">
        <v>134</v>
      </c>
      <c r="D1396" s="2" t="str">
        <f t="shared" si="41"/>
        <v>lb_per_L_to_US_Ton_per_CCF</v>
      </c>
      <c r="E1396" s="3">
        <f>0.0005/0.000353147</f>
        <v>1.4158409953928535</v>
      </c>
    </row>
    <row r="1397" spans="1:5" x14ac:dyDescent="0.2">
      <c r="A1397" s="1" t="s">
        <v>27</v>
      </c>
      <c r="B1397" s="2" t="s">
        <v>63</v>
      </c>
      <c r="C1397" s="2" t="s">
        <v>145</v>
      </c>
      <c r="D1397" s="2" t="str">
        <f t="shared" si="41"/>
        <v>lb_per_L_to_US_Ton_per_m3</v>
      </c>
      <c r="E1397" s="3">
        <f>0.0005/0.001</f>
        <v>0.5</v>
      </c>
    </row>
    <row r="1398" spans="1:5" x14ac:dyDescent="0.2">
      <c r="A1398" s="1" t="s">
        <v>27</v>
      </c>
      <c r="B1398" s="2" t="s">
        <v>63</v>
      </c>
      <c r="C1398" s="2" t="s">
        <v>135</v>
      </c>
      <c r="D1398" s="2" t="str">
        <f t="shared" si="41"/>
        <v>lb_per_L_to_US_Ton_per_US_Gal</v>
      </c>
      <c r="E1398" s="3">
        <f>0.0005/0.264172</f>
        <v>1.8927062671289915E-3</v>
      </c>
    </row>
    <row r="1399" spans="1:5" x14ac:dyDescent="0.2">
      <c r="A1399" s="1" t="s">
        <v>27</v>
      </c>
      <c r="B1399" s="2" t="s">
        <v>63</v>
      </c>
      <c r="C1399" s="2" t="s">
        <v>148</v>
      </c>
      <c r="D1399" s="2" t="str">
        <f t="shared" si="41"/>
        <v>lb_per_L_to_Metric_Tonne_per_ft3</v>
      </c>
      <c r="E1399" s="3">
        <f>0.000453592/0.0353147</f>
        <v>1.2844282975644704E-2</v>
      </c>
    </row>
    <row r="1400" spans="1:5" x14ac:dyDescent="0.2">
      <c r="A1400" s="1" t="s">
        <v>27</v>
      </c>
      <c r="B1400" s="2" t="s">
        <v>63</v>
      </c>
      <c r="C1400" s="2" t="s">
        <v>137</v>
      </c>
      <c r="D1400" s="2" t="str">
        <f t="shared" ref="D1400:D1463" si="42">B1400 &amp; "_to_" &amp; C1400</f>
        <v>lb_per_L_to_Metric_Tonne_per_CCF</v>
      </c>
      <c r="E1400" s="3">
        <f>0.000453592/0.000353147</f>
        <v>1.2844282975644703</v>
      </c>
    </row>
    <row r="1401" spans="1:5" x14ac:dyDescent="0.2">
      <c r="A1401" s="1" t="s">
        <v>27</v>
      </c>
      <c r="B1401" s="2" t="s">
        <v>63</v>
      </c>
      <c r="C1401" s="2" t="s">
        <v>146</v>
      </c>
      <c r="D1401" s="2" t="str">
        <f>B1401 &amp; "_to_" &amp; C1401</f>
        <v>lb_per_L_to_Metric_Tonne_per_m3</v>
      </c>
      <c r="E1401" s="3">
        <f>0.000453592/0.001</f>
        <v>0.453592</v>
      </c>
    </row>
    <row r="1402" spans="1:5" x14ac:dyDescent="0.2">
      <c r="A1402" s="1" t="s">
        <v>27</v>
      </c>
      <c r="B1402" s="2" t="s">
        <v>63</v>
      </c>
      <c r="C1402" s="2" t="s">
        <v>138</v>
      </c>
      <c r="D1402" s="2" t="str">
        <f>B1402 &amp; "_to_" &amp; C1402</f>
        <v>lb_per_L_to_Metric_Tonne_per_US_Gal</v>
      </c>
      <c r="E1402" s="3">
        <f>0.000453592/0.264172</f>
        <v>1.7170328422391472E-3</v>
      </c>
    </row>
    <row r="1403" spans="1:5" x14ac:dyDescent="0.2">
      <c r="A1403" s="1" t="s">
        <v>27</v>
      </c>
      <c r="B1403" s="2" t="s">
        <v>147</v>
      </c>
      <c r="C1403" s="2" t="s">
        <v>64</v>
      </c>
      <c r="D1403" s="2" t="str">
        <f t="shared" si="42"/>
        <v>US_Ton_per_ft3_to_kg_per_CCF</v>
      </c>
      <c r="E1403" s="3">
        <f>907.185/0.01</f>
        <v>90718.499999999985</v>
      </c>
    </row>
    <row r="1404" spans="1:5" x14ac:dyDescent="0.2">
      <c r="A1404" s="1" t="s">
        <v>27</v>
      </c>
      <c r="B1404" s="2" t="s">
        <v>147</v>
      </c>
      <c r="C1404" s="2" t="s">
        <v>101</v>
      </c>
      <c r="D1404" s="2" t="str">
        <f t="shared" si="42"/>
        <v>US_Ton_per_ft3_to_kg_per_m3</v>
      </c>
      <c r="E1404" s="3">
        <f>907.185/0.0283168</f>
        <v>32036.988642784494</v>
      </c>
    </row>
    <row r="1405" spans="1:5" x14ac:dyDescent="0.2">
      <c r="A1405" s="1" t="s">
        <v>27</v>
      </c>
      <c r="B1405" s="2" t="s">
        <v>147</v>
      </c>
      <c r="C1405" s="2" t="s">
        <v>140</v>
      </c>
      <c r="D1405" s="2" t="str">
        <f t="shared" si="42"/>
        <v>US_Ton_per_ft3_to_kg_per_US_Gal</v>
      </c>
      <c r="E1405" s="3">
        <f>907.185/7.48052</f>
        <v>121.27298636993149</v>
      </c>
    </row>
    <row r="1406" spans="1:5" x14ac:dyDescent="0.2">
      <c r="A1406" s="1" t="s">
        <v>27</v>
      </c>
      <c r="B1406" s="2" t="s">
        <v>147</v>
      </c>
      <c r="C1406" s="2" t="s">
        <v>65</v>
      </c>
      <c r="D1406" s="2" t="str">
        <f t="shared" si="42"/>
        <v>US_Ton_per_ft3_to_kg_per_L</v>
      </c>
      <c r="E1406" s="3">
        <f>907.185/28.3168</f>
        <v>32.036988642784493</v>
      </c>
    </row>
    <row r="1407" spans="1:5" x14ac:dyDescent="0.2">
      <c r="A1407" s="1" t="s">
        <v>27</v>
      </c>
      <c r="B1407" s="2" t="s">
        <v>147</v>
      </c>
      <c r="C1407" s="2" t="s">
        <v>62</v>
      </c>
      <c r="D1407" s="2" t="str">
        <f t="shared" si="42"/>
        <v>US_Ton_per_ft3_to_lb_per_CCF</v>
      </c>
      <c r="E1407" s="3">
        <f>2000/0.01</f>
        <v>200000</v>
      </c>
    </row>
    <row r="1408" spans="1:5" x14ac:dyDescent="0.2">
      <c r="A1408" s="1" t="s">
        <v>27</v>
      </c>
      <c r="B1408" s="2" t="s">
        <v>147</v>
      </c>
      <c r="C1408" s="2" t="s">
        <v>99</v>
      </c>
      <c r="D1408" s="2" t="str">
        <f t="shared" si="42"/>
        <v>US_Ton_per_ft3_to_lb_per_m3</v>
      </c>
      <c r="E1408" s="3">
        <f>2000/0.0283168</f>
        <v>70629.449655328281</v>
      </c>
    </row>
    <row r="1409" spans="1:5" x14ac:dyDescent="0.2">
      <c r="A1409" s="1" t="s">
        <v>27</v>
      </c>
      <c r="B1409" s="2" t="s">
        <v>147</v>
      </c>
      <c r="C1409" s="2" t="s">
        <v>133</v>
      </c>
      <c r="D1409" s="2" t="str">
        <f t="shared" ref="D1409:D1428" si="43">B1409 &amp; "_to_" &amp; C1409</f>
        <v>US_Ton_per_ft3_to_lb_per_US_Gal</v>
      </c>
      <c r="E1409" s="3">
        <f>2000/7.48052</f>
        <v>267.36109254436855</v>
      </c>
    </row>
    <row r="1410" spans="1:5" x14ac:dyDescent="0.2">
      <c r="A1410" s="1" t="s">
        <v>27</v>
      </c>
      <c r="B1410" s="2" t="s">
        <v>147</v>
      </c>
      <c r="C1410" s="2" t="s">
        <v>63</v>
      </c>
      <c r="D1410" s="2" t="str">
        <f t="shared" si="43"/>
        <v>US_Ton_per_ft3_to_lb_per_L</v>
      </c>
      <c r="E1410" s="3">
        <f>2000/28.3168</f>
        <v>70.629449655328287</v>
      </c>
    </row>
    <row r="1411" spans="1:5" x14ac:dyDescent="0.2">
      <c r="A1411" s="1" t="s">
        <v>27</v>
      </c>
      <c r="B1411" s="2" t="s">
        <v>147</v>
      </c>
      <c r="C1411" s="2" t="s">
        <v>137</v>
      </c>
      <c r="D1411" s="2" t="str">
        <f t="shared" si="43"/>
        <v>US_Ton_per_ft3_to_Metric_Tonne_per_CCF</v>
      </c>
      <c r="E1411" s="3">
        <f>0.907185/0.01</f>
        <v>90.718500000000006</v>
      </c>
    </row>
    <row r="1412" spans="1:5" x14ac:dyDescent="0.2">
      <c r="A1412" s="1" t="s">
        <v>27</v>
      </c>
      <c r="B1412" s="2" t="s">
        <v>147</v>
      </c>
      <c r="C1412" s="2" t="s">
        <v>146</v>
      </c>
      <c r="D1412" s="2" t="str">
        <f t="shared" si="43"/>
        <v>US_Ton_per_ft3_to_Metric_Tonne_per_m3</v>
      </c>
      <c r="E1412" s="3">
        <f>0.907185/0.0283168</f>
        <v>32.036988642784493</v>
      </c>
    </row>
    <row r="1413" spans="1:5" x14ac:dyDescent="0.2">
      <c r="A1413" s="1" t="s">
        <v>27</v>
      </c>
      <c r="B1413" s="2" t="s">
        <v>147</v>
      </c>
      <c r="C1413" s="2" t="s">
        <v>138</v>
      </c>
      <c r="D1413" s="2" t="str">
        <f t="shared" si="43"/>
        <v>US_Ton_per_ft3_to_Metric_Tonne_per_US_Gal</v>
      </c>
      <c r="E1413" s="3">
        <f>0.907185/7.48052</f>
        <v>0.1212729863699315</v>
      </c>
    </row>
    <row r="1414" spans="1:5" x14ac:dyDescent="0.2">
      <c r="A1414" s="1" t="s">
        <v>27</v>
      </c>
      <c r="B1414" s="2" t="s">
        <v>147</v>
      </c>
      <c r="C1414" s="2" t="s">
        <v>139</v>
      </c>
      <c r="D1414" s="2" t="str">
        <f t="shared" si="43"/>
        <v>US_Ton_per_ft3_to_Metric_Tonne_per_L</v>
      </c>
      <c r="E1414" s="3">
        <f>0.907185/28.3168</f>
        <v>3.2036988642784495E-2</v>
      </c>
    </row>
    <row r="1415" spans="1:5" x14ac:dyDescent="0.2">
      <c r="A1415" s="1" t="s">
        <v>27</v>
      </c>
      <c r="B1415" s="2" t="s">
        <v>134</v>
      </c>
      <c r="C1415" s="2" t="s">
        <v>98</v>
      </c>
      <c r="D1415" s="2" t="str">
        <f t="shared" si="43"/>
        <v>US_Ton_per_CCF_to_kg_per_ft3</v>
      </c>
      <c r="E1415" s="3">
        <f>907.185/100</f>
        <v>9.0718499999999995</v>
      </c>
    </row>
    <row r="1416" spans="1:5" x14ac:dyDescent="0.2">
      <c r="A1416" s="1" t="s">
        <v>27</v>
      </c>
      <c r="B1416" s="2" t="s">
        <v>134</v>
      </c>
      <c r="C1416" s="2" t="s">
        <v>101</v>
      </c>
      <c r="D1416" s="2" t="str">
        <f t="shared" si="43"/>
        <v>US_Ton_per_CCF_to_kg_per_m3</v>
      </c>
      <c r="E1416" s="3">
        <f>907.185/2.83168</f>
        <v>320.36988642784496</v>
      </c>
    </row>
    <row r="1417" spans="1:5" x14ac:dyDescent="0.2">
      <c r="A1417" s="1" t="s">
        <v>27</v>
      </c>
      <c r="B1417" s="2" t="s">
        <v>134</v>
      </c>
      <c r="C1417" s="2" t="s">
        <v>140</v>
      </c>
      <c r="D1417" s="2" t="str">
        <f t="shared" si="43"/>
        <v>US_Ton_per_CCF_to_kg_per_US_Gal</v>
      </c>
      <c r="E1417" s="3">
        <f>907.185/748.052</f>
        <v>1.2127298636993149</v>
      </c>
    </row>
    <row r="1418" spans="1:5" x14ac:dyDescent="0.2">
      <c r="A1418" s="1" t="s">
        <v>27</v>
      </c>
      <c r="B1418" s="2" t="s">
        <v>134</v>
      </c>
      <c r="C1418" s="2" t="s">
        <v>65</v>
      </c>
      <c r="D1418" s="2" t="str">
        <f t="shared" si="43"/>
        <v>US_Ton_per_CCF_to_kg_per_L</v>
      </c>
      <c r="E1418" s="3">
        <f>907.185/2831.68</f>
        <v>0.32036988642784497</v>
      </c>
    </row>
    <row r="1419" spans="1:5" x14ac:dyDescent="0.2">
      <c r="A1419" s="1" t="s">
        <v>27</v>
      </c>
      <c r="B1419" s="2" t="s">
        <v>134</v>
      </c>
      <c r="C1419" s="2" t="s">
        <v>100</v>
      </c>
      <c r="D1419" s="2" t="str">
        <f t="shared" si="43"/>
        <v>US_Ton_per_CCF_to_lb_per_ft3</v>
      </c>
      <c r="E1419" s="3">
        <f>2000/100</f>
        <v>20</v>
      </c>
    </row>
    <row r="1420" spans="1:5" x14ac:dyDescent="0.2">
      <c r="A1420" s="1" t="s">
        <v>27</v>
      </c>
      <c r="B1420" s="2" t="s">
        <v>134</v>
      </c>
      <c r="C1420" s="2" t="s">
        <v>99</v>
      </c>
      <c r="D1420" s="2" t="str">
        <f t="shared" si="43"/>
        <v>US_Ton_per_CCF_to_lb_per_m3</v>
      </c>
      <c r="E1420" s="3">
        <f>2000/2.83168</f>
        <v>706.2944965532829</v>
      </c>
    </row>
    <row r="1421" spans="1:5" x14ac:dyDescent="0.2">
      <c r="A1421" s="1" t="s">
        <v>27</v>
      </c>
      <c r="B1421" s="2" t="s">
        <v>134</v>
      </c>
      <c r="C1421" s="2" t="s">
        <v>133</v>
      </c>
      <c r="D1421" s="2" t="str">
        <f t="shared" si="43"/>
        <v>US_Ton_per_CCF_to_lb_per_US_Gal</v>
      </c>
      <c r="E1421" s="3">
        <f>2000/748.052</f>
        <v>2.6736109254436857</v>
      </c>
    </row>
    <row r="1422" spans="1:5" x14ac:dyDescent="0.2">
      <c r="A1422" s="1" t="s">
        <v>27</v>
      </c>
      <c r="B1422" s="2" t="s">
        <v>134</v>
      </c>
      <c r="C1422" s="2" t="s">
        <v>63</v>
      </c>
      <c r="D1422" s="2" t="str">
        <f t="shared" si="43"/>
        <v>US_Ton_per_CCF_to_lb_per_L</v>
      </c>
      <c r="E1422" s="3">
        <f>2000/2831.68</f>
        <v>0.70629449655328291</v>
      </c>
    </row>
    <row r="1423" spans="1:5" x14ac:dyDescent="0.2">
      <c r="A1423" s="1" t="s">
        <v>27</v>
      </c>
      <c r="B1423" s="2" t="s">
        <v>134</v>
      </c>
      <c r="C1423" s="2" t="s">
        <v>148</v>
      </c>
      <c r="D1423" s="2" t="str">
        <f t="shared" si="43"/>
        <v>US_Ton_per_CCF_to_Metric_Tonne_per_ft3</v>
      </c>
      <c r="E1423" s="3">
        <f>0.907185/100</f>
        <v>9.0718499999999994E-3</v>
      </c>
    </row>
    <row r="1424" spans="1:5" x14ac:dyDescent="0.2">
      <c r="A1424" s="1" t="s">
        <v>27</v>
      </c>
      <c r="B1424" s="2" t="s">
        <v>134</v>
      </c>
      <c r="C1424" s="2" t="s">
        <v>146</v>
      </c>
      <c r="D1424" s="2" t="str">
        <f t="shared" si="43"/>
        <v>US_Ton_per_CCF_to_Metric_Tonne_per_m3</v>
      </c>
      <c r="E1424" s="3">
        <f>0.907185/2.83168</f>
        <v>0.32036988642784497</v>
      </c>
    </row>
    <row r="1425" spans="1:5" x14ac:dyDescent="0.2">
      <c r="A1425" s="1" t="s">
        <v>27</v>
      </c>
      <c r="B1425" s="2" t="s">
        <v>134</v>
      </c>
      <c r="C1425" s="2" t="s">
        <v>138</v>
      </c>
      <c r="D1425" s="2" t="str">
        <f t="shared" si="43"/>
        <v>US_Ton_per_CCF_to_Metric_Tonne_per_US_Gal</v>
      </c>
      <c r="E1425" s="3">
        <f>0.907185/748.052</f>
        <v>1.212729863699315E-3</v>
      </c>
    </row>
    <row r="1426" spans="1:5" x14ac:dyDescent="0.2">
      <c r="A1426" s="1" t="s">
        <v>27</v>
      </c>
      <c r="B1426" s="2" t="s">
        <v>134</v>
      </c>
      <c r="C1426" s="2" t="s">
        <v>139</v>
      </c>
      <c r="D1426" s="2" t="str">
        <f t="shared" si="43"/>
        <v>US_Ton_per_CCF_to_Metric_Tonne_per_L</v>
      </c>
      <c r="E1426" s="3">
        <f>0.907185/2831.68</f>
        <v>3.2036988642784495E-4</v>
      </c>
    </row>
    <row r="1427" spans="1:5" x14ac:dyDescent="0.2">
      <c r="A1427" s="1" t="s">
        <v>27</v>
      </c>
      <c r="B1427" s="2" t="s">
        <v>145</v>
      </c>
      <c r="C1427" s="2" t="s">
        <v>98</v>
      </c>
      <c r="D1427" s="2" t="str">
        <f t="shared" si="43"/>
        <v>US_Ton_per_m3_to_kg_per_ft3</v>
      </c>
      <c r="E1427" s="3">
        <f>907.185/35.3147</f>
        <v>25.688594268109313</v>
      </c>
    </row>
    <row r="1428" spans="1:5" x14ac:dyDescent="0.2">
      <c r="A1428" s="1" t="s">
        <v>27</v>
      </c>
      <c r="B1428" s="2" t="s">
        <v>145</v>
      </c>
      <c r="C1428" s="2" t="s">
        <v>64</v>
      </c>
      <c r="D1428" s="2" t="str">
        <f t="shared" si="43"/>
        <v>US_Ton_per_m3_to_kg_per_CCF</v>
      </c>
      <c r="E1428" s="3">
        <f>907.185/0.353147</f>
        <v>2568.8594268109314</v>
      </c>
    </row>
    <row r="1429" spans="1:5" x14ac:dyDescent="0.2">
      <c r="A1429" s="1" t="s">
        <v>27</v>
      </c>
      <c r="B1429" s="2" t="s">
        <v>145</v>
      </c>
      <c r="C1429" s="2" t="s">
        <v>140</v>
      </c>
      <c r="D1429" s="2" t="str">
        <f t="shared" si="42"/>
        <v>US_Ton_per_m3_to_kg_per_US_Gal</v>
      </c>
      <c r="E1429" s="3">
        <f>907.185/264.172</f>
        <v>3.4340694698908281</v>
      </c>
    </row>
    <row r="1430" spans="1:5" x14ac:dyDescent="0.2">
      <c r="A1430" s="1" t="s">
        <v>27</v>
      </c>
      <c r="B1430" s="2" t="s">
        <v>145</v>
      </c>
      <c r="C1430" s="2" t="s">
        <v>65</v>
      </c>
      <c r="D1430" s="2" t="str">
        <f t="shared" si="42"/>
        <v>US_Ton_per_m3_to_kg_per_L</v>
      </c>
      <c r="E1430" s="3">
        <f>907.185/1000</f>
        <v>0.90718499999999991</v>
      </c>
    </row>
    <row r="1431" spans="1:5" x14ac:dyDescent="0.2">
      <c r="A1431" s="1" t="s">
        <v>27</v>
      </c>
      <c r="B1431" s="2" t="s">
        <v>145</v>
      </c>
      <c r="C1431" s="2" t="s">
        <v>100</v>
      </c>
      <c r="D1431" s="2" t="str">
        <f>B1431 &amp; "_to_" &amp; C1431</f>
        <v>US_Ton_per_m3_to_lb_per_ft3</v>
      </c>
      <c r="E1431" s="3">
        <f>2000/35.3147</f>
        <v>56.633639815714133</v>
      </c>
    </row>
    <row r="1432" spans="1:5" x14ac:dyDescent="0.2">
      <c r="A1432" s="1" t="s">
        <v>27</v>
      </c>
      <c r="B1432" s="2" t="s">
        <v>145</v>
      </c>
      <c r="C1432" s="2" t="s">
        <v>62</v>
      </c>
      <c r="D1432" s="2" t="str">
        <f>B1432 &amp; "_to_" &amp; C1432</f>
        <v>US_Ton_per_m3_to_lb_per_CCF</v>
      </c>
      <c r="E1432" s="3">
        <f>2000/0.353147</f>
        <v>5663.3639815714141</v>
      </c>
    </row>
    <row r="1433" spans="1:5" x14ac:dyDescent="0.2">
      <c r="A1433" s="1" t="s">
        <v>27</v>
      </c>
      <c r="B1433" s="2" t="s">
        <v>145</v>
      </c>
      <c r="C1433" s="2" t="s">
        <v>133</v>
      </c>
      <c r="D1433" s="2" t="str">
        <f t="shared" si="42"/>
        <v>US_Ton_per_m3_to_lb_per_US_Gal</v>
      </c>
      <c r="E1433" s="3">
        <f>2000/264.172</f>
        <v>7.5708250685159664</v>
      </c>
    </row>
    <row r="1434" spans="1:5" x14ac:dyDescent="0.2">
      <c r="A1434" s="1" t="s">
        <v>27</v>
      </c>
      <c r="B1434" s="2" t="s">
        <v>145</v>
      </c>
      <c r="C1434" s="2" t="s">
        <v>63</v>
      </c>
      <c r="D1434" s="2" t="str">
        <f t="shared" si="42"/>
        <v>US_Ton_per_m3_to_lb_per_L</v>
      </c>
      <c r="E1434" s="3">
        <f>2000/1000</f>
        <v>2</v>
      </c>
    </row>
    <row r="1435" spans="1:5" x14ac:dyDescent="0.2">
      <c r="A1435" s="1" t="s">
        <v>27</v>
      </c>
      <c r="B1435" s="2" t="s">
        <v>145</v>
      </c>
      <c r="C1435" s="2" t="s">
        <v>148</v>
      </c>
      <c r="D1435" s="2" t="str">
        <f t="shared" si="42"/>
        <v>US_Ton_per_m3_to_Metric_Tonne_per_ft3</v>
      </c>
      <c r="E1435" s="3">
        <f>0.907185/35.3147</f>
        <v>2.5688594268109315E-2</v>
      </c>
    </row>
    <row r="1436" spans="1:5" x14ac:dyDescent="0.2">
      <c r="A1436" s="1" t="s">
        <v>27</v>
      </c>
      <c r="B1436" s="2" t="s">
        <v>145</v>
      </c>
      <c r="C1436" s="2" t="s">
        <v>137</v>
      </c>
      <c r="D1436" s="2" t="str">
        <f t="shared" si="42"/>
        <v>US_Ton_per_m3_to_Metric_Tonne_per_CCF</v>
      </c>
      <c r="E1436" s="3">
        <f>0.907185/0.353147</f>
        <v>2.5688594268109317</v>
      </c>
    </row>
    <row r="1437" spans="1:5" x14ac:dyDescent="0.2">
      <c r="A1437" s="1" t="s">
        <v>27</v>
      </c>
      <c r="B1437" s="2" t="s">
        <v>145</v>
      </c>
      <c r="C1437" s="2" t="s">
        <v>138</v>
      </c>
      <c r="D1437" s="2" t="str">
        <f t="shared" si="42"/>
        <v>US_Ton_per_m3_to_Metric_Tonne_per_US_Gal</v>
      </c>
      <c r="E1437" s="3">
        <f>0.907185/264.172</f>
        <v>3.4340694698908286E-3</v>
      </c>
    </row>
    <row r="1438" spans="1:5" x14ac:dyDescent="0.2">
      <c r="A1438" s="1" t="s">
        <v>27</v>
      </c>
      <c r="B1438" s="2" t="s">
        <v>145</v>
      </c>
      <c r="C1438" s="2" t="s">
        <v>139</v>
      </c>
      <c r="D1438" s="2" t="str">
        <f t="shared" si="42"/>
        <v>US_Ton_per_m3_to_Metric_Tonne_per_L</v>
      </c>
      <c r="E1438" s="3">
        <f>0.907185/1000</f>
        <v>9.0718500000000002E-4</v>
      </c>
    </row>
    <row r="1439" spans="1:5" x14ac:dyDescent="0.2">
      <c r="A1439" s="1" t="s">
        <v>27</v>
      </c>
      <c r="B1439" s="2" t="s">
        <v>135</v>
      </c>
      <c r="C1439" s="2" t="s">
        <v>98</v>
      </c>
      <c r="D1439" s="2" t="str">
        <f t="shared" si="42"/>
        <v>US_Ton_per_US_Gal_to_kg_per_ft3</v>
      </c>
      <c r="E1439" s="3">
        <f>907.185/0.133681</f>
        <v>6786.1925030483017</v>
      </c>
    </row>
    <row r="1440" spans="1:5" x14ac:dyDescent="0.2">
      <c r="A1440" s="1" t="s">
        <v>27</v>
      </c>
      <c r="B1440" s="2" t="s">
        <v>135</v>
      </c>
      <c r="C1440" s="2" t="s">
        <v>64</v>
      </c>
      <c r="D1440" s="2" t="str">
        <f t="shared" si="42"/>
        <v>US_Ton_per_US_Gal_to_kg_per_CCF</v>
      </c>
      <c r="E1440" s="3">
        <f>907.185/0.00133681</f>
        <v>678619.25030483014</v>
      </c>
    </row>
    <row r="1441" spans="1:5" x14ac:dyDescent="0.2">
      <c r="A1441" s="1" t="s">
        <v>27</v>
      </c>
      <c r="B1441" s="2" t="s">
        <v>135</v>
      </c>
      <c r="C1441" s="2" t="s">
        <v>101</v>
      </c>
      <c r="D1441" s="2" t="str">
        <f>B1441 &amp; "_to_" &amp; C1441</f>
        <v>US_Ton_per_US_Gal_to_kg_per_m3</v>
      </c>
      <c r="E1441" s="3">
        <f>907.185/0.00378541</f>
        <v>239653.03626291471</v>
      </c>
    </row>
    <row r="1442" spans="1:5" x14ac:dyDescent="0.2">
      <c r="A1442" s="1" t="s">
        <v>27</v>
      </c>
      <c r="B1442" s="2" t="s">
        <v>135</v>
      </c>
      <c r="C1442" s="2" t="s">
        <v>65</v>
      </c>
      <c r="D1442" s="2" t="str">
        <f>B1442 &amp; "_to_" &amp; C1442</f>
        <v>US_Ton_per_US_Gal_to_kg_per_L</v>
      </c>
      <c r="E1442" s="3">
        <f>907.185/3.78541</f>
        <v>239.6530362629147</v>
      </c>
    </row>
    <row r="1443" spans="1:5" x14ac:dyDescent="0.2">
      <c r="A1443" s="1" t="s">
        <v>27</v>
      </c>
      <c r="B1443" s="2" t="s">
        <v>135</v>
      </c>
      <c r="C1443" s="2" t="s">
        <v>100</v>
      </c>
      <c r="D1443" s="2" t="str">
        <f t="shared" si="42"/>
        <v>US_Ton_per_US_Gal_to_lb_per_ft3</v>
      </c>
      <c r="E1443" s="3">
        <f>2000/0.133681</f>
        <v>14960.989220607267</v>
      </c>
    </row>
    <row r="1444" spans="1:5" x14ac:dyDescent="0.2">
      <c r="A1444" s="1" t="s">
        <v>27</v>
      </c>
      <c r="B1444" s="2" t="s">
        <v>135</v>
      </c>
      <c r="C1444" s="2" t="s">
        <v>62</v>
      </c>
      <c r="D1444" s="2" t="str">
        <f t="shared" si="42"/>
        <v>US_Ton_per_US_Gal_to_lb_per_CCF</v>
      </c>
      <c r="E1444" s="3">
        <f>2000/0.00133681</f>
        <v>1496098.9220607267</v>
      </c>
    </row>
    <row r="1445" spans="1:5" x14ac:dyDescent="0.2">
      <c r="A1445" s="1" t="s">
        <v>27</v>
      </c>
      <c r="B1445" s="2" t="s">
        <v>135</v>
      </c>
      <c r="C1445" s="2" t="s">
        <v>99</v>
      </c>
      <c r="D1445" s="2" t="str">
        <f t="shared" si="42"/>
        <v>US_Ton_per_US_Gal_to_lb_per_m3</v>
      </c>
      <c r="E1445" s="3">
        <f>2000/0.00378541</f>
        <v>528344.35371597798</v>
      </c>
    </row>
    <row r="1446" spans="1:5" x14ac:dyDescent="0.2">
      <c r="A1446" s="1" t="s">
        <v>27</v>
      </c>
      <c r="B1446" s="2" t="s">
        <v>135</v>
      </c>
      <c r="C1446" s="2" t="s">
        <v>63</v>
      </c>
      <c r="D1446" s="2" t="str">
        <f t="shared" si="42"/>
        <v>US_Ton_per_US_Gal_to_lb_per_L</v>
      </c>
      <c r="E1446" s="3">
        <f>2000/3.78541</f>
        <v>528.34435371597795</v>
      </c>
    </row>
    <row r="1447" spans="1:5" x14ac:dyDescent="0.2">
      <c r="A1447" s="1" t="s">
        <v>27</v>
      </c>
      <c r="B1447" s="2" t="s">
        <v>135</v>
      </c>
      <c r="C1447" s="2" t="s">
        <v>148</v>
      </c>
      <c r="D1447" s="2" t="str">
        <f t="shared" si="42"/>
        <v>US_Ton_per_US_Gal_to_Metric_Tonne_per_ft3</v>
      </c>
      <c r="E1447" s="3">
        <f>0.907185/0.133681</f>
        <v>6.7861925030483023</v>
      </c>
    </row>
    <row r="1448" spans="1:5" x14ac:dyDescent="0.2">
      <c r="A1448" s="1" t="s">
        <v>27</v>
      </c>
      <c r="B1448" s="2" t="s">
        <v>135</v>
      </c>
      <c r="C1448" s="2" t="s">
        <v>137</v>
      </c>
      <c r="D1448" s="2" t="str">
        <f t="shared" si="42"/>
        <v>US_Ton_per_US_Gal_to_Metric_Tonne_per_CCF</v>
      </c>
      <c r="E1448" s="3">
        <f>0.907185/0.00133681</f>
        <v>678.61925030483019</v>
      </c>
    </row>
    <row r="1449" spans="1:5" x14ac:dyDescent="0.2">
      <c r="A1449" s="1" t="s">
        <v>27</v>
      </c>
      <c r="B1449" s="2" t="s">
        <v>135</v>
      </c>
      <c r="C1449" s="2" t="s">
        <v>146</v>
      </c>
      <c r="D1449" s="2" t="str">
        <f t="shared" si="42"/>
        <v>US_Ton_per_US_Gal_to_Metric_Tonne_per_m3</v>
      </c>
      <c r="E1449" s="3">
        <f>0.907185/0.00378541</f>
        <v>239.65303626291472</v>
      </c>
    </row>
    <row r="1450" spans="1:5" x14ac:dyDescent="0.2">
      <c r="A1450" s="1" t="s">
        <v>27</v>
      </c>
      <c r="B1450" s="2" t="s">
        <v>135</v>
      </c>
      <c r="C1450" s="2" t="s">
        <v>139</v>
      </c>
      <c r="D1450" s="2" t="str">
        <f t="shared" si="42"/>
        <v>US_Ton_per_US_Gal_to_Metric_Tonne_per_L</v>
      </c>
      <c r="E1450" s="3">
        <f>0.907185/3.78541</f>
        <v>0.2396530362629147</v>
      </c>
    </row>
    <row r="1451" spans="1:5" x14ac:dyDescent="0.2">
      <c r="A1451" s="1" t="s">
        <v>27</v>
      </c>
      <c r="B1451" s="2" t="s">
        <v>136</v>
      </c>
      <c r="C1451" s="2" t="s">
        <v>98</v>
      </c>
      <c r="D1451" s="2" t="str">
        <f>B1451 &amp; "_to_" &amp; C1451</f>
        <v>US_Ton_per_L_to_kg_per_ft3</v>
      </c>
      <c r="E1451" s="3">
        <f>907.185/0.0353147</f>
        <v>25688.594268109315</v>
      </c>
    </row>
    <row r="1452" spans="1:5" x14ac:dyDescent="0.2">
      <c r="A1452" s="1" t="s">
        <v>27</v>
      </c>
      <c r="B1452" s="2" t="s">
        <v>136</v>
      </c>
      <c r="C1452" s="2" t="s">
        <v>64</v>
      </c>
      <c r="D1452" s="2" t="str">
        <f>B1452 &amp; "_to_" &amp; C1452</f>
        <v>US_Ton_per_L_to_kg_per_CCF</v>
      </c>
      <c r="E1452" s="3">
        <f>907.185/0.000353147</f>
        <v>2568859.4268109314</v>
      </c>
    </row>
    <row r="1453" spans="1:5" x14ac:dyDescent="0.2">
      <c r="A1453" s="1" t="s">
        <v>27</v>
      </c>
      <c r="B1453" s="2" t="s">
        <v>136</v>
      </c>
      <c r="C1453" s="2" t="s">
        <v>101</v>
      </c>
      <c r="D1453" s="2" t="str">
        <f t="shared" si="42"/>
        <v>US_Ton_per_L_to_kg_per_m3</v>
      </c>
      <c r="E1453" s="3">
        <f>907.185/0.001</f>
        <v>907184.99999999988</v>
      </c>
    </row>
    <row r="1454" spans="1:5" x14ac:dyDescent="0.2">
      <c r="A1454" s="1" t="s">
        <v>27</v>
      </c>
      <c r="B1454" s="2" t="s">
        <v>136</v>
      </c>
      <c r="C1454" s="2" t="s">
        <v>140</v>
      </c>
      <c r="D1454" s="2" t="str">
        <f t="shared" si="42"/>
        <v>US_Ton_per_L_to_kg_per_US_Gal</v>
      </c>
      <c r="E1454" s="3">
        <f>907.185/0.264172</f>
        <v>3434.0694698908283</v>
      </c>
    </row>
    <row r="1455" spans="1:5" x14ac:dyDescent="0.2">
      <c r="A1455" s="1" t="s">
        <v>27</v>
      </c>
      <c r="B1455" s="2" t="s">
        <v>136</v>
      </c>
      <c r="C1455" s="2" t="s">
        <v>100</v>
      </c>
      <c r="D1455" s="2" t="str">
        <f t="shared" si="42"/>
        <v>US_Ton_per_L_to_lb_per_ft3</v>
      </c>
      <c r="E1455" s="3">
        <f>2000/0.0353147</f>
        <v>56633.639815714138</v>
      </c>
    </row>
    <row r="1456" spans="1:5" x14ac:dyDescent="0.2">
      <c r="A1456" s="1" t="s">
        <v>27</v>
      </c>
      <c r="B1456" s="2" t="s">
        <v>136</v>
      </c>
      <c r="C1456" s="2" t="s">
        <v>62</v>
      </c>
      <c r="D1456" s="2" t="str">
        <f t="shared" si="42"/>
        <v>US_Ton_per_L_to_lb_per_CCF</v>
      </c>
      <c r="E1456" s="3">
        <f>2000/0.000353147</f>
        <v>5663363.9815714136</v>
      </c>
    </row>
    <row r="1457" spans="1:5" x14ac:dyDescent="0.2">
      <c r="A1457" s="1" t="s">
        <v>27</v>
      </c>
      <c r="B1457" s="2" t="s">
        <v>136</v>
      </c>
      <c r="C1457" s="2" t="s">
        <v>99</v>
      </c>
      <c r="D1457" s="2" t="str">
        <f t="shared" si="42"/>
        <v>US_Ton_per_L_to_lb_per_m3</v>
      </c>
      <c r="E1457" s="3">
        <f>2000/0.001</f>
        <v>2000000</v>
      </c>
    </row>
    <row r="1458" spans="1:5" x14ac:dyDescent="0.2">
      <c r="A1458" s="1" t="s">
        <v>27</v>
      </c>
      <c r="B1458" s="2" t="s">
        <v>136</v>
      </c>
      <c r="C1458" s="2" t="s">
        <v>133</v>
      </c>
      <c r="D1458" s="2" t="str">
        <f t="shared" si="42"/>
        <v>US_Ton_per_L_to_lb_per_US_Gal</v>
      </c>
      <c r="E1458" s="3">
        <f>2000/0.264172</f>
        <v>7570.8250685159664</v>
      </c>
    </row>
    <row r="1459" spans="1:5" x14ac:dyDescent="0.2">
      <c r="A1459" s="1" t="s">
        <v>27</v>
      </c>
      <c r="B1459" s="2" t="s">
        <v>136</v>
      </c>
      <c r="C1459" s="2" t="s">
        <v>148</v>
      </c>
      <c r="D1459" s="2" t="str">
        <f t="shared" si="42"/>
        <v>US_Ton_per_L_to_Metric_Tonne_per_ft3</v>
      </c>
      <c r="E1459" s="3">
        <f>0.907185/0.0353147</f>
        <v>25.688594268109316</v>
      </c>
    </row>
    <row r="1460" spans="1:5" x14ac:dyDescent="0.2">
      <c r="A1460" s="1" t="s">
        <v>27</v>
      </c>
      <c r="B1460" s="2" t="s">
        <v>136</v>
      </c>
      <c r="C1460" s="2" t="s">
        <v>137</v>
      </c>
      <c r="D1460" s="2" t="str">
        <f t="shared" si="42"/>
        <v>US_Ton_per_L_to_Metric_Tonne_per_CCF</v>
      </c>
      <c r="E1460" s="3">
        <f>0.907185/0.000353147</f>
        <v>2568.8594268109314</v>
      </c>
    </row>
    <row r="1461" spans="1:5" x14ac:dyDescent="0.2">
      <c r="A1461" s="1" t="s">
        <v>27</v>
      </c>
      <c r="B1461" s="2" t="s">
        <v>136</v>
      </c>
      <c r="C1461" s="2" t="s">
        <v>146</v>
      </c>
      <c r="D1461" s="2" t="str">
        <f>B1461 &amp; "_to_" &amp; C1461</f>
        <v>US_Ton_per_L_to_Metric_Tonne_per_m3</v>
      </c>
      <c r="E1461" s="3">
        <f>0.907185/0.001</f>
        <v>907.18499999999995</v>
      </c>
    </row>
    <row r="1462" spans="1:5" x14ac:dyDescent="0.2">
      <c r="A1462" s="1" t="s">
        <v>27</v>
      </c>
      <c r="B1462" s="2" t="s">
        <v>136</v>
      </c>
      <c r="C1462" s="2" t="s">
        <v>138</v>
      </c>
      <c r="D1462" s="2" t="str">
        <f>B1462 &amp; "_to_" &amp; C1462</f>
        <v>US_Ton_per_L_to_Metric_Tonne_per_US_Gal</v>
      </c>
      <c r="E1462" s="3">
        <f>0.907185/0.264172</f>
        <v>3.4340694698908285</v>
      </c>
    </row>
    <row r="1463" spans="1:5" x14ac:dyDescent="0.2">
      <c r="A1463" s="1" t="s">
        <v>27</v>
      </c>
      <c r="B1463" s="2" t="s">
        <v>148</v>
      </c>
      <c r="C1463" s="2" t="s">
        <v>64</v>
      </c>
      <c r="D1463" s="2" t="str">
        <f t="shared" si="42"/>
        <v>Metric_Tonne_per_ft3_to_kg_per_CCF</v>
      </c>
      <c r="E1463" s="3">
        <f>1000/0.01</f>
        <v>100000</v>
      </c>
    </row>
    <row r="1464" spans="1:5" x14ac:dyDescent="0.2">
      <c r="A1464" s="1" t="s">
        <v>27</v>
      </c>
      <c r="B1464" s="2" t="s">
        <v>148</v>
      </c>
      <c r="C1464" s="2" t="s">
        <v>101</v>
      </c>
      <c r="D1464" s="2" t="str">
        <f t="shared" ref="D1464:D1507" si="44">B1464 &amp; "_to_" &amp; C1464</f>
        <v>Metric_Tonne_per_ft3_to_kg_per_m3</v>
      </c>
      <c r="E1464" s="3">
        <f>1000/0.0283168</f>
        <v>35314.72482766414</v>
      </c>
    </row>
    <row r="1465" spans="1:5" x14ac:dyDescent="0.2">
      <c r="A1465" s="1" t="s">
        <v>27</v>
      </c>
      <c r="B1465" s="2" t="s">
        <v>148</v>
      </c>
      <c r="C1465" s="2" t="s">
        <v>140</v>
      </c>
      <c r="D1465" s="2" t="str">
        <f t="shared" si="44"/>
        <v>Metric_Tonne_per_ft3_to_kg_per_US_Gal</v>
      </c>
      <c r="E1465" s="3">
        <f>1000/7.48052</f>
        <v>133.68054627218427</v>
      </c>
    </row>
    <row r="1466" spans="1:5" x14ac:dyDescent="0.2">
      <c r="A1466" s="1" t="s">
        <v>27</v>
      </c>
      <c r="B1466" s="2" t="s">
        <v>148</v>
      </c>
      <c r="C1466" s="2" t="s">
        <v>65</v>
      </c>
      <c r="D1466" s="2" t="str">
        <f t="shared" si="44"/>
        <v>Metric_Tonne_per_ft3_to_kg_per_L</v>
      </c>
      <c r="E1466" s="3">
        <f>1000/28.3168</f>
        <v>35.314724827664143</v>
      </c>
    </row>
    <row r="1467" spans="1:5" x14ac:dyDescent="0.2">
      <c r="A1467" s="1" t="s">
        <v>27</v>
      </c>
      <c r="B1467" s="2" t="s">
        <v>148</v>
      </c>
      <c r="C1467" s="2" t="s">
        <v>62</v>
      </c>
      <c r="D1467" s="2" t="str">
        <f t="shared" si="44"/>
        <v>Metric_Tonne_per_ft3_to_lb_per_CCF</v>
      </c>
      <c r="E1467" s="3">
        <f>2204.62/0.01</f>
        <v>220461.99999999997</v>
      </c>
    </row>
    <row r="1468" spans="1:5" x14ac:dyDescent="0.2">
      <c r="A1468" s="1" t="s">
        <v>27</v>
      </c>
      <c r="B1468" s="2" t="s">
        <v>148</v>
      </c>
      <c r="C1468" s="2" t="s">
        <v>99</v>
      </c>
      <c r="D1468" s="2" t="str">
        <f t="shared" si="44"/>
        <v>Metric_Tonne_per_ft3_to_lb_per_m3</v>
      </c>
      <c r="E1468" s="3">
        <f>2204.62/0.0283168</f>
        <v>77855.548649564924</v>
      </c>
    </row>
    <row r="1469" spans="1:5" x14ac:dyDescent="0.2">
      <c r="A1469" s="1" t="s">
        <v>27</v>
      </c>
      <c r="B1469" s="2" t="s">
        <v>148</v>
      </c>
      <c r="C1469" s="2" t="s">
        <v>133</v>
      </c>
      <c r="D1469" s="2" t="str">
        <f t="shared" si="44"/>
        <v>Metric_Tonne_per_ft3_to_lb_per_US_Gal</v>
      </c>
      <c r="E1469" s="3">
        <f>2204.62/7.48052</f>
        <v>294.71480592258291</v>
      </c>
    </row>
    <row r="1470" spans="1:5" x14ac:dyDescent="0.2">
      <c r="A1470" s="1" t="s">
        <v>27</v>
      </c>
      <c r="B1470" s="2" t="s">
        <v>148</v>
      </c>
      <c r="C1470" s="2" t="s">
        <v>63</v>
      </c>
      <c r="D1470" s="2" t="str">
        <f t="shared" si="44"/>
        <v>Metric_Tonne_per_ft3_to_lb_per_L</v>
      </c>
      <c r="E1470" s="3">
        <f>2204.62/28.3168</f>
        <v>77.855548649564923</v>
      </c>
    </row>
    <row r="1471" spans="1:5" x14ac:dyDescent="0.2">
      <c r="A1471" s="1" t="s">
        <v>27</v>
      </c>
      <c r="B1471" s="2" t="s">
        <v>148</v>
      </c>
      <c r="C1471" s="2" t="s">
        <v>134</v>
      </c>
      <c r="D1471" s="2" t="str">
        <f>B1471 &amp; "_to_" &amp; C1471</f>
        <v>Metric_Tonne_per_ft3_to_US_Ton_per_CCF</v>
      </c>
      <c r="E1471" s="3">
        <f>1.10231/0.01</f>
        <v>110.23099999999999</v>
      </c>
    </row>
    <row r="1472" spans="1:5" x14ac:dyDescent="0.2">
      <c r="A1472" s="1" t="s">
        <v>27</v>
      </c>
      <c r="B1472" s="2" t="s">
        <v>148</v>
      </c>
      <c r="C1472" s="2" t="s">
        <v>145</v>
      </c>
      <c r="D1472" s="2" t="str">
        <f>B1472 &amp; "_to_" &amp; C1472</f>
        <v>Metric_Tonne_per_ft3_to_US_Ton_per_m3</v>
      </c>
      <c r="E1472" s="3">
        <f>1.10231/0.0283168</f>
        <v>38.927774324782462</v>
      </c>
    </row>
    <row r="1473" spans="1:5" x14ac:dyDescent="0.2">
      <c r="A1473" s="1" t="s">
        <v>27</v>
      </c>
      <c r="B1473" s="2" t="s">
        <v>148</v>
      </c>
      <c r="C1473" s="2" t="s">
        <v>135</v>
      </c>
      <c r="D1473" s="2" t="str">
        <f t="shared" si="44"/>
        <v>Metric_Tonne_per_ft3_to_US_Ton_per_US_Gal</v>
      </c>
      <c r="E1473" s="3">
        <f>1.10231/7.48052</f>
        <v>0.14735740296129143</v>
      </c>
    </row>
    <row r="1474" spans="1:5" x14ac:dyDescent="0.2">
      <c r="A1474" s="1" t="s">
        <v>27</v>
      </c>
      <c r="B1474" s="2" t="s">
        <v>148</v>
      </c>
      <c r="C1474" s="2" t="s">
        <v>136</v>
      </c>
      <c r="D1474" s="2" t="str">
        <f t="shared" si="44"/>
        <v>Metric_Tonne_per_ft3_to_US_Ton_per_L</v>
      </c>
      <c r="E1474" s="3">
        <f>1.10231/28.3168</f>
        <v>3.8927774324782456E-2</v>
      </c>
    </row>
    <row r="1475" spans="1:5" x14ac:dyDescent="0.2">
      <c r="A1475" s="1" t="s">
        <v>27</v>
      </c>
      <c r="B1475" s="2" t="s">
        <v>137</v>
      </c>
      <c r="C1475" s="2" t="s">
        <v>98</v>
      </c>
      <c r="D1475" s="2" t="str">
        <f t="shared" si="44"/>
        <v>Metric_Tonne_per_CCF_to_kg_per_ft3</v>
      </c>
      <c r="E1475" s="3">
        <f>1000/100</f>
        <v>10</v>
      </c>
    </row>
    <row r="1476" spans="1:5" x14ac:dyDescent="0.2">
      <c r="A1476" s="1" t="s">
        <v>27</v>
      </c>
      <c r="B1476" s="2" t="s">
        <v>137</v>
      </c>
      <c r="C1476" s="2" t="s">
        <v>101</v>
      </c>
      <c r="D1476" s="2" t="str">
        <f t="shared" si="44"/>
        <v>Metric_Tonne_per_CCF_to_kg_per_m3</v>
      </c>
      <c r="E1476" s="3">
        <f>1000/2.83168</f>
        <v>353.14724827664145</v>
      </c>
    </row>
    <row r="1477" spans="1:5" x14ac:dyDescent="0.2">
      <c r="A1477" s="1" t="s">
        <v>27</v>
      </c>
      <c r="B1477" s="2" t="s">
        <v>137</v>
      </c>
      <c r="C1477" s="2" t="s">
        <v>140</v>
      </c>
      <c r="D1477" s="2" t="str">
        <f t="shared" si="44"/>
        <v>Metric_Tonne_per_CCF_to_kg_per_US_Gal</v>
      </c>
      <c r="E1477" s="3">
        <f>1000/748.052</f>
        <v>1.3368054627218429</v>
      </c>
    </row>
    <row r="1478" spans="1:5" x14ac:dyDescent="0.2">
      <c r="A1478" s="1" t="s">
        <v>27</v>
      </c>
      <c r="B1478" s="2" t="s">
        <v>137</v>
      </c>
      <c r="C1478" s="2" t="s">
        <v>65</v>
      </c>
      <c r="D1478" s="2" t="str">
        <f t="shared" si="44"/>
        <v>Metric_Tonne_per_CCF_to_kg_per_L</v>
      </c>
      <c r="E1478" s="3">
        <f>1000/2831.68</f>
        <v>0.35314724827664146</v>
      </c>
    </row>
    <row r="1479" spans="1:5" x14ac:dyDescent="0.2">
      <c r="A1479" s="1" t="s">
        <v>27</v>
      </c>
      <c r="B1479" s="2" t="s">
        <v>137</v>
      </c>
      <c r="C1479" s="2" t="s">
        <v>100</v>
      </c>
      <c r="D1479" s="2" t="str">
        <f t="shared" si="44"/>
        <v>Metric_Tonne_per_CCF_to_lb_per_ft3</v>
      </c>
      <c r="E1479" s="3">
        <f>2204.62/100</f>
        <v>22.046199999999999</v>
      </c>
    </row>
    <row r="1480" spans="1:5" x14ac:dyDescent="0.2">
      <c r="A1480" s="1" t="s">
        <v>27</v>
      </c>
      <c r="B1480" s="2" t="s">
        <v>137</v>
      </c>
      <c r="C1480" s="2" t="s">
        <v>99</v>
      </c>
      <c r="D1480" s="2" t="str">
        <f t="shared" si="44"/>
        <v>Metric_Tonne_per_CCF_to_lb_per_m3</v>
      </c>
      <c r="E1480" s="3">
        <f>2204.62/2.83168</f>
        <v>778.55548649564923</v>
      </c>
    </row>
    <row r="1481" spans="1:5" x14ac:dyDescent="0.2">
      <c r="A1481" s="1" t="s">
        <v>27</v>
      </c>
      <c r="B1481" s="2" t="s">
        <v>137</v>
      </c>
      <c r="C1481" s="2" t="s">
        <v>133</v>
      </c>
      <c r="D1481" s="2" t="str">
        <f>B1481 &amp; "_to_" &amp; C1481</f>
        <v>Metric_Tonne_per_CCF_to_lb_per_US_Gal</v>
      </c>
      <c r="E1481" s="3">
        <f>2204.62/748.052</f>
        <v>2.947148059225829</v>
      </c>
    </row>
    <row r="1482" spans="1:5" x14ac:dyDescent="0.2">
      <c r="A1482" s="1" t="s">
        <v>27</v>
      </c>
      <c r="B1482" s="2" t="s">
        <v>137</v>
      </c>
      <c r="C1482" s="2" t="s">
        <v>63</v>
      </c>
      <c r="D1482" s="2" t="str">
        <f>B1482 &amp; "_to_" &amp; C1482</f>
        <v>Metric_Tonne_per_CCF_to_lb_per_L</v>
      </c>
      <c r="E1482" s="3">
        <f>2204.62/2831.68</f>
        <v>0.77855548649564921</v>
      </c>
    </row>
    <row r="1483" spans="1:5" x14ac:dyDescent="0.2">
      <c r="A1483" s="1" t="s">
        <v>27</v>
      </c>
      <c r="B1483" s="2" t="s">
        <v>137</v>
      </c>
      <c r="C1483" s="2" t="s">
        <v>147</v>
      </c>
      <c r="D1483" s="2" t="str">
        <f t="shared" si="44"/>
        <v>Metric_Tonne_per_CCF_to_US_Ton_per_ft3</v>
      </c>
      <c r="E1483" s="3">
        <f>1.10231/100</f>
        <v>1.1023099999999999E-2</v>
      </c>
    </row>
    <row r="1484" spans="1:5" x14ac:dyDescent="0.2">
      <c r="A1484" s="1" t="s">
        <v>27</v>
      </c>
      <c r="B1484" s="2" t="s">
        <v>137</v>
      </c>
      <c r="C1484" s="2" t="s">
        <v>145</v>
      </c>
      <c r="D1484" s="2" t="str">
        <f t="shared" si="44"/>
        <v>Metric_Tonne_per_CCF_to_US_Ton_per_m3</v>
      </c>
      <c r="E1484" s="3">
        <f>1.10231/2.83168</f>
        <v>0.3892777432478246</v>
      </c>
    </row>
    <row r="1485" spans="1:5" x14ac:dyDescent="0.2">
      <c r="A1485" s="1" t="s">
        <v>27</v>
      </c>
      <c r="B1485" s="2" t="s">
        <v>137</v>
      </c>
      <c r="C1485" s="2" t="s">
        <v>135</v>
      </c>
      <c r="D1485" s="2" t="str">
        <f t="shared" si="44"/>
        <v>Metric_Tonne_per_CCF_to_US_Ton_per_US_Gal</v>
      </c>
      <c r="E1485" s="3">
        <f>1.10231/748.052</f>
        <v>1.4735740296129144E-3</v>
      </c>
    </row>
    <row r="1486" spans="1:5" x14ac:dyDescent="0.2">
      <c r="A1486" s="1" t="s">
        <v>27</v>
      </c>
      <c r="B1486" s="2" t="s">
        <v>137</v>
      </c>
      <c r="C1486" s="2" t="s">
        <v>136</v>
      </c>
      <c r="D1486" s="2" t="str">
        <f t="shared" si="44"/>
        <v>Metric_Tonne_per_CCF_to_US_Ton_per_L</v>
      </c>
      <c r="E1486" s="3">
        <f>1.10231/2831.68</f>
        <v>3.8927774324782461E-4</v>
      </c>
    </row>
    <row r="1487" spans="1:5" x14ac:dyDescent="0.2">
      <c r="A1487" s="1" t="s">
        <v>27</v>
      </c>
      <c r="B1487" s="2" t="s">
        <v>146</v>
      </c>
      <c r="C1487" s="2" t="s">
        <v>98</v>
      </c>
      <c r="D1487" s="2" t="str">
        <f t="shared" si="44"/>
        <v>Metric_Tonne_per_m3_to_kg_per_ft3</v>
      </c>
      <c r="E1487" s="3">
        <f>1000/35.3147</f>
        <v>28.316819907857067</v>
      </c>
    </row>
    <row r="1488" spans="1:5" x14ac:dyDescent="0.2">
      <c r="A1488" s="1" t="s">
        <v>27</v>
      </c>
      <c r="B1488" s="2" t="s">
        <v>146</v>
      </c>
      <c r="C1488" s="2" t="s">
        <v>64</v>
      </c>
      <c r="D1488" s="2" t="str">
        <f t="shared" si="44"/>
        <v>Metric_Tonne_per_m3_to_kg_per_CCF</v>
      </c>
      <c r="E1488" s="3">
        <f>1000/0.353147</f>
        <v>2831.6819907857071</v>
      </c>
    </row>
    <row r="1489" spans="1:9" x14ac:dyDescent="0.2">
      <c r="A1489" s="1" t="s">
        <v>27</v>
      </c>
      <c r="B1489" s="2" t="s">
        <v>146</v>
      </c>
      <c r="C1489" s="2" t="s">
        <v>140</v>
      </c>
      <c r="D1489" s="2" t="str">
        <f t="shared" si="44"/>
        <v>Metric_Tonne_per_m3_to_kg_per_US_Gal</v>
      </c>
      <c r="E1489" s="3">
        <f>1000/264.172</f>
        <v>3.7854125342579832</v>
      </c>
    </row>
    <row r="1490" spans="1:9" x14ac:dyDescent="0.2">
      <c r="A1490" s="1" t="s">
        <v>27</v>
      </c>
      <c r="B1490" s="2" t="s">
        <v>146</v>
      </c>
      <c r="C1490" s="2" t="s">
        <v>100</v>
      </c>
      <c r="D1490" s="2" t="str">
        <f>B1490 &amp; "_to_" &amp; C1490</f>
        <v>Metric_Tonne_per_m3_to_lb_per_ft3</v>
      </c>
      <c r="E1490" s="3">
        <f>2204.62/35.3147</f>
        <v>62.427827505259842</v>
      </c>
    </row>
    <row r="1491" spans="1:9" x14ac:dyDescent="0.2">
      <c r="A1491" s="1" t="s">
        <v>27</v>
      </c>
      <c r="B1491" s="2" t="s">
        <v>146</v>
      </c>
      <c r="C1491" s="2" t="s">
        <v>62</v>
      </c>
      <c r="D1491" s="2" t="str">
        <f>B1491 &amp; "_to_" &amp; C1491</f>
        <v>Metric_Tonne_per_m3_to_lb_per_CCF</v>
      </c>
      <c r="E1491" s="3">
        <f>2204.62/0.353147</f>
        <v>6242.7827505259847</v>
      </c>
    </row>
    <row r="1492" spans="1:9" x14ac:dyDescent="0.2">
      <c r="A1492" s="1" t="s">
        <v>27</v>
      </c>
      <c r="B1492" s="2" t="s">
        <v>146</v>
      </c>
      <c r="C1492" s="2" t="s">
        <v>133</v>
      </c>
      <c r="D1492" s="2" t="str">
        <f t="shared" si="44"/>
        <v>Metric_Tonne_per_m3_to_lb_per_US_Gal</v>
      </c>
      <c r="E1492" s="3">
        <f>2204.62/264.172</f>
        <v>8.3453961812758344</v>
      </c>
    </row>
    <row r="1493" spans="1:9" x14ac:dyDescent="0.2">
      <c r="A1493" s="1" t="s">
        <v>27</v>
      </c>
      <c r="B1493" s="2" t="s">
        <v>146</v>
      </c>
      <c r="C1493" s="2" t="s">
        <v>63</v>
      </c>
      <c r="D1493" s="2" t="str">
        <f t="shared" si="44"/>
        <v>Metric_Tonne_per_m3_to_lb_per_L</v>
      </c>
      <c r="E1493" s="3">
        <f>2204.62/1000</f>
        <v>2.2046199999999998</v>
      </c>
    </row>
    <row r="1494" spans="1:9" x14ac:dyDescent="0.2">
      <c r="A1494" s="1" t="s">
        <v>27</v>
      </c>
      <c r="B1494" s="2" t="s">
        <v>146</v>
      </c>
      <c r="C1494" s="2" t="s">
        <v>147</v>
      </c>
      <c r="D1494" s="2" t="str">
        <f t="shared" si="44"/>
        <v>Metric_Tonne_per_m3_to_US_Ton_per_ft3</v>
      </c>
      <c r="E1494" s="3">
        <f>1.10231/35.3147</f>
        <v>3.121391375262992E-2</v>
      </c>
    </row>
    <row r="1495" spans="1:9" x14ac:dyDescent="0.2">
      <c r="A1495" s="1" t="s">
        <v>27</v>
      </c>
      <c r="B1495" s="2" t="s">
        <v>146</v>
      </c>
      <c r="C1495" s="2" t="s">
        <v>134</v>
      </c>
      <c r="D1495" s="2" t="str">
        <f t="shared" si="44"/>
        <v>Metric_Tonne_per_m3_to_US_Ton_per_CCF</v>
      </c>
      <c r="E1495" s="3">
        <f>1.10231/0.353147</f>
        <v>3.1213913752629923</v>
      </c>
    </row>
    <row r="1496" spans="1:9" x14ac:dyDescent="0.2">
      <c r="A1496" s="1" t="s">
        <v>27</v>
      </c>
      <c r="B1496" s="2" t="s">
        <v>146</v>
      </c>
      <c r="C1496" s="2" t="s">
        <v>135</v>
      </c>
      <c r="D1496" s="2" t="str">
        <f t="shared" si="44"/>
        <v>Metric_Tonne_per_m3_to_US_Ton_per_US_Gal</v>
      </c>
      <c r="E1496" s="3">
        <f>1.10231/264.172</f>
        <v>4.1726980906379172E-3</v>
      </c>
    </row>
    <row r="1497" spans="1:9" x14ac:dyDescent="0.2">
      <c r="A1497" s="1" t="s">
        <v>27</v>
      </c>
      <c r="B1497" s="2" t="s">
        <v>146</v>
      </c>
      <c r="C1497" s="2" t="s">
        <v>136</v>
      </c>
      <c r="D1497" s="2" t="str">
        <f t="shared" si="44"/>
        <v>Metric_Tonne_per_m3_to_US_Ton_per_L</v>
      </c>
      <c r="E1497" s="3">
        <f>1.10231/1000</f>
        <v>1.10231E-3</v>
      </c>
    </row>
    <row r="1498" spans="1:9" x14ac:dyDescent="0.2">
      <c r="A1498" s="1" t="s">
        <v>27</v>
      </c>
      <c r="B1498" s="2" t="s">
        <v>138</v>
      </c>
      <c r="C1498" s="2" t="s">
        <v>98</v>
      </c>
      <c r="D1498" s="2" t="str">
        <f t="shared" si="44"/>
        <v>Metric_Tonne_per_US_Gal_to_kg_per_ft3</v>
      </c>
      <c r="E1498" s="3">
        <f>1000/0.133681</f>
        <v>7480.4946103036336</v>
      </c>
    </row>
    <row r="1499" spans="1:9" x14ac:dyDescent="0.2">
      <c r="A1499" s="1" t="s">
        <v>27</v>
      </c>
      <c r="B1499" s="2" t="s">
        <v>138</v>
      </c>
      <c r="C1499" s="2" t="s">
        <v>64</v>
      </c>
      <c r="D1499" s="2" t="str">
        <f t="shared" si="44"/>
        <v>Metric_Tonne_per_US_Gal_to_kg_per_CCF</v>
      </c>
      <c r="E1499" s="3">
        <f>1000/0.00133681</f>
        <v>748049.46103036334</v>
      </c>
      <c r="I1499" s="4"/>
    </row>
    <row r="1500" spans="1:9" x14ac:dyDescent="0.2">
      <c r="A1500" s="1" t="s">
        <v>27</v>
      </c>
      <c r="B1500" s="2" t="s">
        <v>138</v>
      </c>
      <c r="C1500" s="2" t="s">
        <v>101</v>
      </c>
      <c r="D1500" s="2" t="str">
        <f>B1500 &amp; "_to_" &amp; C1500</f>
        <v>Metric_Tonne_per_US_Gal_to_kg_per_m3</v>
      </c>
      <c r="E1500" s="3">
        <f>1000/0.00378541</f>
        <v>264172.17685798899</v>
      </c>
    </row>
    <row r="1501" spans="1:9" x14ac:dyDescent="0.2">
      <c r="A1501" s="1" t="s">
        <v>27</v>
      </c>
      <c r="B1501" s="2" t="s">
        <v>138</v>
      </c>
      <c r="C1501" s="2" t="s">
        <v>65</v>
      </c>
      <c r="D1501" s="2" t="str">
        <f>B1501 &amp; "_to_" &amp; C1501</f>
        <v>Metric_Tonne_per_US_Gal_to_kg_per_L</v>
      </c>
      <c r="E1501" s="3">
        <f>1000/3.78541</f>
        <v>264.17217685798897</v>
      </c>
    </row>
    <row r="1502" spans="1:9" x14ac:dyDescent="0.2">
      <c r="A1502" s="1" t="s">
        <v>27</v>
      </c>
      <c r="B1502" s="2" t="s">
        <v>138</v>
      </c>
      <c r="C1502" s="2" t="s">
        <v>100</v>
      </c>
      <c r="D1502" s="2" t="str">
        <f t="shared" si="44"/>
        <v>Metric_Tonne_per_US_Gal_to_lb_per_ft3</v>
      </c>
      <c r="E1502" s="3">
        <f>2204.62/0.133681</f>
        <v>16491.648027767595</v>
      </c>
    </row>
    <row r="1503" spans="1:9" x14ac:dyDescent="0.2">
      <c r="A1503" s="1" t="s">
        <v>27</v>
      </c>
      <c r="B1503" s="2" t="s">
        <v>138</v>
      </c>
      <c r="C1503" s="2" t="s">
        <v>62</v>
      </c>
      <c r="D1503" s="2" t="str">
        <f t="shared" si="44"/>
        <v>Metric_Tonne_per_US_Gal_to_lb_per_CCF</v>
      </c>
      <c r="E1503" s="3">
        <f>2204.62/0.00133681</f>
        <v>1649164.8027767597</v>
      </c>
    </row>
    <row r="1504" spans="1:9" x14ac:dyDescent="0.2">
      <c r="A1504" s="1" t="s">
        <v>27</v>
      </c>
      <c r="B1504" s="2" t="s">
        <v>138</v>
      </c>
      <c r="C1504" s="2" t="s">
        <v>99</v>
      </c>
      <c r="D1504" s="2" t="str">
        <f t="shared" si="44"/>
        <v>Metric_Tonne_per_US_Gal_to_lb_per_m3</v>
      </c>
      <c r="E1504" s="3">
        <f>2204.62/0.00378541</f>
        <v>582399.26454465964</v>
      </c>
    </row>
    <row r="1505" spans="1:5" x14ac:dyDescent="0.2">
      <c r="A1505" s="1" t="s">
        <v>27</v>
      </c>
      <c r="B1505" s="2" t="s">
        <v>138</v>
      </c>
      <c r="C1505" s="2" t="s">
        <v>63</v>
      </c>
      <c r="D1505" s="2" t="str">
        <f t="shared" si="44"/>
        <v>Metric_Tonne_per_US_Gal_to_lb_per_L</v>
      </c>
      <c r="E1505" s="3">
        <f>2204.62/3.78541</f>
        <v>582.39926454465956</v>
      </c>
    </row>
    <row r="1506" spans="1:5" x14ac:dyDescent="0.2">
      <c r="A1506" s="1" t="s">
        <v>27</v>
      </c>
      <c r="B1506" s="2" t="s">
        <v>138</v>
      </c>
      <c r="C1506" s="2" t="s">
        <v>147</v>
      </c>
      <c r="D1506" s="2" t="str">
        <f t="shared" si="44"/>
        <v>Metric_Tonne_per_US_Gal_to_US_Ton_per_ft3</v>
      </c>
      <c r="E1506" s="3">
        <f>1.10231/0.133681</f>
        <v>8.2458240138837979</v>
      </c>
    </row>
    <row r="1507" spans="1:5" x14ac:dyDescent="0.2">
      <c r="A1507" s="1" t="s">
        <v>27</v>
      </c>
      <c r="B1507" s="2" t="s">
        <v>138</v>
      </c>
      <c r="C1507" s="2" t="s">
        <v>134</v>
      </c>
      <c r="D1507" s="2" t="str">
        <f t="shared" si="44"/>
        <v>Metric_Tonne_per_US_Gal_to_US_Ton_per_CCF</v>
      </c>
      <c r="E1507" s="3">
        <f>1.10231/0.00133681</f>
        <v>824.58240138837982</v>
      </c>
    </row>
    <row r="1508" spans="1:5" x14ac:dyDescent="0.2">
      <c r="A1508" s="1" t="s">
        <v>27</v>
      </c>
      <c r="B1508" s="2" t="s">
        <v>138</v>
      </c>
      <c r="C1508" s="2" t="s">
        <v>145</v>
      </c>
      <c r="D1508" s="2" t="str">
        <f t="shared" ref="D1508:D1521" si="45">B1508 &amp; "_to_" &amp; C1508</f>
        <v>Metric_Tonne_per_US_Gal_to_US_Ton_per_m3</v>
      </c>
      <c r="E1508" s="3">
        <f>1.10231/0.00378541</f>
        <v>291.19963227232978</v>
      </c>
    </row>
    <row r="1509" spans="1:5" x14ac:dyDescent="0.2">
      <c r="A1509" s="1" t="s">
        <v>27</v>
      </c>
      <c r="B1509" s="2" t="s">
        <v>138</v>
      </c>
      <c r="C1509" s="2" t="s">
        <v>136</v>
      </c>
      <c r="D1509" s="2" t="str">
        <f t="shared" si="45"/>
        <v>Metric_Tonne_per_US_Gal_to_US_Ton_per_L</v>
      </c>
      <c r="E1509" s="3">
        <f>1.10231/3.78541</f>
        <v>0.29119963227232976</v>
      </c>
    </row>
    <row r="1510" spans="1:5" x14ac:dyDescent="0.2">
      <c r="A1510" s="1" t="s">
        <v>27</v>
      </c>
      <c r="B1510" s="2" t="s">
        <v>139</v>
      </c>
      <c r="C1510" s="2" t="s">
        <v>98</v>
      </c>
      <c r="D1510" s="2" t="str">
        <f t="shared" si="45"/>
        <v>Metric_Tonne_per_L_to_kg_per_ft3</v>
      </c>
      <c r="E1510" s="3">
        <f>1000/0.0353147</f>
        <v>28316.819907857069</v>
      </c>
    </row>
    <row r="1511" spans="1:5" x14ac:dyDescent="0.2">
      <c r="A1511" s="1" t="s">
        <v>27</v>
      </c>
      <c r="B1511" s="2" t="s">
        <v>139</v>
      </c>
      <c r="C1511" s="2" t="s">
        <v>64</v>
      </c>
      <c r="D1511" s="2" t="str">
        <f t="shared" si="45"/>
        <v>Metric_Tonne_per_L_to_kg_per_CCF</v>
      </c>
      <c r="E1511" s="3">
        <f>1000/0.000353147</f>
        <v>2831681.9907857068</v>
      </c>
    </row>
    <row r="1512" spans="1:5" x14ac:dyDescent="0.2">
      <c r="A1512" s="1" t="s">
        <v>27</v>
      </c>
      <c r="B1512" s="2" t="s">
        <v>139</v>
      </c>
      <c r="C1512" s="2" t="s">
        <v>101</v>
      </c>
      <c r="D1512" s="2" t="str">
        <f t="shared" si="45"/>
        <v>Metric_Tonne_per_L_to_kg_per_m3</v>
      </c>
      <c r="E1512" s="3">
        <f>1000/0.001</f>
        <v>1000000</v>
      </c>
    </row>
    <row r="1513" spans="1:5" x14ac:dyDescent="0.2">
      <c r="A1513" s="1" t="s">
        <v>27</v>
      </c>
      <c r="B1513" s="2" t="s">
        <v>139</v>
      </c>
      <c r="C1513" s="2" t="s">
        <v>140</v>
      </c>
      <c r="D1513" s="2" t="str">
        <f t="shared" si="45"/>
        <v>Metric_Tonne_per_L_to_kg_per_US_Gal</v>
      </c>
      <c r="E1513" s="3">
        <f>1000/0.264172</f>
        <v>3785.4125342579832</v>
      </c>
    </row>
    <row r="1514" spans="1:5" x14ac:dyDescent="0.2">
      <c r="A1514" s="1" t="s">
        <v>27</v>
      </c>
      <c r="B1514" s="2" t="s">
        <v>139</v>
      </c>
      <c r="C1514" s="2" t="s">
        <v>100</v>
      </c>
      <c r="D1514" s="2" t="str">
        <f t="shared" si="45"/>
        <v>Metric_Tonne_per_L_to_lb_per_ft3</v>
      </c>
      <c r="E1514" s="3">
        <f>2204.62/0.0353147</f>
        <v>62427.827505259847</v>
      </c>
    </row>
    <row r="1515" spans="1:5" x14ac:dyDescent="0.2">
      <c r="A1515" s="1" t="s">
        <v>27</v>
      </c>
      <c r="B1515" s="2" t="s">
        <v>139</v>
      </c>
      <c r="C1515" s="2" t="s">
        <v>62</v>
      </c>
      <c r="D1515" s="2" t="str">
        <f t="shared" si="45"/>
        <v>Metric_Tonne_per_L_to_lb_per_CCF</v>
      </c>
      <c r="E1515" s="3">
        <f>2204.62/0.000353147</f>
        <v>6242782.7505259849</v>
      </c>
    </row>
    <row r="1516" spans="1:5" x14ac:dyDescent="0.2">
      <c r="A1516" s="1" t="s">
        <v>27</v>
      </c>
      <c r="B1516" s="2" t="s">
        <v>139</v>
      </c>
      <c r="C1516" s="2" t="s">
        <v>99</v>
      </c>
      <c r="D1516" s="2" t="str">
        <f t="shared" si="45"/>
        <v>Metric_Tonne_per_L_to_lb_per_m3</v>
      </c>
      <c r="E1516" s="3">
        <f>2204.62/0.001</f>
        <v>2204620</v>
      </c>
    </row>
    <row r="1517" spans="1:5" x14ac:dyDescent="0.2">
      <c r="A1517" s="1" t="s">
        <v>27</v>
      </c>
      <c r="B1517" s="2" t="s">
        <v>139</v>
      </c>
      <c r="C1517" s="2" t="s">
        <v>133</v>
      </c>
      <c r="D1517" s="2" t="str">
        <f t="shared" si="45"/>
        <v>Metric_Tonne_per_L_to_lb_per_US_Gal</v>
      </c>
      <c r="E1517" s="3">
        <f>2204.62/0.264172</f>
        <v>8345.3961812758353</v>
      </c>
    </row>
    <row r="1518" spans="1:5" x14ac:dyDescent="0.2">
      <c r="A1518" s="1" t="s">
        <v>27</v>
      </c>
      <c r="B1518" s="2" t="s">
        <v>139</v>
      </c>
      <c r="C1518" s="2" t="s">
        <v>147</v>
      </c>
      <c r="D1518" s="2" t="str">
        <f t="shared" si="45"/>
        <v>Metric_Tonne_per_L_to_US_Ton_per_ft3</v>
      </c>
      <c r="E1518" s="3">
        <f>1.10231/0.0353147</f>
        <v>31.213913752629924</v>
      </c>
    </row>
    <row r="1519" spans="1:5" x14ac:dyDescent="0.2">
      <c r="A1519" s="1" t="s">
        <v>27</v>
      </c>
      <c r="B1519" s="2" t="s">
        <v>139</v>
      </c>
      <c r="C1519" s="2" t="s">
        <v>134</v>
      </c>
      <c r="D1519" s="2" t="str">
        <f t="shared" si="45"/>
        <v>Metric_Tonne_per_L_to_US_Ton_per_CCF</v>
      </c>
      <c r="E1519" s="3">
        <f>1.10231/0.000353147</f>
        <v>3121.3913752629924</v>
      </c>
    </row>
    <row r="1520" spans="1:5" x14ac:dyDescent="0.2">
      <c r="A1520" s="1" t="s">
        <v>27</v>
      </c>
      <c r="B1520" s="2" t="s">
        <v>139</v>
      </c>
      <c r="C1520" s="2" t="s">
        <v>145</v>
      </c>
      <c r="D1520" s="2" t="str">
        <f t="shared" si="45"/>
        <v>Metric_Tonne_per_L_to_US_Ton_per_m3</v>
      </c>
      <c r="E1520" s="3">
        <f>1.10231/0.001</f>
        <v>1102.31</v>
      </c>
    </row>
    <row r="1521" spans="1:8" x14ac:dyDescent="0.2">
      <c r="A1521" s="1" t="s">
        <v>27</v>
      </c>
      <c r="B1521" s="2" t="s">
        <v>139</v>
      </c>
      <c r="C1521" s="2" t="s">
        <v>135</v>
      </c>
      <c r="D1521" s="2" t="str">
        <f t="shared" si="45"/>
        <v>Metric_Tonne_per_L_to_US_Ton_per_US_Gal</v>
      </c>
      <c r="E1521" s="3">
        <f>1.10231/0.264172</f>
        <v>4.1726980906379172</v>
      </c>
      <c r="H1521" s="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1E97-07A8-6747-A12E-7E4C25523A3A}">
  <sheetPr codeName="Sheet2"/>
  <dimension ref="A1:D8"/>
  <sheetViews>
    <sheetView workbookViewId="0">
      <selection activeCell="H8" sqref="H8"/>
    </sheetView>
  </sheetViews>
  <sheetFormatPr baseColWidth="10" defaultRowHeight="16" x14ac:dyDescent="0.2"/>
  <cols>
    <col min="1" max="1" width="18.83203125" customWidth="1"/>
    <col min="2" max="2" width="13.83203125" customWidth="1"/>
    <col min="3" max="3" width="16.5" customWidth="1"/>
    <col min="4" max="4" width="15.6640625" customWidth="1"/>
  </cols>
  <sheetData>
    <row r="1" spans="1:4" ht="20" customHeight="1" x14ac:dyDescent="0.2">
      <c r="A1" s="12" t="s">
        <v>20</v>
      </c>
      <c r="B1" s="13" t="s">
        <v>129</v>
      </c>
      <c r="C1" s="13" t="s">
        <v>149</v>
      </c>
      <c r="D1" s="14" t="s">
        <v>150</v>
      </c>
    </row>
    <row r="2" spans="1:4" x14ac:dyDescent="0.2">
      <c r="A2" s="9" t="s">
        <v>21</v>
      </c>
      <c r="B2" s="15">
        <v>0.13715624000000001</v>
      </c>
      <c r="C2" s="16">
        <v>7.2843680000000003E-3</v>
      </c>
      <c r="D2" s="17">
        <v>5.3109999999999997E-2</v>
      </c>
    </row>
    <row r="3" spans="1:4" x14ac:dyDescent="0.2">
      <c r="A3" s="10" t="s">
        <v>22</v>
      </c>
      <c r="B3" s="18">
        <v>91.404499999999999</v>
      </c>
      <c r="C3" s="16">
        <v>5.8727391249999998</v>
      </c>
      <c r="D3" s="17">
        <v>6.4250000000000002E-2</v>
      </c>
    </row>
    <row r="4" spans="1:4" ht="30" x14ac:dyDescent="0.2">
      <c r="A4" s="10" t="s">
        <v>151</v>
      </c>
      <c r="B4" s="18">
        <v>139.10499999999999</v>
      </c>
      <c r="C4" s="16">
        <v>10.2242175</v>
      </c>
      <c r="D4" s="17">
        <v>7.3499999999999996E-2</v>
      </c>
    </row>
    <row r="5" spans="1:4" ht="30" x14ac:dyDescent="0.2">
      <c r="A5" s="10" t="s">
        <v>152</v>
      </c>
      <c r="B5" s="18">
        <v>138.60499999999999</v>
      </c>
      <c r="C5" s="16">
        <v>10.28587705</v>
      </c>
      <c r="D5" s="17">
        <v>7.4209999999999998E-2</v>
      </c>
    </row>
    <row r="6" spans="1:4" ht="22" customHeight="1" x14ac:dyDescent="0.2">
      <c r="A6" s="10" t="s">
        <v>153</v>
      </c>
      <c r="B6" s="15">
        <v>146</v>
      </c>
      <c r="C6" s="16">
        <v>10.99234</v>
      </c>
      <c r="D6" s="17">
        <v>7.5289999999999996E-2</v>
      </c>
    </row>
    <row r="7" spans="1:4" ht="20" customHeight="1" x14ac:dyDescent="0.2">
      <c r="A7" s="10" t="s">
        <v>23</v>
      </c>
      <c r="B7" s="18">
        <v>151.571</v>
      </c>
      <c r="C7" s="16">
        <v>11.24808391</v>
      </c>
      <c r="D7" s="17">
        <v>7.4209999999999998E-2</v>
      </c>
    </row>
    <row r="8" spans="1:4" ht="180" customHeight="1" thickBot="1" x14ac:dyDescent="0.25">
      <c r="A8" s="11" t="s">
        <v>28</v>
      </c>
      <c r="B8" s="6" t="s">
        <v>24</v>
      </c>
      <c r="C8" s="7" t="s">
        <v>29</v>
      </c>
      <c r="D8" s="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Conversion_Rates</vt:lpstr>
      <vt:lpstr>Energy_Star_Scope_1_Constants</vt:lpstr>
      <vt:lpstr>Diesel_kBtu_per_US_Gal</vt:lpstr>
      <vt:lpstr>Diesel_kg_CO2_per_kBtu</vt:lpstr>
      <vt:lpstr>Diesel_kg_CO2_per_US_Gal</vt:lpstr>
      <vt:lpstr>Fuel_Oil__No_1__kBtu_per_US_Gal</vt:lpstr>
      <vt:lpstr>Fuel_Oil__No_1__kg_CO2_per_kBtu</vt:lpstr>
      <vt:lpstr>Fuel_Oil__No_1__kg_CO2_per_US_Gal</vt:lpstr>
      <vt:lpstr>Fuel_Oil__No_2__kBtu_per_US_Gal</vt:lpstr>
      <vt:lpstr>Fuel_Oil__No_2__kg_CO2_per_kBtu</vt:lpstr>
      <vt:lpstr>Fuel_Oil__No_2__kg_CO2_per_US_Gal</vt:lpstr>
      <vt:lpstr>Fuel_Oil__No_4__kBtu_per_US_Gal</vt:lpstr>
      <vt:lpstr>Fuel_Oil__No_4__kg_CO2_per_kBtu</vt:lpstr>
      <vt:lpstr>Fuel_Oil__No_4__kg_CO2_per_US_Gal</vt:lpstr>
      <vt:lpstr>Gas_kBtu_per_US_Gal</vt:lpstr>
      <vt:lpstr>Gas_kg_CO2_per_kBtu</vt:lpstr>
      <vt:lpstr>Gas_kg_CO2_per_US_Gal</vt:lpstr>
      <vt:lpstr>Propane_kBtu_per_US_Gal</vt:lpstr>
      <vt:lpstr>Propane_kg_CO2_per_kBtu</vt:lpstr>
      <vt:lpstr>Propane_kg_CO2_per_US_Gal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Kahhaleh</dc:creator>
  <cp:lastModifiedBy>Abd Kahhaleh</cp:lastModifiedBy>
  <dcterms:created xsi:type="dcterms:W3CDTF">2024-01-08T12:02:59Z</dcterms:created>
  <dcterms:modified xsi:type="dcterms:W3CDTF">2024-01-08T19:14:13Z</dcterms:modified>
</cp:coreProperties>
</file>