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15" windowWidth="18195" windowHeight="11850" tabRatio="892"/>
  </bookViews>
  <sheets>
    <sheet name="Instructions" sheetId="19" r:id="rId1"/>
    <sheet name="Inputs" sheetId="10" r:id="rId2"/>
    <sheet name="Health results" sheetId="31" r:id="rId3"/>
    <sheet name="Active transport" sheetId="12" r:id="rId4"/>
    <sheet name="Baseline" sheetId="11" r:id="rId5"/>
    <sheet name="Scenario" sheetId="20" r:id="rId6"/>
    <sheet name="Phy activity RRs" sheetId="18" r:id="rId7"/>
    <sheet name="Non-travel METs" sheetId="16" r:id="rId8"/>
    <sheet name="Breast cancer" sheetId="21" r:id="rId9"/>
    <sheet name="CVD" sheetId="22" r:id="rId10"/>
    <sheet name="Colon cancer" sheetId="17" r:id="rId11"/>
    <sheet name="Diabetes" sheetId="27" r:id="rId12"/>
    <sheet name="Dementia" sheetId="24" r:id="rId13"/>
    <sheet name="Depression" sheetId="30" r:id="rId14"/>
    <sheet name="CHTS 2013" sheetId="13" r:id="rId15"/>
    <sheet name="Census 2010 SF1" sheetId="6" r:id="rId16"/>
    <sheet name="CA DOF 2035" sheetId="14" r:id="rId17"/>
    <sheet name="GBDUS" sheetId="3" r:id="rId18"/>
    <sheet name="Old inputs" sheetId="33" state="hidden" r:id="rId19"/>
    <sheet name="CHIS" sheetId="15" state="hidden" r:id="rId20"/>
  </sheets>
  <externalReferences>
    <externalReference r:id="rId21"/>
    <externalReference r:id="rId22"/>
  </externalReferences>
  <definedNames>
    <definedName name="_Parse_In" localSheetId="8" hidden="1">'[1]1997'!#REF!</definedName>
    <definedName name="_Parse_In" localSheetId="9" hidden="1">'[1]1997'!#REF!</definedName>
    <definedName name="_Parse_In" localSheetId="12" hidden="1">'[1]1997'!#REF!</definedName>
    <definedName name="_Parse_In" localSheetId="13" hidden="1">'[1]1997'!#REF!</definedName>
    <definedName name="_Parse_In" localSheetId="11" hidden="1">'[1]1997'!#REF!</definedName>
    <definedName name="_Parse_In" localSheetId="7" hidden="1">'[1]1997'!#REF!</definedName>
    <definedName name="_Parse_In" localSheetId="18" hidden="1">'[1]1997'!#REF!</definedName>
    <definedName name="_Parse_In" localSheetId="6" hidden="1">'[1]1997'!#REF!</definedName>
    <definedName name="_Parse_In" localSheetId="5" hidden="1">'[1]1997'!#REF!</definedName>
    <definedName name="_Parse_In" hidden="1">'[1]1997'!#REF!</definedName>
    <definedName name="j" localSheetId="3" hidden="1">{#N/A,#N/A,FALSE,"inopert";#N/A,#N/A,FALSE,"electrified";#N/A,#N/A,FALSE,"network"}</definedName>
    <definedName name="j" localSheetId="4" hidden="1">{#N/A,#N/A,FALSE,"inopert";#N/A,#N/A,FALSE,"electrified";#N/A,#N/A,FALSE,"network"}</definedName>
    <definedName name="j" localSheetId="7" hidden="1">{#N/A,#N/A,FALSE,"inopert";#N/A,#N/A,FALSE,"electrified";#N/A,#N/A,FALSE,"network"}</definedName>
    <definedName name="j" localSheetId="6" hidden="1">{#N/A,#N/A,FALSE,"inopert";#N/A,#N/A,FALSE,"electrified";#N/A,#N/A,FALSE,"network"}</definedName>
    <definedName name="j" localSheetId="5" hidden="1">{#N/A,#N/A,FALSE,"inopert";#N/A,#N/A,FALSE,"electrified";#N/A,#N/A,FALSE,"network"}</definedName>
    <definedName name="j" hidden="1">{#N/A,#N/A,FALSE,"inopert";#N/A,#N/A,FALSE,"electrified";#N/A,#N/A,FALSE,"network"}</definedName>
    <definedName name="jj" localSheetId="3" hidden="1">{#N/A,#N/A,FALSE,"inopert";#N/A,#N/A,FALSE,"electrified";#N/A,#N/A,FALSE,"network"}</definedName>
    <definedName name="jj" localSheetId="4" hidden="1">{#N/A,#N/A,FALSE,"inopert";#N/A,#N/A,FALSE,"electrified";#N/A,#N/A,FALSE,"network"}</definedName>
    <definedName name="jj" localSheetId="7" hidden="1">{#N/A,#N/A,FALSE,"inopert";#N/A,#N/A,FALSE,"electrified";#N/A,#N/A,FALSE,"network"}</definedName>
    <definedName name="jj" localSheetId="6" hidden="1">{#N/A,#N/A,FALSE,"inopert";#N/A,#N/A,FALSE,"electrified";#N/A,#N/A,FALSE,"network"}</definedName>
    <definedName name="jj" localSheetId="5" hidden="1">{#N/A,#N/A,FALSE,"inopert";#N/A,#N/A,FALSE,"electrified";#N/A,#N/A,FALSE,"network"}</definedName>
    <definedName name="jj" hidden="1">{#N/A,#N/A,FALSE,"inopert";#N/A,#N/A,FALSE,"electrified";#N/A,#N/A,FALSE,"network"}</definedName>
    <definedName name="jk" localSheetId="3" hidden="1">{#N/A,#N/A,FALSE,"inopert";#N/A,#N/A,FALSE,"electrified";#N/A,#N/A,FALSE,"network"}</definedName>
    <definedName name="jk" localSheetId="4" hidden="1">{#N/A,#N/A,FALSE,"inopert";#N/A,#N/A,FALSE,"electrified";#N/A,#N/A,FALSE,"network"}</definedName>
    <definedName name="jk" localSheetId="7" hidden="1">{#N/A,#N/A,FALSE,"inopert";#N/A,#N/A,FALSE,"electrified";#N/A,#N/A,FALSE,"network"}</definedName>
    <definedName name="jk" localSheetId="6" hidden="1">{#N/A,#N/A,FALSE,"inopert";#N/A,#N/A,FALSE,"electrified";#N/A,#N/A,FALSE,"network"}</definedName>
    <definedName name="jk" localSheetId="5" hidden="1">{#N/A,#N/A,FALSE,"inopert";#N/A,#N/A,FALSE,"electrified";#N/A,#N/A,FALSE,"network"}</definedName>
    <definedName name="jk" hidden="1">{#N/A,#N/A,FALSE,"inopert";#N/A,#N/A,FALSE,"electrified";#N/A,#N/A,FALSE,"network"}</definedName>
    <definedName name="wrn.flifted." localSheetId="3" hidden="1">{#N/A,#N/A,FALSE,"Summary";#N/A,#N/A,FALSE,"road";#N/A,#N/A,FALSE,"raillifted";#N/A,#N/A,FALSE,"inlandwaterway";#N/A,#N/A,FALSE,"seagoing";#N/A,#N/A,FALSE,"pipeline"}</definedName>
    <definedName name="wrn.flifted." localSheetId="4" hidden="1">{#N/A,#N/A,FALSE,"Summary";#N/A,#N/A,FALSE,"road";#N/A,#N/A,FALSE,"raillifted";#N/A,#N/A,FALSE,"inlandwaterway";#N/A,#N/A,FALSE,"seagoing";#N/A,#N/A,FALSE,"pipeline"}</definedName>
    <definedName name="wrn.flifted." localSheetId="7" hidden="1">{#N/A,#N/A,FALSE,"Summary";#N/A,#N/A,FALSE,"road";#N/A,#N/A,FALSE,"raillifted";#N/A,#N/A,FALSE,"inlandwaterway";#N/A,#N/A,FALSE,"seagoing";#N/A,#N/A,FALSE,"pipeline"}</definedName>
    <definedName name="wrn.flifted." localSheetId="6" hidden="1">{#N/A,#N/A,FALSE,"Summary";#N/A,#N/A,FALSE,"road";#N/A,#N/A,FALSE,"raillifted";#N/A,#N/A,FALSE,"inlandwaterway";#N/A,#N/A,FALSE,"seagoing";#N/A,#N/A,FALSE,"pipeline"}</definedName>
    <definedName name="wrn.flifted." localSheetId="5" hidden="1">{#N/A,#N/A,FALSE,"Summary";#N/A,#N/A,FALSE,"road";#N/A,#N/A,FALSE,"raillifted";#N/A,#N/A,FALSE,"inlandwaterway";#N/A,#N/A,FALSE,"seagoing";#N/A,#N/A,FALSE,"pipeline"}</definedName>
    <definedName name="wrn.flifted." hidden="1">{#N/A,#N/A,FALSE,"Summary";#N/A,#N/A,FALSE,"road";#N/A,#N/A,FALSE,"raillifted";#N/A,#N/A,FALSE,"inlandwaterway";#N/A,#N/A,FALSE,"seagoing";#N/A,#N/A,FALSE,"pipeline"}</definedName>
    <definedName name="wrn.fmoved." localSheetId="3" hidden="1">{#N/A,#N/A,FALSE,"road";#N/A,#N/A,FALSE,"inlandwaterway";#N/A,#N/A,FALSE,"seagoing";#N/A,#N/A,FALSE,"pipeline"}</definedName>
    <definedName name="wrn.fmoved." localSheetId="4" hidden="1">{#N/A,#N/A,FALSE,"road";#N/A,#N/A,FALSE,"inlandwaterway";#N/A,#N/A,FALSE,"seagoing";#N/A,#N/A,FALSE,"pipeline"}</definedName>
    <definedName name="wrn.fmoved." localSheetId="7" hidden="1">{#N/A,#N/A,FALSE,"road";#N/A,#N/A,FALSE,"inlandwaterway";#N/A,#N/A,FALSE,"seagoing";#N/A,#N/A,FALSE,"pipeline"}</definedName>
    <definedName name="wrn.fmoved." localSheetId="6" hidden="1">{#N/A,#N/A,FALSE,"road";#N/A,#N/A,FALSE,"inlandwaterway";#N/A,#N/A,FALSE,"seagoing";#N/A,#N/A,FALSE,"pipeline"}</definedName>
    <definedName name="wrn.fmoved." localSheetId="5" hidden="1">{#N/A,#N/A,FALSE,"road";#N/A,#N/A,FALSE,"inlandwaterway";#N/A,#N/A,FALSE,"seagoing";#N/A,#N/A,FALSE,"pipeline"}</definedName>
    <definedName name="wrn.fmoved." hidden="1">{#N/A,#N/A,FALSE,"road";#N/A,#N/A,FALSE,"inlandwaterway";#N/A,#N/A,FALSE,"seagoing";#N/A,#N/A,FALSE,"pipeline"}</definedName>
    <definedName name="wrn.rail." localSheetId="3" hidden="1">{#N/A,#N/A,FALSE,"inopert";#N/A,#N/A,FALSE,"electrified";#N/A,#N/A,FALSE,"network"}</definedName>
    <definedName name="wrn.rail." localSheetId="4" hidden="1">{#N/A,#N/A,FALSE,"inopert";#N/A,#N/A,FALSE,"electrified";#N/A,#N/A,FALSE,"network"}</definedName>
    <definedName name="wrn.rail." localSheetId="7" hidden="1">{#N/A,#N/A,FALSE,"inopert";#N/A,#N/A,FALSE,"electrified";#N/A,#N/A,FALSE,"network"}</definedName>
    <definedName name="wrn.rail." localSheetId="6" hidden="1">{#N/A,#N/A,FALSE,"inopert";#N/A,#N/A,FALSE,"electrified";#N/A,#N/A,FALSE,"network"}</definedName>
    <definedName name="wrn.rail." localSheetId="5" hidden="1">{#N/A,#N/A,FALSE,"inopert";#N/A,#N/A,FALSE,"electrified";#N/A,#N/A,FALSE,"network"}</definedName>
    <definedName name="wrn.rail." hidden="1">{#N/A,#N/A,FALSE,"inopert";#N/A,#N/A,FALSE,"electrified";#N/A,#N/A,FALSE,"network"}</definedName>
  </definedNames>
  <calcPr calcId="145621"/>
  <pivotCaches>
    <pivotCache cacheId="1" r:id="rId23"/>
  </pivotCaches>
</workbook>
</file>

<file path=xl/calcChain.xml><?xml version="1.0" encoding="utf-8"?>
<calcChain xmlns="http://schemas.openxmlformats.org/spreadsheetml/2006/main">
  <c r="H7" i="10" l="1"/>
  <c r="G7" i="10"/>
  <c r="F7" i="10"/>
  <c r="E7" i="10"/>
  <c r="D7" i="10"/>
  <c r="H6" i="10"/>
  <c r="G6" i="10"/>
  <c r="F6" i="10"/>
  <c r="E6" i="10"/>
  <c r="D6" i="10"/>
  <c r="D18" i="10"/>
  <c r="E18" i="10"/>
  <c r="F18" i="10"/>
  <c r="G18" i="10"/>
  <c r="H18" i="10"/>
  <c r="L18" i="10"/>
  <c r="M18" i="10"/>
  <c r="N18" i="10"/>
  <c r="O18" i="10"/>
  <c r="P18" i="10"/>
  <c r="D19" i="10"/>
  <c r="E19" i="10"/>
  <c r="F19" i="10"/>
  <c r="G19" i="10"/>
  <c r="H19" i="10"/>
  <c r="L19" i="10"/>
  <c r="M19" i="10"/>
  <c r="N19" i="10"/>
  <c r="O19" i="10"/>
  <c r="P19" i="10"/>
  <c r="D27" i="10"/>
  <c r="E27" i="10"/>
  <c r="F27" i="10"/>
  <c r="G27" i="10"/>
  <c r="H27" i="10"/>
  <c r="D28" i="10"/>
  <c r="E28" i="10"/>
  <c r="F28" i="10"/>
  <c r="G28" i="10"/>
  <c r="H28" i="10"/>
  <c r="D36" i="10"/>
  <c r="E36" i="10"/>
  <c r="F36" i="10"/>
  <c r="G36" i="10"/>
  <c r="H36" i="10"/>
  <c r="D37" i="10"/>
  <c r="E37" i="10"/>
  <c r="F37" i="10"/>
  <c r="G37" i="10"/>
  <c r="H37" i="10"/>
  <c r="D45" i="10"/>
  <c r="E45" i="10"/>
  <c r="F45" i="10"/>
  <c r="G45" i="10"/>
  <c r="H45" i="10"/>
  <c r="D46" i="10"/>
  <c r="E46" i="10"/>
  <c r="F46" i="10"/>
  <c r="G46" i="10"/>
  <c r="H46" i="10"/>
  <c r="D54" i="10"/>
  <c r="E54" i="10"/>
  <c r="F54" i="10"/>
  <c r="G54" i="10"/>
  <c r="H54" i="10"/>
  <c r="D55" i="10"/>
  <c r="E55" i="10"/>
  <c r="F55" i="10"/>
  <c r="G55" i="10"/>
  <c r="H55" i="10"/>
  <c r="G40" i="33"/>
  <c r="F40" i="33"/>
  <c r="E40" i="33"/>
  <c r="D40" i="33"/>
  <c r="G39" i="33"/>
  <c r="F39" i="33"/>
  <c r="E39" i="33"/>
  <c r="D39" i="33"/>
  <c r="G38" i="33"/>
  <c r="F38" i="33"/>
  <c r="E38" i="33"/>
  <c r="F14" i="33" s="1"/>
  <c r="F20" i="33" s="1"/>
  <c r="D38" i="33"/>
  <c r="D19" i="33"/>
  <c r="H19" i="33" s="1"/>
  <c r="H17" i="33" s="1"/>
  <c r="G18" i="33"/>
  <c r="D18" i="33"/>
  <c r="F18" i="33" s="1"/>
  <c r="D17" i="33"/>
  <c r="H15" i="33"/>
  <c r="F15" i="33"/>
  <c r="D15" i="33"/>
  <c r="E15" i="33" s="1"/>
  <c r="H14" i="33"/>
  <c r="H20" i="33" s="1"/>
  <c r="E14" i="33"/>
  <c r="E20" i="33" s="1"/>
  <c r="D14" i="33"/>
  <c r="D20" i="33" s="1"/>
  <c r="I10" i="33"/>
  <c r="I9" i="33"/>
  <c r="I7" i="33" s="1"/>
  <c r="H6" i="33"/>
  <c r="I6" i="33" s="1"/>
  <c r="G6" i="33"/>
  <c r="F6" i="33"/>
  <c r="E6" i="33"/>
  <c r="D6" i="33"/>
  <c r="I5" i="33"/>
  <c r="I11" i="33" s="1"/>
  <c r="H5" i="33"/>
  <c r="H11" i="33" s="1"/>
  <c r="G5" i="33"/>
  <c r="G11" i="33" s="1"/>
  <c r="F5" i="33"/>
  <c r="F11" i="33" s="1"/>
  <c r="E5" i="33"/>
  <c r="E11" i="33" s="1"/>
  <c r="D5" i="33"/>
  <c r="D11" i="33" s="1"/>
  <c r="I8" i="33" l="1"/>
  <c r="F16" i="33"/>
  <c r="G15" i="33"/>
  <c r="H18" i="33"/>
  <c r="H16" i="33" s="1"/>
  <c r="D16" i="33"/>
  <c r="E19" i="33"/>
  <c r="E17" i="33" s="1"/>
  <c r="G14" i="33"/>
  <c r="F19" i="33"/>
  <c r="F17" i="33" s="1"/>
  <c r="G19" i="33"/>
  <c r="E18" i="33"/>
  <c r="E16" i="33" s="1"/>
  <c r="G17" i="33" l="1"/>
  <c r="G20" i="33"/>
  <c r="G16" i="33"/>
  <c r="C68" i="15" l="1"/>
  <c r="C67" i="15"/>
  <c r="C66" i="15"/>
  <c r="C65" i="15"/>
  <c r="C64" i="15"/>
  <c r="C63" i="15"/>
  <c r="C61" i="15"/>
  <c r="C60" i="15"/>
  <c r="C59" i="15"/>
  <c r="C58" i="15"/>
  <c r="C57" i="15"/>
  <c r="C56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O45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Q209" i="3"/>
  <c r="P209" i="3"/>
  <c r="O209" i="3"/>
  <c r="N209" i="3"/>
  <c r="M209" i="3"/>
  <c r="L209" i="3"/>
  <c r="I209" i="3"/>
  <c r="Q208" i="3"/>
  <c r="P208" i="3"/>
  <c r="O208" i="3"/>
  <c r="N208" i="3"/>
  <c r="M208" i="3"/>
  <c r="L208" i="3"/>
  <c r="I208" i="3"/>
  <c r="Q207" i="3"/>
  <c r="P207" i="3"/>
  <c r="O207" i="3"/>
  <c r="N207" i="3"/>
  <c r="M207" i="3"/>
  <c r="L207" i="3"/>
  <c r="I207" i="3"/>
  <c r="Q206" i="3"/>
  <c r="P206" i="3"/>
  <c r="O206" i="3"/>
  <c r="N206" i="3"/>
  <c r="M206" i="3"/>
  <c r="L206" i="3"/>
  <c r="I206" i="3"/>
  <c r="Q205" i="3"/>
  <c r="P205" i="3"/>
  <c r="O205" i="3"/>
  <c r="N205" i="3"/>
  <c r="M205" i="3"/>
  <c r="L205" i="3"/>
  <c r="I205" i="3"/>
  <c r="Q204" i="3"/>
  <c r="P204" i="3"/>
  <c r="O204" i="3"/>
  <c r="N204" i="3"/>
  <c r="M204" i="3"/>
  <c r="L204" i="3"/>
  <c r="I204" i="3"/>
  <c r="Q203" i="3"/>
  <c r="P203" i="3"/>
  <c r="O203" i="3"/>
  <c r="N203" i="3"/>
  <c r="M203" i="3"/>
  <c r="L203" i="3"/>
  <c r="I203" i="3"/>
  <c r="Q202" i="3"/>
  <c r="P202" i="3"/>
  <c r="O202" i="3"/>
  <c r="N202" i="3"/>
  <c r="M202" i="3"/>
  <c r="L202" i="3"/>
  <c r="I202" i="3"/>
  <c r="Q201" i="3"/>
  <c r="P201" i="3"/>
  <c r="O201" i="3"/>
  <c r="N201" i="3"/>
  <c r="M201" i="3"/>
  <c r="L201" i="3"/>
  <c r="I201" i="3"/>
  <c r="Q200" i="3"/>
  <c r="P200" i="3"/>
  <c r="O200" i="3"/>
  <c r="N200" i="3"/>
  <c r="M200" i="3"/>
  <c r="L200" i="3"/>
  <c r="I200" i="3"/>
  <c r="Q199" i="3"/>
  <c r="P199" i="3"/>
  <c r="O199" i="3"/>
  <c r="N199" i="3"/>
  <c r="M199" i="3"/>
  <c r="L199" i="3"/>
  <c r="I199" i="3"/>
  <c r="Q198" i="3"/>
  <c r="P198" i="3"/>
  <c r="O198" i="3"/>
  <c r="N198" i="3"/>
  <c r="M198" i="3"/>
  <c r="L198" i="3"/>
  <c r="I198" i="3"/>
  <c r="Q197" i="3"/>
  <c r="P197" i="3"/>
  <c r="O197" i="3"/>
  <c r="N197" i="3"/>
  <c r="M197" i="3"/>
  <c r="L197" i="3"/>
  <c r="I197" i="3"/>
  <c r="Q196" i="3"/>
  <c r="P196" i="3"/>
  <c r="O196" i="3"/>
  <c r="N196" i="3"/>
  <c r="M196" i="3"/>
  <c r="L196" i="3"/>
  <c r="I196" i="3"/>
  <c r="Q195" i="3"/>
  <c r="P195" i="3"/>
  <c r="O195" i="3"/>
  <c r="N195" i="3"/>
  <c r="M195" i="3"/>
  <c r="L195" i="3"/>
  <c r="I195" i="3"/>
  <c r="Q194" i="3"/>
  <c r="P194" i="3"/>
  <c r="O194" i="3"/>
  <c r="N194" i="3"/>
  <c r="M194" i="3"/>
  <c r="L194" i="3"/>
  <c r="I194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Q192" i="3"/>
  <c r="P192" i="3"/>
  <c r="O192" i="3"/>
  <c r="N192" i="3"/>
  <c r="M192" i="3"/>
  <c r="L192" i="3"/>
  <c r="I192" i="3"/>
  <c r="Q191" i="3"/>
  <c r="P191" i="3"/>
  <c r="O191" i="3"/>
  <c r="N191" i="3"/>
  <c r="M191" i="3"/>
  <c r="L191" i="3"/>
  <c r="I191" i="3"/>
  <c r="Q190" i="3"/>
  <c r="P190" i="3"/>
  <c r="O190" i="3"/>
  <c r="N190" i="3"/>
  <c r="M190" i="3"/>
  <c r="L190" i="3"/>
  <c r="I190" i="3"/>
  <c r="Q189" i="3"/>
  <c r="P189" i="3"/>
  <c r="O189" i="3"/>
  <c r="N189" i="3"/>
  <c r="M189" i="3"/>
  <c r="L189" i="3"/>
  <c r="I189" i="3"/>
  <c r="Q188" i="3"/>
  <c r="P188" i="3"/>
  <c r="O188" i="3"/>
  <c r="N188" i="3"/>
  <c r="M188" i="3"/>
  <c r="L188" i="3"/>
  <c r="I188" i="3"/>
  <c r="Q187" i="3"/>
  <c r="P187" i="3"/>
  <c r="O187" i="3"/>
  <c r="N187" i="3"/>
  <c r="M187" i="3"/>
  <c r="L187" i="3"/>
  <c r="I187" i="3"/>
  <c r="Q186" i="3"/>
  <c r="P186" i="3"/>
  <c r="O186" i="3"/>
  <c r="N186" i="3"/>
  <c r="M186" i="3"/>
  <c r="L186" i="3"/>
  <c r="I186" i="3"/>
  <c r="Q185" i="3"/>
  <c r="P185" i="3"/>
  <c r="O185" i="3"/>
  <c r="N185" i="3"/>
  <c r="M185" i="3"/>
  <c r="L185" i="3"/>
  <c r="I185" i="3"/>
  <c r="Q184" i="3"/>
  <c r="P184" i="3"/>
  <c r="O184" i="3"/>
  <c r="N184" i="3"/>
  <c r="M184" i="3"/>
  <c r="L184" i="3"/>
  <c r="I184" i="3"/>
  <c r="Q183" i="3"/>
  <c r="P183" i="3"/>
  <c r="O183" i="3"/>
  <c r="N183" i="3"/>
  <c r="M183" i="3"/>
  <c r="L183" i="3"/>
  <c r="I183" i="3"/>
  <c r="Q182" i="3"/>
  <c r="P182" i="3"/>
  <c r="O182" i="3"/>
  <c r="N182" i="3"/>
  <c r="M182" i="3"/>
  <c r="L182" i="3"/>
  <c r="I182" i="3"/>
  <c r="Q181" i="3"/>
  <c r="P181" i="3"/>
  <c r="O181" i="3"/>
  <c r="N181" i="3"/>
  <c r="M181" i="3"/>
  <c r="L181" i="3"/>
  <c r="I181" i="3"/>
  <c r="Q180" i="3"/>
  <c r="P180" i="3"/>
  <c r="O180" i="3"/>
  <c r="N180" i="3"/>
  <c r="M180" i="3"/>
  <c r="L180" i="3"/>
  <c r="I180" i="3"/>
  <c r="Q179" i="3"/>
  <c r="P179" i="3"/>
  <c r="O179" i="3"/>
  <c r="N179" i="3"/>
  <c r="M179" i="3"/>
  <c r="L179" i="3"/>
  <c r="I179" i="3"/>
  <c r="Q178" i="3"/>
  <c r="P178" i="3"/>
  <c r="O178" i="3"/>
  <c r="N178" i="3"/>
  <c r="M178" i="3"/>
  <c r="L178" i="3"/>
  <c r="I178" i="3"/>
  <c r="Q177" i="3"/>
  <c r="P177" i="3"/>
  <c r="O177" i="3"/>
  <c r="N177" i="3"/>
  <c r="M177" i="3"/>
  <c r="L177" i="3"/>
  <c r="I177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Q175" i="3"/>
  <c r="P175" i="3"/>
  <c r="O175" i="3"/>
  <c r="N175" i="3"/>
  <c r="M175" i="3"/>
  <c r="L175" i="3"/>
  <c r="I175" i="3"/>
  <c r="Q174" i="3"/>
  <c r="P174" i="3"/>
  <c r="O174" i="3"/>
  <c r="N174" i="3"/>
  <c r="M174" i="3"/>
  <c r="L174" i="3"/>
  <c r="I174" i="3"/>
  <c r="Q173" i="3"/>
  <c r="P173" i="3"/>
  <c r="O173" i="3"/>
  <c r="N173" i="3"/>
  <c r="M173" i="3"/>
  <c r="L173" i="3"/>
  <c r="I173" i="3"/>
  <c r="Q172" i="3"/>
  <c r="P172" i="3"/>
  <c r="O172" i="3"/>
  <c r="N172" i="3"/>
  <c r="M172" i="3"/>
  <c r="L172" i="3"/>
  <c r="I172" i="3"/>
  <c r="Q171" i="3"/>
  <c r="P171" i="3"/>
  <c r="O171" i="3"/>
  <c r="N171" i="3"/>
  <c r="M171" i="3"/>
  <c r="L171" i="3"/>
  <c r="I171" i="3"/>
  <c r="Q170" i="3"/>
  <c r="P170" i="3"/>
  <c r="O170" i="3"/>
  <c r="N170" i="3"/>
  <c r="M170" i="3"/>
  <c r="L170" i="3"/>
  <c r="I170" i="3"/>
  <c r="Q169" i="3"/>
  <c r="P169" i="3"/>
  <c r="O169" i="3"/>
  <c r="N169" i="3"/>
  <c r="M169" i="3"/>
  <c r="L169" i="3"/>
  <c r="I169" i="3"/>
  <c r="Q168" i="3"/>
  <c r="P168" i="3"/>
  <c r="O168" i="3"/>
  <c r="N168" i="3"/>
  <c r="M168" i="3"/>
  <c r="L168" i="3"/>
  <c r="I168" i="3"/>
  <c r="Q167" i="3"/>
  <c r="P167" i="3"/>
  <c r="O167" i="3"/>
  <c r="N167" i="3"/>
  <c r="M167" i="3"/>
  <c r="L167" i="3"/>
  <c r="I167" i="3"/>
  <c r="Q166" i="3"/>
  <c r="P166" i="3"/>
  <c r="O166" i="3"/>
  <c r="N166" i="3"/>
  <c r="M166" i="3"/>
  <c r="L166" i="3"/>
  <c r="I166" i="3"/>
  <c r="Q165" i="3"/>
  <c r="P165" i="3"/>
  <c r="O165" i="3"/>
  <c r="N165" i="3"/>
  <c r="M165" i="3"/>
  <c r="L165" i="3"/>
  <c r="I165" i="3"/>
  <c r="Q164" i="3"/>
  <c r="P164" i="3"/>
  <c r="O164" i="3"/>
  <c r="N164" i="3"/>
  <c r="M164" i="3"/>
  <c r="L164" i="3"/>
  <c r="I164" i="3"/>
  <c r="Q163" i="3"/>
  <c r="P163" i="3"/>
  <c r="O163" i="3"/>
  <c r="N163" i="3"/>
  <c r="M163" i="3"/>
  <c r="L163" i="3"/>
  <c r="I163" i="3"/>
  <c r="Q162" i="3"/>
  <c r="P162" i="3"/>
  <c r="O162" i="3"/>
  <c r="N162" i="3"/>
  <c r="M162" i="3"/>
  <c r="L162" i="3"/>
  <c r="I162" i="3"/>
  <c r="Q161" i="3"/>
  <c r="P161" i="3"/>
  <c r="O161" i="3"/>
  <c r="N161" i="3"/>
  <c r="M161" i="3"/>
  <c r="L161" i="3"/>
  <c r="I161" i="3"/>
  <c r="Q160" i="3"/>
  <c r="P160" i="3"/>
  <c r="O160" i="3"/>
  <c r="N160" i="3"/>
  <c r="M160" i="3"/>
  <c r="L160" i="3"/>
  <c r="I160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Q158" i="3"/>
  <c r="P158" i="3"/>
  <c r="O158" i="3"/>
  <c r="N158" i="3"/>
  <c r="M158" i="3"/>
  <c r="L158" i="3"/>
  <c r="I158" i="3"/>
  <c r="Q157" i="3"/>
  <c r="P157" i="3"/>
  <c r="O157" i="3"/>
  <c r="N157" i="3"/>
  <c r="M157" i="3"/>
  <c r="L157" i="3"/>
  <c r="I157" i="3"/>
  <c r="Q156" i="3"/>
  <c r="P156" i="3"/>
  <c r="O156" i="3"/>
  <c r="N156" i="3"/>
  <c r="M156" i="3"/>
  <c r="L156" i="3"/>
  <c r="I156" i="3"/>
  <c r="Q155" i="3"/>
  <c r="P155" i="3"/>
  <c r="O155" i="3"/>
  <c r="N155" i="3"/>
  <c r="M155" i="3"/>
  <c r="L155" i="3"/>
  <c r="I155" i="3"/>
  <c r="Q154" i="3"/>
  <c r="P154" i="3"/>
  <c r="O154" i="3"/>
  <c r="N154" i="3"/>
  <c r="M154" i="3"/>
  <c r="L154" i="3"/>
  <c r="I154" i="3"/>
  <c r="Q153" i="3"/>
  <c r="P153" i="3"/>
  <c r="O153" i="3"/>
  <c r="N153" i="3"/>
  <c r="M153" i="3"/>
  <c r="L153" i="3"/>
  <c r="I153" i="3"/>
  <c r="Q152" i="3"/>
  <c r="P152" i="3"/>
  <c r="O152" i="3"/>
  <c r="N152" i="3"/>
  <c r="M152" i="3"/>
  <c r="L152" i="3"/>
  <c r="I152" i="3"/>
  <c r="Q151" i="3"/>
  <c r="P151" i="3"/>
  <c r="O151" i="3"/>
  <c r="N151" i="3"/>
  <c r="M151" i="3"/>
  <c r="L151" i="3"/>
  <c r="I151" i="3"/>
  <c r="Q150" i="3"/>
  <c r="P150" i="3"/>
  <c r="O150" i="3"/>
  <c r="N150" i="3"/>
  <c r="M150" i="3"/>
  <c r="L150" i="3"/>
  <c r="I150" i="3"/>
  <c r="Q149" i="3"/>
  <c r="P149" i="3"/>
  <c r="O149" i="3"/>
  <c r="N149" i="3"/>
  <c r="M149" i="3"/>
  <c r="L149" i="3"/>
  <c r="I149" i="3"/>
  <c r="Q148" i="3"/>
  <c r="P148" i="3"/>
  <c r="O148" i="3"/>
  <c r="N148" i="3"/>
  <c r="M148" i="3"/>
  <c r="L148" i="3"/>
  <c r="I148" i="3"/>
  <c r="Q147" i="3"/>
  <c r="P147" i="3"/>
  <c r="O147" i="3"/>
  <c r="N147" i="3"/>
  <c r="M147" i="3"/>
  <c r="L147" i="3"/>
  <c r="I147" i="3"/>
  <c r="Q146" i="3"/>
  <c r="P146" i="3"/>
  <c r="O146" i="3"/>
  <c r="N146" i="3"/>
  <c r="M146" i="3"/>
  <c r="L146" i="3"/>
  <c r="I146" i="3"/>
  <c r="Q145" i="3"/>
  <c r="P145" i="3"/>
  <c r="O145" i="3"/>
  <c r="N145" i="3"/>
  <c r="M145" i="3"/>
  <c r="L145" i="3"/>
  <c r="I145" i="3"/>
  <c r="Q144" i="3"/>
  <c r="P144" i="3"/>
  <c r="O144" i="3"/>
  <c r="N144" i="3"/>
  <c r="M144" i="3"/>
  <c r="L144" i="3"/>
  <c r="I144" i="3"/>
  <c r="Q143" i="3"/>
  <c r="P143" i="3"/>
  <c r="O143" i="3"/>
  <c r="N143" i="3"/>
  <c r="M143" i="3"/>
  <c r="L143" i="3"/>
  <c r="I143" i="3"/>
  <c r="V142" i="3"/>
  <c r="U142" i="3"/>
  <c r="T142" i="3"/>
  <c r="S142" i="3"/>
  <c r="Q142" i="3"/>
  <c r="K142" i="3"/>
  <c r="O142" i="3" s="1"/>
  <c r="J142" i="3"/>
  <c r="I142" i="3"/>
  <c r="H142" i="3"/>
  <c r="G142" i="3"/>
  <c r="F142" i="3"/>
  <c r="E142" i="3"/>
  <c r="Q141" i="3"/>
  <c r="K141" i="3"/>
  <c r="O141" i="3" s="1"/>
  <c r="J141" i="3"/>
  <c r="I141" i="3"/>
  <c r="Q140" i="3"/>
  <c r="K140" i="3"/>
  <c r="O140" i="3" s="1"/>
  <c r="J140" i="3"/>
  <c r="P140" i="3" s="1"/>
  <c r="I140" i="3"/>
  <c r="Q139" i="3"/>
  <c r="K139" i="3"/>
  <c r="J139" i="3"/>
  <c r="I139" i="3"/>
  <c r="Q138" i="3"/>
  <c r="K138" i="3"/>
  <c r="J138" i="3"/>
  <c r="I138" i="3"/>
  <c r="Q137" i="3"/>
  <c r="K137" i="3"/>
  <c r="J137" i="3"/>
  <c r="I137" i="3"/>
  <c r="Q136" i="3"/>
  <c r="K136" i="3"/>
  <c r="O136" i="3" s="1"/>
  <c r="J136" i="3"/>
  <c r="I136" i="3"/>
  <c r="Q135" i="3"/>
  <c r="O135" i="3"/>
  <c r="L135" i="3" s="1"/>
  <c r="K135" i="3"/>
  <c r="J135" i="3"/>
  <c r="I135" i="3"/>
  <c r="Q134" i="3"/>
  <c r="K134" i="3"/>
  <c r="J134" i="3"/>
  <c r="I134" i="3"/>
  <c r="Q133" i="3"/>
  <c r="K133" i="3"/>
  <c r="J133" i="3"/>
  <c r="I133" i="3"/>
  <c r="Q132" i="3"/>
  <c r="K132" i="3"/>
  <c r="O132" i="3" s="1"/>
  <c r="J132" i="3"/>
  <c r="I132" i="3"/>
  <c r="Q131" i="3"/>
  <c r="K131" i="3"/>
  <c r="J131" i="3"/>
  <c r="I131" i="3"/>
  <c r="Q130" i="3"/>
  <c r="K130" i="3"/>
  <c r="J130" i="3"/>
  <c r="I130" i="3"/>
  <c r="Q129" i="3"/>
  <c r="K129" i="3"/>
  <c r="J129" i="3"/>
  <c r="I129" i="3"/>
  <c r="Q128" i="3"/>
  <c r="K128" i="3"/>
  <c r="P128" i="3" s="1"/>
  <c r="J128" i="3"/>
  <c r="I128" i="3"/>
  <c r="Q127" i="3"/>
  <c r="K127" i="3"/>
  <c r="J127" i="3"/>
  <c r="I127" i="3"/>
  <c r="Q126" i="3"/>
  <c r="K126" i="3"/>
  <c r="P126" i="3" s="1"/>
  <c r="J126" i="3"/>
  <c r="I126" i="3"/>
  <c r="V125" i="3"/>
  <c r="U125" i="3"/>
  <c r="T125" i="3"/>
  <c r="S125" i="3"/>
  <c r="Q125" i="3"/>
  <c r="I125" i="3"/>
  <c r="H125" i="3"/>
  <c r="G125" i="3"/>
  <c r="F125" i="3"/>
  <c r="E125" i="3"/>
  <c r="Q124" i="3"/>
  <c r="K124" i="3"/>
  <c r="J124" i="3"/>
  <c r="P124" i="3" s="1"/>
  <c r="I124" i="3"/>
  <c r="Q123" i="3"/>
  <c r="K123" i="3"/>
  <c r="J123" i="3"/>
  <c r="I123" i="3"/>
  <c r="Q122" i="3"/>
  <c r="K122" i="3"/>
  <c r="J122" i="3"/>
  <c r="I122" i="3"/>
  <c r="Q121" i="3"/>
  <c r="K121" i="3"/>
  <c r="J121" i="3"/>
  <c r="I121" i="3"/>
  <c r="Q120" i="3"/>
  <c r="K120" i="3"/>
  <c r="J120" i="3"/>
  <c r="I120" i="3"/>
  <c r="Q119" i="3"/>
  <c r="O119" i="3"/>
  <c r="L119" i="3" s="1"/>
  <c r="K119" i="3"/>
  <c r="J119" i="3"/>
  <c r="I119" i="3"/>
  <c r="Q118" i="3"/>
  <c r="P118" i="3"/>
  <c r="O118" i="3"/>
  <c r="N118" i="3" s="1"/>
  <c r="K118" i="3"/>
  <c r="J118" i="3"/>
  <c r="I118" i="3"/>
  <c r="Q117" i="3"/>
  <c r="K117" i="3"/>
  <c r="O117" i="3" s="1"/>
  <c r="J117" i="3"/>
  <c r="I117" i="3"/>
  <c r="Q116" i="3"/>
  <c r="K116" i="3"/>
  <c r="J116" i="3"/>
  <c r="P116" i="3" s="1"/>
  <c r="I116" i="3"/>
  <c r="Q115" i="3"/>
  <c r="K115" i="3"/>
  <c r="J115" i="3"/>
  <c r="I115" i="3"/>
  <c r="Q114" i="3"/>
  <c r="K114" i="3"/>
  <c r="J114" i="3"/>
  <c r="I114" i="3"/>
  <c r="Q113" i="3"/>
  <c r="K113" i="3"/>
  <c r="J113" i="3"/>
  <c r="I113" i="3"/>
  <c r="Q112" i="3"/>
  <c r="K112" i="3"/>
  <c r="J112" i="3"/>
  <c r="O112" i="3" s="1"/>
  <c r="M112" i="3" s="1"/>
  <c r="I112" i="3"/>
  <c r="Q111" i="3"/>
  <c r="K111" i="3"/>
  <c r="O111" i="3" s="1"/>
  <c r="N111" i="3" s="1"/>
  <c r="J111" i="3"/>
  <c r="I111" i="3"/>
  <c r="Q110" i="3"/>
  <c r="K110" i="3"/>
  <c r="P110" i="3" s="1"/>
  <c r="J110" i="3"/>
  <c r="I110" i="3"/>
  <c r="Q109" i="3"/>
  <c r="K109" i="3"/>
  <c r="O109" i="3" s="1"/>
  <c r="J109" i="3"/>
  <c r="I109" i="3"/>
  <c r="V108" i="3"/>
  <c r="U108" i="3"/>
  <c r="T108" i="3"/>
  <c r="S108" i="3"/>
  <c r="Q108" i="3"/>
  <c r="I108" i="3"/>
  <c r="H108" i="3"/>
  <c r="G108" i="3"/>
  <c r="F108" i="3"/>
  <c r="E108" i="3"/>
  <c r="Q107" i="3"/>
  <c r="K107" i="3"/>
  <c r="J107" i="3"/>
  <c r="I107" i="3"/>
  <c r="Q106" i="3"/>
  <c r="K106" i="3"/>
  <c r="J106" i="3"/>
  <c r="I106" i="3"/>
  <c r="Q105" i="3"/>
  <c r="K105" i="3"/>
  <c r="J105" i="3"/>
  <c r="I105" i="3"/>
  <c r="Q104" i="3"/>
  <c r="O104" i="3"/>
  <c r="N104" i="3" s="1"/>
  <c r="K104" i="3"/>
  <c r="P104" i="3" s="1"/>
  <c r="J104" i="3"/>
  <c r="I104" i="3"/>
  <c r="Q103" i="3"/>
  <c r="K103" i="3"/>
  <c r="O103" i="3" s="1"/>
  <c r="J103" i="3"/>
  <c r="I103" i="3"/>
  <c r="Q102" i="3"/>
  <c r="K102" i="3"/>
  <c r="J102" i="3"/>
  <c r="I102" i="3"/>
  <c r="Q101" i="3"/>
  <c r="K101" i="3"/>
  <c r="P101" i="3" s="1"/>
  <c r="J101" i="3"/>
  <c r="I101" i="3"/>
  <c r="Q100" i="3"/>
  <c r="K100" i="3"/>
  <c r="O100" i="3" s="1"/>
  <c r="J100" i="3"/>
  <c r="I100" i="3"/>
  <c r="Q99" i="3"/>
  <c r="K99" i="3"/>
  <c r="J99" i="3"/>
  <c r="I99" i="3"/>
  <c r="Q98" i="3"/>
  <c r="K98" i="3"/>
  <c r="J98" i="3"/>
  <c r="I98" i="3"/>
  <c r="Q97" i="3"/>
  <c r="K97" i="3"/>
  <c r="J97" i="3"/>
  <c r="I97" i="3"/>
  <c r="Q96" i="3"/>
  <c r="K96" i="3"/>
  <c r="J96" i="3"/>
  <c r="I96" i="3"/>
  <c r="Q95" i="3"/>
  <c r="O95" i="3"/>
  <c r="K95" i="3"/>
  <c r="J95" i="3"/>
  <c r="I95" i="3"/>
  <c r="Q94" i="3"/>
  <c r="P94" i="3"/>
  <c r="K94" i="3"/>
  <c r="O94" i="3" s="1"/>
  <c r="N94" i="3" s="1"/>
  <c r="J94" i="3"/>
  <c r="I94" i="3"/>
  <c r="Q93" i="3"/>
  <c r="K93" i="3"/>
  <c r="J93" i="3"/>
  <c r="I93" i="3"/>
  <c r="Q92" i="3"/>
  <c r="K92" i="3"/>
  <c r="P92" i="3" s="1"/>
  <c r="J92" i="3"/>
  <c r="I92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Q90" i="3"/>
  <c r="P90" i="3"/>
  <c r="O90" i="3"/>
  <c r="N90" i="3"/>
  <c r="M90" i="3"/>
  <c r="L90" i="3"/>
  <c r="I90" i="3"/>
  <c r="Q89" i="3"/>
  <c r="P89" i="3"/>
  <c r="O89" i="3"/>
  <c r="N89" i="3"/>
  <c r="M89" i="3"/>
  <c r="L89" i="3"/>
  <c r="I89" i="3"/>
  <c r="Q88" i="3"/>
  <c r="P88" i="3"/>
  <c r="O88" i="3"/>
  <c r="N88" i="3"/>
  <c r="M88" i="3"/>
  <c r="L88" i="3"/>
  <c r="I88" i="3"/>
  <c r="Q87" i="3"/>
  <c r="P87" i="3"/>
  <c r="O87" i="3"/>
  <c r="N87" i="3"/>
  <c r="M87" i="3"/>
  <c r="L87" i="3"/>
  <c r="I87" i="3"/>
  <c r="Q86" i="3"/>
  <c r="P86" i="3"/>
  <c r="O86" i="3"/>
  <c r="N86" i="3"/>
  <c r="M86" i="3"/>
  <c r="L86" i="3"/>
  <c r="I86" i="3"/>
  <c r="Q85" i="3"/>
  <c r="P85" i="3"/>
  <c r="O85" i="3"/>
  <c r="N85" i="3"/>
  <c r="M85" i="3"/>
  <c r="L85" i="3"/>
  <c r="I85" i="3"/>
  <c r="Q84" i="3"/>
  <c r="P84" i="3"/>
  <c r="O84" i="3"/>
  <c r="N84" i="3"/>
  <c r="M84" i="3"/>
  <c r="L84" i="3"/>
  <c r="I84" i="3"/>
  <c r="Q83" i="3"/>
  <c r="P83" i="3"/>
  <c r="O83" i="3"/>
  <c r="N83" i="3"/>
  <c r="M83" i="3"/>
  <c r="L83" i="3"/>
  <c r="I83" i="3"/>
  <c r="Q82" i="3"/>
  <c r="P82" i="3"/>
  <c r="O82" i="3"/>
  <c r="N82" i="3"/>
  <c r="M82" i="3"/>
  <c r="L82" i="3"/>
  <c r="I82" i="3"/>
  <c r="Q81" i="3"/>
  <c r="P81" i="3"/>
  <c r="O81" i="3"/>
  <c r="N81" i="3"/>
  <c r="M81" i="3"/>
  <c r="L81" i="3"/>
  <c r="I81" i="3"/>
  <c r="Q80" i="3"/>
  <c r="P80" i="3"/>
  <c r="O80" i="3"/>
  <c r="N80" i="3"/>
  <c r="M80" i="3"/>
  <c r="L80" i="3"/>
  <c r="I80" i="3"/>
  <c r="Q79" i="3"/>
  <c r="P79" i="3"/>
  <c r="O79" i="3"/>
  <c r="N79" i="3"/>
  <c r="M79" i="3"/>
  <c r="L79" i="3"/>
  <c r="I79" i="3"/>
  <c r="Q78" i="3"/>
  <c r="P78" i="3"/>
  <c r="O78" i="3"/>
  <c r="N78" i="3"/>
  <c r="M78" i="3"/>
  <c r="L78" i="3"/>
  <c r="I78" i="3"/>
  <c r="Q77" i="3"/>
  <c r="P77" i="3"/>
  <c r="O77" i="3"/>
  <c r="N77" i="3"/>
  <c r="M77" i="3"/>
  <c r="L77" i="3"/>
  <c r="I77" i="3"/>
  <c r="Q76" i="3"/>
  <c r="P76" i="3"/>
  <c r="O76" i="3"/>
  <c r="N76" i="3"/>
  <c r="M76" i="3"/>
  <c r="L76" i="3"/>
  <c r="I76" i="3"/>
  <c r="Q75" i="3"/>
  <c r="P75" i="3"/>
  <c r="O75" i="3"/>
  <c r="N75" i="3"/>
  <c r="M75" i="3"/>
  <c r="L75" i="3"/>
  <c r="I75" i="3"/>
  <c r="V74" i="3"/>
  <c r="U74" i="3"/>
  <c r="T74" i="3"/>
  <c r="S74" i="3"/>
  <c r="Q74" i="3"/>
  <c r="I74" i="3"/>
  <c r="H74" i="3"/>
  <c r="G74" i="3"/>
  <c r="F74" i="3"/>
  <c r="E74" i="3"/>
  <c r="Q73" i="3"/>
  <c r="K73" i="3"/>
  <c r="J73" i="3"/>
  <c r="I73" i="3"/>
  <c r="Q72" i="3"/>
  <c r="K72" i="3"/>
  <c r="J72" i="3"/>
  <c r="I72" i="3"/>
  <c r="Q71" i="3"/>
  <c r="K71" i="3"/>
  <c r="J71" i="3"/>
  <c r="I71" i="3"/>
  <c r="Q70" i="3"/>
  <c r="K70" i="3"/>
  <c r="J70" i="3"/>
  <c r="I70" i="3"/>
  <c r="Q69" i="3"/>
  <c r="K69" i="3"/>
  <c r="J69" i="3"/>
  <c r="I69" i="3"/>
  <c r="Q68" i="3"/>
  <c r="P68" i="3"/>
  <c r="K68" i="3"/>
  <c r="O68" i="3" s="1"/>
  <c r="J68" i="3"/>
  <c r="I68" i="3"/>
  <c r="Q67" i="3"/>
  <c r="K67" i="3"/>
  <c r="O67" i="3" s="1"/>
  <c r="J67" i="3"/>
  <c r="I67" i="3"/>
  <c r="Q66" i="3"/>
  <c r="K66" i="3"/>
  <c r="O66" i="3" s="1"/>
  <c r="J66" i="3"/>
  <c r="P66" i="3" s="1"/>
  <c r="I66" i="3"/>
  <c r="Q65" i="3"/>
  <c r="K65" i="3"/>
  <c r="J65" i="3"/>
  <c r="I65" i="3"/>
  <c r="Q64" i="3"/>
  <c r="K64" i="3"/>
  <c r="J64" i="3"/>
  <c r="I64" i="3"/>
  <c r="Q63" i="3"/>
  <c r="K63" i="3"/>
  <c r="J63" i="3"/>
  <c r="I63" i="3"/>
  <c r="Q62" i="3"/>
  <c r="K62" i="3"/>
  <c r="J62" i="3"/>
  <c r="I62" i="3"/>
  <c r="Q61" i="3"/>
  <c r="K61" i="3"/>
  <c r="J61" i="3"/>
  <c r="O61" i="3" s="1"/>
  <c r="I61" i="3"/>
  <c r="Q60" i="3"/>
  <c r="K60" i="3"/>
  <c r="P60" i="3" s="1"/>
  <c r="J60" i="3"/>
  <c r="I60" i="3"/>
  <c r="Q59" i="3"/>
  <c r="K59" i="3"/>
  <c r="O59" i="3" s="1"/>
  <c r="J59" i="3"/>
  <c r="I59" i="3"/>
  <c r="Q58" i="3"/>
  <c r="O58" i="3"/>
  <c r="K58" i="3"/>
  <c r="P58" i="3" s="1"/>
  <c r="J58" i="3"/>
  <c r="I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Q56" i="3"/>
  <c r="P56" i="3"/>
  <c r="O56" i="3"/>
  <c r="N56" i="3"/>
  <c r="M56" i="3"/>
  <c r="L56" i="3"/>
  <c r="I56" i="3"/>
  <c r="Q55" i="3"/>
  <c r="P55" i="3"/>
  <c r="O55" i="3"/>
  <c r="N55" i="3"/>
  <c r="M55" i="3"/>
  <c r="L55" i="3"/>
  <c r="I55" i="3"/>
  <c r="Q54" i="3"/>
  <c r="P54" i="3"/>
  <c r="O54" i="3"/>
  <c r="N54" i="3"/>
  <c r="M54" i="3"/>
  <c r="L54" i="3"/>
  <c r="I54" i="3"/>
  <c r="Q53" i="3"/>
  <c r="P53" i="3"/>
  <c r="O53" i="3"/>
  <c r="N53" i="3"/>
  <c r="M53" i="3"/>
  <c r="L53" i="3"/>
  <c r="I53" i="3"/>
  <c r="Q52" i="3"/>
  <c r="P52" i="3"/>
  <c r="O52" i="3"/>
  <c r="N52" i="3"/>
  <c r="M52" i="3"/>
  <c r="L52" i="3"/>
  <c r="I52" i="3"/>
  <c r="Q51" i="3"/>
  <c r="P51" i="3"/>
  <c r="O51" i="3"/>
  <c r="N51" i="3"/>
  <c r="M51" i="3"/>
  <c r="L51" i="3"/>
  <c r="I51" i="3"/>
  <c r="Q50" i="3"/>
  <c r="P50" i="3"/>
  <c r="O50" i="3"/>
  <c r="N50" i="3"/>
  <c r="M50" i="3"/>
  <c r="L50" i="3"/>
  <c r="I50" i="3"/>
  <c r="Q49" i="3"/>
  <c r="P49" i="3"/>
  <c r="O49" i="3"/>
  <c r="N49" i="3"/>
  <c r="M49" i="3"/>
  <c r="L49" i="3"/>
  <c r="I49" i="3"/>
  <c r="Q48" i="3"/>
  <c r="P48" i="3"/>
  <c r="O48" i="3"/>
  <c r="N48" i="3"/>
  <c r="M48" i="3"/>
  <c r="L48" i="3"/>
  <c r="I48" i="3"/>
  <c r="Q47" i="3"/>
  <c r="P47" i="3"/>
  <c r="O47" i="3"/>
  <c r="N47" i="3"/>
  <c r="M47" i="3"/>
  <c r="L47" i="3"/>
  <c r="I47" i="3"/>
  <c r="Q46" i="3"/>
  <c r="P46" i="3"/>
  <c r="O46" i="3"/>
  <c r="N46" i="3"/>
  <c r="M46" i="3"/>
  <c r="L46" i="3"/>
  <c r="I46" i="3"/>
  <c r="Q45" i="3"/>
  <c r="P45" i="3"/>
  <c r="O45" i="3"/>
  <c r="N45" i="3"/>
  <c r="M45" i="3"/>
  <c r="L45" i="3"/>
  <c r="I45" i="3"/>
  <c r="Q44" i="3"/>
  <c r="P44" i="3"/>
  <c r="O44" i="3"/>
  <c r="N44" i="3"/>
  <c r="M44" i="3"/>
  <c r="L44" i="3"/>
  <c r="I44" i="3"/>
  <c r="Q43" i="3"/>
  <c r="P43" i="3"/>
  <c r="O43" i="3"/>
  <c r="N43" i="3"/>
  <c r="M43" i="3"/>
  <c r="L43" i="3"/>
  <c r="I43" i="3"/>
  <c r="Q42" i="3"/>
  <c r="P42" i="3"/>
  <c r="O42" i="3"/>
  <c r="N42" i="3"/>
  <c r="M42" i="3"/>
  <c r="L42" i="3"/>
  <c r="I42" i="3"/>
  <c r="Q41" i="3"/>
  <c r="P41" i="3"/>
  <c r="O41" i="3"/>
  <c r="N41" i="3"/>
  <c r="M41" i="3"/>
  <c r="L41" i="3"/>
  <c r="I41" i="3"/>
  <c r="V40" i="3"/>
  <c r="U40" i="3"/>
  <c r="T40" i="3"/>
  <c r="S40" i="3"/>
  <c r="Q40" i="3"/>
  <c r="J40" i="3"/>
  <c r="I40" i="3"/>
  <c r="H40" i="3"/>
  <c r="G40" i="3"/>
  <c r="F40" i="3"/>
  <c r="E40" i="3"/>
  <c r="Q39" i="3"/>
  <c r="K39" i="3"/>
  <c r="P39" i="3" s="1"/>
  <c r="I39" i="3"/>
  <c r="Q38" i="3"/>
  <c r="K38" i="3"/>
  <c r="P38" i="3" s="1"/>
  <c r="I38" i="3"/>
  <c r="Q37" i="3"/>
  <c r="K37" i="3"/>
  <c r="P37" i="3" s="1"/>
  <c r="I37" i="3"/>
  <c r="Q36" i="3"/>
  <c r="K36" i="3"/>
  <c r="P36" i="3" s="1"/>
  <c r="I36" i="3"/>
  <c r="Q35" i="3"/>
  <c r="K35" i="3"/>
  <c r="P35" i="3" s="1"/>
  <c r="I35" i="3"/>
  <c r="Q34" i="3"/>
  <c r="K34" i="3"/>
  <c r="P34" i="3" s="1"/>
  <c r="I34" i="3"/>
  <c r="Q33" i="3"/>
  <c r="K33" i="3"/>
  <c r="P33" i="3" s="1"/>
  <c r="I33" i="3"/>
  <c r="Q32" i="3"/>
  <c r="K32" i="3"/>
  <c r="P32" i="3" s="1"/>
  <c r="I32" i="3"/>
  <c r="Q31" i="3"/>
  <c r="K31" i="3"/>
  <c r="P31" i="3" s="1"/>
  <c r="I31" i="3"/>
  <c r="Q30" i="3"/>
  <c r="K30" i="3"/>
  <c r="P30" i="3" s="1"/>
  <c r="I30" i="3"/>
  <c r="Q29" i="3"/>
  <c r="K29" i="3"/>
  <c r="P29" i="3" s="1"/>
  <c r="I29" i="3"/>
  <c r="Q28" i="3"/>
  <c r="K28" i="3"/>
  <c r="P28" i="3" s="1"/>
  <c r="I28" i="3"/>
  <c r="Q27" i="3"/>
  <c r="K27" i="3"/>
  <c r="P27" i="3" s="1"/>
  <c r="I27" i="3"/>
  <c r="Q26" i="3"/>
  <c r="K26" i="3"/>
  <c r="P26" i="3" s="1"/>
  <c r="I26" i="3"/>
  <c r="Q25" i="3"/>
  <c r="K25" i="3"/>
  <c r="P25" i="3" s="1"/>
  <c r="I25" i="3"/>
  <c r="Q24" i="3"/>
  <c r="K24" i="3"/>
  <c r="O24" i="3" s="1"/>
  <c r="J24" i="3"/>
  <c r="I24" i="3"/>
  <c r="V23" i="3"/>
  <c r="U23" i="3"/>
  <c r="T23" i="3"/>
  <c r="S23" i="3"/>
  <c r="Q23" i="3"/>
  <c r="I23" i="3"/>
  <c r="H23" i="3"/>
  <c r="G23" i="3"/>
  <c r="F23" i="3"/>
  <c r="E23" i="3"/>
  <c r="Q22" i="3"/>
  <c r="K22" i="3"/>
  <c r="J22" i="3"/>
  <c r="I22" i="3"/>
  <c r="Q21" i="3"/>
  <c r="K21" i="3"/>
  <c r="J21" i="3"/>
  <c r="I21" i="3"/>
  <c r="Q20" i="3"/>
  <c r="K20" i="3"/>
  <c r="J20" i="3"/>
  <c r="I20" i="3"/>
  <c r="Q19" i="3"/>
  <c r="K19" i="3"/>
  <c r="J19" i="3"/>
  <c r="I19" i="3"/>
  <c r="Q18" i="3"/>
  <c r="K18" i="3"/>
  <c r="J18" i="3"/>
  <c r="O18" i="3" s="1"/>
  <c r="I18" i="3"/>
  <c r="Q17" i="3"/>
  <c r="K17" i="3"/>
  <c r="P17" i="3" s="1"/>
  <c r="J17" i="3"/>
  <c r="I17" i="3"/>
  <c r="Q16" i="3"/>
  <c r="K16" i="3"/>
  <c r="O16" i="3" s="1"/>
  <c r="N16" i="3" s="1"/>
  <c r="J16" i="3"/>
  <c r="I16" i="3"/>
  <c r="Q15" i="3"/>
  <c r="K15" i="3"/>
  <c r="O15" i="3" s="1"/>
  <c r="J15" i="3"/>
  <c r="I15" i="3"/>
  <c r="Q14" i="3"/>
  <c r="K14" i="3"/>
  <c r="J14" i="3"/>
  <c r="I14" i="3"/>
  <c r="Q13" i="3"/>
  <c r="K13" i="3"/>
  <c r="O13" i="3" s="1"/>
  <c r="J13" i="3"/>
  <c r="I13" i="3"/>
  <c r="Q12" i="3"/>
  <c r="K12" i="3"/>
  <c r="J12" i="3"/>
  <c r="I12" i="3"/>
  <c r="Q11" i="3"/>
  <c r="K11" i="3"/>
  <c r="J11" i="3"/>
  <c r="I11" i="3"/>
  <c r="Q10" i="3"/>
  <c r="K10" i="3"/>
  <c r="J10" i="3"/>
  <c r="I10" i="3"/>
  <c r="Q9" i="3"/>
  <c r="K9" i="3"/>
  <c r="O9" i="3" s="1"/>
  <c r="J9" i="3"/>
  <c r="I9" i="3"/>
  <c r="Q8" i="3"/>
  <c r="K8" i="3"/>
  <c r="J8" i="3"/>
  <c r="I8" i="3"/>
  <c r="Q7" i="3"/>
  <c r="K7" i="3"/>
  <c r="O7" i="3" s="1"/>
  <c r="J7" i="3"/>
  <c r="I7" i="3"/>
  <c r="P6" i="3"/>
  <c r="N6" i="3"/>
  <c r="M6" i="3"/>
  <c r="L6" i="3"/>
  <c r="K6" i="3"/>
  <c r="J6" i="3"/>
  <c r="O10" i="14"/>
  <c r="P9" i="14"/>
  <c r="O9" i="14"/>
  <c r="N9" i="14"/>
  <c r="M9" i="14"/>
  <c r="P8" i="14"/>
  <c r="O8" i="14"/>
  <c r="N8" i="14"/>
  <c r="M8" i="14"/>
  <c r="P7" i="14"/>
  <c r="O7" i="14"/>
  <c r="N7" i="14"/>
  <c r="M7" i="14"/>
  <c r="P6" i="14"/>
  <c r="O6" i="14"/>
  <c r="N6" i="14"/>
  <c r="M6" i="14"/>
  <c r="P5" i="14"/>
  <c r="O5" i="14"/>
  <c r="N5" i="14"/>
  <c r="M5" i="14"/>
  <c r="P4" i="14"/>
  <c r="O4" i="14"/>
  <c r="N4" i="14"/>
  <c r="M4" i="14"/>
  <c r="P3" i="14"/>
  <c r="O3" i="14"/>
  <c r="N3" i="14"/>
  <c r="M3" i="14"/>
  <c r="P2" i="14"/>
  <c r="O2" i="14"/>
  <c r="N2" i="14"/>
  <c r="M2" i="14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K61" i="6"/>
  <c r="J61" i="6"/>
  <c r="F61" i="6"/>
  <c r="E61" i="6"/>
  <c r="K60" i="6"/>
  <c r="J60" i="6"/>
  <c r="F60" i="6"/>
  <c r="E60" i="6"/>
  <c r="K59" i="6"/>
  <c r="J59" i="6"/>
  <c r="F59" i="6"/>
  <c r="E59" i="6"/>
  <c r="K58" i="6"/>
  <c r="J58" i="6"/>
  <c r="F58" i="6"/>
  <c r="E58" i="6"/>
  <c r="K57" i="6"/>
  <c r="J57" i="6"/>
  <c r="F57" i="6"/>
  <c r="E57" i="6"/>
  <c r="K56" i="6"/>
  <c r="J56" i="6"/>
  <c r="F56" i="6"/>
  <c r="E56" i="6"/>
  <c r="K55" i="6"/>
  <c r="J55" i="6"/>
  <c r="F55" i="6"/>
  <c r="E55" i="6"/>
  <c r="K54" i="6"/>
  <c r="J54" i="6"/>
  <c r="F54" i="6"/>
  <c r="E54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P37" i="6"/>
  <c r="M37" i="6"/>
  <c r="F37" i="6"/>
  <c r="E37" i="6"/>
  <c r="R36" i="6"/>
  <c r="O36" i="6"/>
  <c r="K36" i="6"/>
  <c r="J36" i="6"/>
  <c r="F36" i="6"/>
  <c r="E36" i="6"/>
  <c r="R35" i="6"/>
  <c r="O35" i="6"/>
  <c r="K35" i="6"/>
  <c r="J35" i="6"/>
  <c r="F35" i="6"/>
  <c r="E35" i="6"/>
  <c r="R34" i="6"/>
  <c r="O34" i="6"/>
  <c r="K34" i="6"/>
  <c r="J34" i="6"/>
  <c r="F34" i="6"/>
  <c r="E34" i="6"/>
  <c r="R33" i="6"/>
  <c r="O33" i="6"/>
  <c r="K33" i="6"/>
  <c r="J33" i="6"/>
  <c r="F33" i="6"/>
  <c r="E33" i="6"/>
  <c r="R32" i="6"/>
  <c r="O32" i="6"/>
  <c r="K32" i="6"/>
  <c r="J32" i="6"/>
  <c r="F32" i="6"/>
  <c r="E32" i="6"/>
  <c r="R31" i="6"/>
  <c r="O31" i="6"/>
  <c r="K31" i="6"/>
  <c r="J31" i="6"/>
  <c r="F31" i="6"/>
  <c r="E31" i="6"/>
  <c r="R30" i="6"/>
  <c r="O30" i="6"/>
  <c r="K30" i="6"/>
  <c r="J30" i="6"/>
  <c r="F30" i="6"/>
  <c r="E30" i="6"/>
  <c r="R29" i="6"/>
  <c r="O29" i="6"/>
  <c r="K29" i="6"/>
  <c r="J29" i="6"/>
  <c r="F29" i="6"/>
  <c r="E29" i="6"/>
  <c r="AI135" i="13"/>
  <c r="AG135" i="13"/>
  <c r="AF135" i="13"/>
  <c r="AE135" i="13"/>
  <c r="AD135" i="13"/>
  <c r="AC135" i="13"/>
  <c r="AB135" i="13"/>
  <c r="AI134" i="13"/>
  <c r="AG134" i="13"/>
  <c r="AF134" i="13"/>
  <c r="AE134" i="13"/>
  <c r="AD134" i="13"/>
  <c r="AC134" i="13"/>
  <c r="AB134" i="13"/>
  <c r="AI133" i="13"/>
  <c r="AG133" i="13"/>
  <c r="AF133" i="13"/>
  <c r="AE133" i="13"/>
  <c r="AD133" i="13"/>
  <c r="AC133" i="13"/>
  <c r="AB133" i="13"/>
  <c r="AI132" i="13"/>
  <c r="AG132" i="13"/>
  <c r="AF132" i="13"/>
  <c r="AE132" i="13"/>
  <c r="AD132" i="13"/>
  <c r="AC132" i="13"/>
  <c r="AB132" i="13"/>
  <c r="AI131" i="13"/>
  <c r="AG131" i="13"/>
  <c r="AF131" i="13"/>
  <c r="AE131" i="13"/>
  <c r="AD131" i="13"/>
  <c r="AC131" i="13"/>
  <c r="AB131" i="13"/>
  <c r="AI130" i="13"/>
  <c r="AH130" i="13"/>
  <c r="AG130" i="13"/>
  <c r="AF130" i="13"/>
  <c r="AE130" i="13"/>
  <c r="AD130" i="13"/>
  <c r="AC130" i="13"/>
  <c r="AB130" i="13"/>
  <c r="AI129" i="13"/>
  <c r="AG129" i="13"/>
  <c r="AF129" i="13"/>
  <c r="AE129" i="13"/>
  <c r="AD129" i="13"/>
  <c r="AC129" i="13"/>
  <c r="AB129" i="13"/>
  <c r="AI128" i="13"/>
  <c r="AG128" i="13"/>
  <c r="AF128" i="13"/>
  <c r="AE128" i="13"/>
  <c r="AD128" i="13"/>
  <c r="AC128" i="13"/>
  <c r="AB128" i="13"/>
  <c r="Z93" i="13"/>
  <c r="Y93" i="13"/>
  <c r="V93" i="13"/>
  <c r="U93" i="13"/>
  <c r="Z92" i="13"/>
  <c r="Y92" i="13"/>
  <c r="V92" i="13"/>
  <c r="U92" i="13"/>
  <c r="Z91" i="13"/>
  <c r="Y91" i="13"/>
  <c r="V91" i="13"/>
  <c r="U91" i="13"/>
  <c r="Z90" i="13"/>
  <c r="Y90" i="13"/>
  <c r="V90" i="13"/>
  <c r="U90" i="13"/>
  <c r="Z89" i="13"/>
  <c r="Y89" i="13"/>
  <c r="V89" i="13"/>
  <c r="U89" i="13"/>
  <c r="Z88" i="13"/>
  <c r="Y88" i="13"/>
  <c r="V88" i="13"/>
  <c r="U88" i="13"/>
  <c r="Z87" i="13"/>
  <c r="Y87" i="13"/>
  <c r="V87" i="13"/>
  <c r="U87" i="13"/>
  <c r="Z86" i="13"/>
  <c r="Y86" i="13"/>
  <c r="V86" i="13"/>
  <c r="U86" i="13"/>
  <c r="Z85" i="13"/>
  <c r="Y85" i="13"/>
  <c r="V85" i="13"/>
  <c r="U85" i="13"/>
  <c r="Z84" i="13"/>
  <c r="Y84" i="13"/>
  <c r="V84" i="13"/>
  <c r="U84" i="13"/>
  <c r="Z83" i="13"/>
  <c r="Y83" i="13"/>
  <c r="V83" i="13"/>
  <c r="U83" i="13"/>
  <c r="Z82" i="13"/>
  <c r="Y82" i="13"/>
  <c r="V82" i="13"/>
  <c r="U82" i="13"/>
  <c r="Z81" i="13"/>
  <c r="Y81" i="13"/>
  <c r="V81" i="13"/>
  <c r="U81" i="13"/>
  <c r="Z80" i="13"/>
  <c r="Y80" i="13"/>
  <c r="V80" i="13"/>
  <c r="U80" i="13"/>
  <c r="Z79" i="13"/>
  <c r="Y79" i="13"/>
  <c r="V79" i="13"/>
  <c r="U79" i="13"/>
  <c r="Z78" i="13"/>
  <c r="Y78" i="13"/>
  <c r="V78" i="13"/>
  <c r="U78" i="13"/>
  <c r="Z77" i="13"/>
  <c r="Y77" i="13"/>
  <c r="V77" i="13"/>
  <c r="U77" i="13"/>
  <c r="Z76" i="13"/>
  <c r="Y76" i="13"/>
  <c r="V76" i="13"/>
  <c r="U76" i="13"/>
  <c r="Z75" i="13"/>
  <c r="Y75" i="13"/>
  <c r="V75" i="13"/>
  <c r="U75" i="13"/>
  <c r="Z74" i="13"/>
  <c r="Y74" i="13"/>
  <c r="V74" i="13"/>
  <c r="U74" i="13"/>
  <c r="Z73" i="13"/>
  <c r="Y73" i="13"/>
  <c r="V73" i="13"/>
  <c r="U73" i="13"/>
  <c r="Z72" i="13"/>
  <c r="Y72" i="13"/>
  <c r="V72" i="13"/>
  <c r="U72" i="13"/>
  <c r="Z71" i="13"/>
  <c r="Y71" i="13"/>
  <c r="V71" i="13"/>
  <c r="U71" i="13"/>
  <c r="Z70" i="13"/>
  <c r="Y70" i="13"/>
  <c r="V70" i="13"/>
  <c r="U70" i="13"/>
  <c r="Z69" i="13"/>
  <c r="Y69" i="13"/>
  <c r="V69" i="13"/>
  <c r="U69" i="13"/>
  <c r="Z68" i="13"/>
  <c r="Y68" i="13"/>
  <c r="V68" i="13"/>
  <c r="U68" i="13"/>
  <c r="Z67" i="13"/>
  <c r="Y67" i="13"/>
  <c r="V67" i="13"/>
  <c r="U67" i="13"/>
  <c r="Z66" i="13"/>
  <c r="Y66" i="13"/>
  <c r="V66" i="13"/>
  <c r="U66" i="13"/>
  <c r="Z65" i="13"/>
  <c r="Y65" i="13"/>
  <c r="V65" i="13"/>
  <c r="U65" i="13"/>
  <c r="Z64" i="13"/>
  <c r="Y64" i="13"/>
  <c r="V64" i="13"/>
  <c r="U64" i="13"/>
  <c r="Z63" i="13"/>
  <c r="Y63" i="13"/>
  <c r="V63" i="13"/>
  <c r="U63" i="13"/>
  <c r="Z62" i="13"/>
  <c r="Y62" i="13"/>
  <c r="V62" i="13"/>
  <c r="U62" i="13"/>
  <c r="Z61" i="13"/>
  <c r="Y61" i="13"/>
  <c r="V61" i="13"/>
  <c r="U61" i="13"/>
  <c r="Z60" i="13"/>
  <c r="Y60" i="13"/>
  <c r="V60" i="13"/>
  <c r="U60" i="13"/>
  <c r="Z59" i="13"/>
  <c r="Y59" i="13"/>
  <c r="V59" i="13"/>
  <c r="U59" i="13"/>
  <c r="Z58" i="13"/>
  <c r="Y58" i="13"/>
  <c r="V58" i="13"/>
  <c r="U58" i="13"/>
  <c r="Z57" i="13"/>
  <c r="Y57" i="13"/>
  <c r="V57" i="13"/>
  <c r="U57" i="13"/>
  <c r="Z56" i="13"/>
  <c r="Y56" i="13"/>
  <c r="V56" i="13"/>
  <c r="U56" i="13"/>
  <c r="Z55" i="13"/>
  <c r="Y55" i="13"/>
  <c r="V55" i="13"/>
  <c r="U55" i="13"/>
  <c r="Z54" i="13"/>
  <c r="Y54" i="13"/>
  <c r="V54" i="13"/>
  <c r="U54" i="13"/>
  <c r="Z53" i="13"/>
  <c r="Y53" i="13"/>
  <c r="V53" i="13"/>
  <c r="U53" i="13"/>
  <c r="Z52" i="13"/>
  <c r="Y52" i="13"/>
  <c r="V52" i="13"/>
  <c r="U52" i="13"/>
  <c r="Z51" i="13"/>
  <c r="Y51" i="13"/>
  <c r="V51" i="13"/>
  <c r="U51" i="13"/>
  <c r="Z50" i="13"/>
  <c r="Y50" i="13"/>
  <c r="V50" i="13"/>
  <c r="U50" i="13"/>
  <c r="Z49" i="13"/>
  <c r="Y49" i="13"/>
  <c r="V49" i="13"/>
  <c r="U49" i="13"/>
  <c r="Z48" i="13"/>
  <c r="Y48" i="13"/>
  <c r="V48" i="13"/>
  <c r="U48" i="13"/>
  <c r="Z47" i="13"/>
  <c r="Y47" i="13"/>
  <c r="V47" i="13"/>
  <c r="U47" i="13"/>
  <c r="Z46" i="13"/>
  <c r="Y46" i="13"/>
  <c r="V46" i="13"/>
  <c r="U46" i="13"/>
  <c r="Z45" i="13"/>
  <c r="Y45" i="13"/>
  <c r="V45" i="13"/>
  <c r="U45" i="13"/>
  <c r="Z44" i="13"/>
  <c r="Y44" i="13"/>
  <c r="V44" i="13"/>
  <c r="U44" i="13"/>
  <c r="Z43" i="13"/>
  <c r="Y43" i="13"/>
  <c r="V43" i="13"/>
  <c r="U43" i="13"/>
  <c r="Z42" i="13"/>
  <c r="Y42" i="13"/>
  <c r="V42" i="13"/>
  <c r="U42" i="13"/>
  <c r="Z41" i="13"/>
  <c r="Y41" i="13"/>
  <c r="V41" i="13"/>
  <c r="U41" i="13"/>
  <c r="Z40" i="13"/>
  <c r="Y40" i="13"/>
  <c r="V40" i="13"/>
  <c r="U40" i="13"/>
  <c r="Z39" i="13"/>
  <c r="Y39" i="13"/>
  <c r="V39" i="13"/>
  <c r="U39" i="13"/>
  <c r="Z38" i="13"/>
  <c r="Y38" i="13"/>
  <c r="V38" i="13"/>
  <c r="U38" i="13"/>
  <c r="Z37" i="13"/>
  <c r="Y37" i="13"/>
  <c r="V37" i="13"/>
  <c r="U37" i="13"/>
  <c r="Z36" i="13"/>
  <c r="Y36" i="13"/>
  <c r="V36" i="13"/>
  <c r="U36" i="13"/>
  <c r="Z35" i="13"/>
  <c r="Y35" i="13"/>
  <c r="V35" i="13"/>
  <c r="U35" i="13"/>
  <c r="Z34" i="13"/>
  <c r="Y34" i="13"/>
  <c r="V34" i="13"/>
  <c r="U34" i="13"/>
  <c r="Z33" i="13"/>
  <c r="Y33" i="13"/>
  <c r="V33" i="13"/>
  <c r="U33" i="13"/>
  <c r="Z32" i="13"/>
  <c r="Y32" i="13"/>
  <c r="V32" i="13"/>
  <c r="U32" i="13"/>
  <c r="Z31" i="13"/>
  <c r="Y31" i="13"/>
  <c r="V31" i="13"/>
  <c r="U31" i="13"/>
  <c r="Z30" i="13"/>
  <c r="Y30" i="13"/>
  <c r="V30" i="13"/>
  <c r="U30" i="13"/>
  <c r="Z29" i="13"/>
  <c r="Y29" i="13"/>
  <c r="V29" i="13"/>
  <c r="U29" i="13"/>
  <c r="Z28" i="13"/>
  <c r="Y28" i="13"/>
  <c r="V28" i="13"/>
  <c r="U28" i="13"/>
  <c r="Z27" i="13"/>
  <c r="Y27" i="13"/>
  <c r="V27" i="13"/>
  <c r="U27" i="13"/>
  <c r="Z26" i="13"/>
  <c r="Y26" i="13"/>
  <c r="V26" i="13"/>
  <c r="U26" i="13"/>
  <c r="Z25" i="13"/>
  <c r="Y25" i="13"/>
  <c r="V25" i="13"/>
  <c r="U25" i="13"/>
  <c r="Z24" i="13"/>
  <c r="Y24" i="13"/>
  <c r="V24" i="13"/>
  <c r="U24" i="13"/>
  <c r="Z23" i="13"/>
  <c r="Y23" i="13"/>
  <c r="V23" i="13"/>
  <c r="U23" i="13"/>
  <c r="Z22" i="13"/>
  <c r="Y22" i="13"/>
  <c r="V22" i="13"/>
  <c r="U22" i="13"/>
  <c r="Z21" i="13"/>
  <c r="Y21" i="13"/>
  <c r="V21" i="13"/>
  <c r="U21" i="13"/>
  <c r="P21" i="13"/>
  <c r="C21" i="13"/>
  <c r="Z20" i="13"/>
  <c r="Y20" i="13"/>
  <c r="V20" i="13"/>
  <c r="U20" i="13"/>
  <c r="P20" i="13"/>
  <c r="C20" i="13"/>
  <c r="Z19" i="13"/>
  <c r="Y19" i="13"/>
  <c r="V19" i="13"/>
  <c r="U19" i="13"/>
  <c r="P19" i="13"/>
  <c r="C19" i="13"/>
  <c r="Z18" i="13"/>
  <c r="Y18" i="13"/>
  <c r="V18" i="13"/>
  <c r="U18" i="13"/>
  <c r="P18" i="13"/>
  <c r="C18" i="13"/>
  <c r="Z17" i="13"/>
  <c r="Y17" i="13"/>
  <c r="V17" i="13"/>
  <c r="U17" i="13"/>
  <c r="P17" i="13"/>
  <c r="C17" i="13"/>
  <c r="Z16" i="13"/>
  <c r="Y16" i="13"/>
  <c r="V16" i="13"/>
  <c r="U16" i="13"/>
  <c r="P16" i="13"/>
  <c r="C16" i="13"/>
  <c r="Z15" i="13"/>
  <c r="Y15" i="13"/>
  <c r="V15" i="13"/>
  <c r="U15" i="13"/>
  <c r="P15" i="13"/>
  <c r="C15" i="13"/>
  <c r="Z14" i="13"/>
  <c r="Y14" i="13"/>
  <c r="V14" i="13"/>
  <c r="U14" i="13"/>
  <c r="Z13" i="13"/>
  <c r="Y13" i="13"/>
  <c r="V13" i="13"/>
  <c r="U13" i="13"/>
  <c r="P13" i="13"/>
  <c r="C13" i="13"/>
  <c r="Z12" i="13"/>
  <c r="Y12" i="13"/>
  <c r="V12" i="13"/>
  <c r="U12" i="13"/>
  <c r="P12" i="13"/>
  <c r="C12" i="13"/>
  <c r="Z11" i="13"/>
  <c r="Y11" i="13"/>
  <c r="V11" i="13"/>
  <c r="U11" i="13"/>
  <c r="P11" i="13"/>
  <c r="C11" i="13"/>
  <c r="Z10" i="13"/>
  <c r="Y10" i="13"/>
  <c r="V10" i="13"/>
  <c r="U10" i="13"/>
  <c r="P10" i="13"/>
  <c r="C10" i="13"/>
  <c r="Z9" i="13"/>
  <c r="Y9" i="13"/>
  <c r="V9" i="13"/>
  <c r="U9" i="13"/>
  <c r="P9" i="13"/>
  <c r="C9" i="13"/>
  <c r="Z8" i="13"/>
  <c r="Y8" i="13"/>
  <c r="V8" i="13"/>
  <c r="U8" i="13"/>
  <c r="P8" i="13"/>
  <c r="C8" i="13"/>
  <c r="Z7" i="13"/>
  <c r="Y7" i="13"/>
  <c r="V7" i="13"/>
  <c r="U7" i="13"/>
  <c r="P7" i="13"/>
  <c r="C7" i="13"/>
  <c r="Z6" i="13"/>
  <c r="Y6" i="13"/>
  <c r="V6" i="13"/>
  <c r="U6" i="13"/>
  <c r="N39" i="27"/>
  <c r="N38" i="27"/>
  <c r="N37" i="27"/>
  <c r="N36" i="27"/>
  <c r="N35" i="27"/>
  <c r="N34" i="27"/>
  <c r="N33" i="27"/>
  <c r="N32" i="27"/>
  <c r="N31" i="27"/>
  <c r="N30" i="27"/>
  <c r="N29" i="27"/>
  <c r="N28" i="27"/>
  <c r="N27" i="27"/>
  <c r="N26" i="27"/>
  <c r="N25" i="27"/>
  <c r="N24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39" i="30"/>
  <c r="N38" i="30"/>
  <c r="N37" i="30"/>
  <c r="N36" i="30"/>
  <c r="N35" i="30"/>
  <c r="N34" i="30"/>
  <c r="N33" i="30"/>
  <c r="N32" i="30"/>
  <c r="N31" i="30"/>
  <c r="N30" i="30"/>
  <c r="N29" i="30"/>
  <c r="N28" i="30"/>
  <c r="N27" i="30"/>
  <c r="N26" i="30"/>
  <c r="N25" i="30"/>
  <c r="N24" i="30"/>
  <c r="N21" i="30"/>
  <c r="N20" i="30"/>
  <c r="N19" i="30"/>
  <c r="N18" i="30"/>
  <c r="N17" i="30"/>
  <c r="N16" i="30"/>
  <c r="N15" i="30"/>
  <c r="N14" i="30"/>
  <c r="N13" i="30"/>
  <c r="N12" i="30"/>
  <c r="N11" i="30"/>
  <c r="N10" i="30"/>
  <c r="N9" i="30"/>
  <c r="N8" i="30"/>
  <c r="N7" i="30"/>
  <c r="N6" i="30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39" i="22"/>
  <c r="N38" i="22"/>
  <c r="N37" i="22"/>
  <c r="N36" i="22"/>
  <c r="N35" i="22"/>
  <c r="N34" i="22"/>
  <c r="N33" i="22"/>
  <c r="N32" i="22"/>
  <c r="N31" i="22"/>
  <c r="N30" i="22"/>
  <c r="N29" i="22"/>
  <c r="N28" i="22"/>
  <c r="N27" i="22"/>
  <c r="N26" i="22"/>
  <c r="N25" i="22"/>
  <c r="N24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39" i="21"/>
  <c r="N38" i="21"/>
  <c r="N37" i="21"/>
  <c r="N36" i="21"/>
  <c r="N35" i="21"/>
  <c r="N34" i="21"/>
  <c r="N33" i="21"/>
  <c r="N32" i="21"/>
  <c r="N21" i="21"/>
  <c r="N20" i="21"/>
  <c r="N19" i="21"/>
  <c r="N18" i="21"/>
  <c r="N17" i="21"/>
  <c r="N16" i="21"/>
  <c r="N15" i="21"/>
  <c r="N14" i="21"/>
  <c r="C21" i="16"/>
  <c r="C20" i="16"/>
  <c r="C19" i="16"/>
  <c r="C18" i="16"/>
  <c r="C17" i="16"/>
  <c r="C16" i="16"/>
  <c r="H15" i="16"/>
  <c r="G15" i="16"/>
  <c r="F15" i="16"/>
  <c r="E15" i="16"/>
  <c r="D15" i="16"/>
  <c r="C15" i="16"/>
  <c r="H14" i="16"/>
  <c r="G14" i="16"/>
  <c r="F14" i="16"/>
  <c r="E14" i="16"/>
  <c r="D14" i="16"/>
  <c r="C14" i="16"/>
  <c r="B14" i="16"/>
  <c r="C13" i="16"/>
  <c r="C12" i="16"/>
  <c r="C11" i="16"/>
  <c r="C10" i="16"/>
  <c r="C9" i="16"/>
  <c r="C8" i="16"/>
  <c r="H7" i="16"/>
  <c r="G7" i="16"/>
  <c r="F7" i="16"/>
  <c r="E7" i="16"/>
  <c r="D7" i="16"/>
  <c r="C7" i="16"/>
  <c r="H6" i="16"/>
  <c r="G6" i="16"/>
  <c r="F6" i="16"/>
  <c r="E6" i="16"/>
  <c r="D6" i="16"/>
  <c r="C6" i="16"/>
  <c r="B6" i="16"/>
  <c r="F19" i="18"/>
  <c r="F18" i="18"/>
  <c r="F17" i="18"/>
  <c r="F16" i="18"/>
  <c r="F15" i="18"/>
  <c r="E15" i="18"/>
  <c r="F14" i="18"/>
  <c r="E14" i="18"/>
  <c r="F13" i="18"/>
  <c r="F12" i="18"/>
  <c r="F11" i="18"/>
  <c r="F10" i="18"/>
  <c r="F9" i="18"/>
  <c r="F8" i="18"/>
  <c r="F7" i="18"/>
  <c r="F6" i="18"/>
  <c r="F5" i="18"/>
  <c r="D25" i="20"/>
  <c r="C25" i="20"/>
  <c r="AL24" i="20"/>
  <c r="AK24" i="20"/>
  <c r="AL23" i="20"/>
  <c r="AK23" i="20"/>
  <c r="AL22" i="20"/>
  <c r="AK22" i="20"/>
  <c r="AL21" i="20"/>
  <c r="AK21" i="20"/>
  <c r="AL20" i="20"/>
  <c r="AK20" i="20"/>
  <c r="AL19" i="20"/>
  <c r="AK19" i="20"/>
  <c r="AL18" i="20"/>
  <c r="AK18" i="20"/>
  <c r="AL17" i="20"/>
  <c r="AK17" i="20"/>
  <c r="D25" i="11"/>
  <c r="C25" i="11"/>
  <c r="AL24" i="11"/>
  <c r="AK24" i="11"/>
  <c r="AL23" i="11"/>
  <c r="AK23" i="11"/>
  <c r="AL22" i="11"/>
  <c r="AK22" i="11"/>
  <c r="E22" i="11"/>
  <c r="G22" i="11" s="1"/>
  <c r="AL21" i="11"/>
  <c r="AK21" i="11"/>
  <c r="AL20" i="11"/>
  <c r="AK20" i="11"/>
  <c r="AL19" i="11"/>
  <c r="AK19" i="11"/>
  <c r="AL18" i="11"/>
  <c r="AK18" i="11"/>
  <c r="AL17" i="11"/>
  <c r="AK17" i="11"/>
  <c r="G10" i="11"/>
  <c r="AD45" i="12"/>
  <c r="Z24" i="20" s="1"/>
  <c r="AB24" i="20" s="1"/>
  <c r="AC45" i="12"/>
  <c r="Y24" i="20" s="1"/>
  <c r="AA24" i="20" s="1"/>
  <c r="O45" i="12"/>
  <c r="L24" i="20" s="1"/>
  <c r="N24" i="20" s="1"/>
  <c r="N45" i="12"/>
  <c r="K24" i="20" s="1"/>
  <c r="M24" i="20" s="1"/>
  <c r="AD44" i="12"/>
  <c r="Z23" i="20" s="1"/>
  <c r="AB23" i="20" s="1"/>
  <c r="AC44" i="12"/>
  <c r="Y23" i="20" s="1"/>
  <c r="AA23" i="20" s="1"/>
  <c r="O44" i="12"/>
  <c r="L23" i="20" s="1"/>
  <c r="N23" i="20" s="1"/>
  <c r="N44" i="12"/>
  <c r="K23" i="20" s="1"/>
  <c r="M23" i="20" s="1"/>
  <c r="AD43" i="12"/>
  <c r="Z22" i="20" s="1"/>
  <c r="AB22" i="20" s="1"/>
  <c r="AC43" i="12"/>
  <c r="Y22" i="20" s="1"/>
  <c r="AA22" i="20" s="1"/>
  <c r="O43" i="12"/>
  <c r="L22" i="20" s="1"/>
  <c r="N22" i="20" s="1"/>
  <c r="N43" i="12"/>
  <c r="K22" i="20" s="1"/>
  <c r="M22" i="20" s="1"/>
  <c r="AD42" i="12"/>
  <c r="Z21" i="20" s="1"/>
  <c r="AB21" i="20" s="1"/>
  <c r="AC42" i="12"/>
  <c r="Y21" i="20" s="1"/>
  <c r="AA21" i="20" s="1"/>
  <c r="O42" i="12"/>
  <c r="L21" i="20" s="1"/>
  <c r="N21" i="20" s="1"/>
  <c r="N42" i="12"/>
  <c r="K21" i="20" s="1"/>
  <c r="M21" i="20" s="1"/>
  <c r="AD41" i="12"/>
  <c r="Z20" i="20" s="1"/>
  <c r="AB20" i="20" s="1"/>
  <c r="AC41" i="12"/>
  <c r="Y20" i="20" s="1"/>
  <c r="AA20" i="20" s="1"/>
  <c r="O41" i="12"/>
  <c r="L20" i="20" s="1"/>
  <c r="N20" i="20" s="1"/>
  <c r="N41" i="12"/>
  <c r="K20" i="20" s="1"/>
  <c r="M20" i="20" s="1"/>
  <c r="AD40" i="12"/>
  <c r="Z19" i="20" s="1"/>
  <c r="AB19" i="20" s="1"/>
  <c r="AC40" i="12"/>
  <c r="Y19" i="20" s="1"/>
  <c r="AA19" i="20" s="1"/>
  <c r="O40" i="12"/>
  <c r="L19" i="20" s="1"/>
  <c r="N19" i="20" s="1"/>
  <c r="N40" i="12"/>
  <c r="K19" i="20" s="1"/>
  <c r="M19" i="20" s="1"/>
  <c r="AD39" i="12"/>
  <c r="Z18" i="20" s="1"/>
  <c r="AB18" i="20" s="1"/>
  <c r="AC39" i="12"/>
  <c r="Y18" i="20" s="1"/>
  <c r="AA18" i="20" s="1"/>
  <c r="O39" i="12"/>
  <c r="L18" i="20" s="1"/>
  <c r="N18" i="20" s="1"/>
  <c r="N39" i="12"/>
  <c r="K18" i="20" s="1"/>
  <c r="M18" i="20" s="1"/>
  <c r="AD38" i="12"/>
  <c r="Z17" i="20" s="1"/>
  <c r="AB17" i="20" s="1"/>
  <c r="AC38" i="12"/>
  <c r="Y17" i="20" s="1"/>
  <c r="AA17" i="20" s="1"/>
  <c r="O38" i="12"/>
  <c r="L17" i="20" s="1"/>
  <c r="N38" i="12"/>
  <c r="K17" i="20" s="1"/>
  <c r="AD36" i="12"/>
  <c r="T24" i="20" s="1"/>
  <c r="V24" i="20" s="1"/>
  <c r="AC36" i="12"/>
  <c r="S24" i="20" s="1"/>
  <c r="U24" i="20" s="1"/>
  <c r="O36" i="12"/>
  <c r="F24" i="20" s="1"/>
  <c r="H24" i="20" s="1"/>
  <c r="N36" i="12"/>
  <c r="E24" i="20" s="1"/>
  <c r="G24" i="20" s="1"/>
  <c r="AD35" i="12"/>
  <c r="T23" i="20" s="1"/>
  <c r="V23" i="20" s="1"/>
  <c r="AC35" i="12"/>
  <c r="S23" i="20" s="1"/>
  <c r="U23" i="20" s="1"/>
  <c r="O35" i="12"/>
  <c r="F23" i="20" s="1"/>
  <c r="H23" i="20" s="1"/>
  <c r="N35" i="12"/>
  <c r="E23" i="20" s="1"/>
  <c r="G23" i="20" s="1"/>
  <c r="AD34" i="12"/>
  <c r="T22" i="20" s="1"/>
  <c r="V22" i="20" s="1"/>
  <c r="AC34" i="12"/>
  <c r="S22" i="20" s="1"/>
  <c r="U22" i="20" s="1"/>
  <c r="O34" i="12"/>
  <c r="F22" i="20" s="1"/>
  <c r="H22" i="20" s="1"/>
  <c r="N34" i="12"/>
  <c r="E22" i="20" s="1"/>
  <c r="G22" i="20" s="1"/>
  <c r="AD33" i="12"/>
  <c r="T21" i="20" s="1"/>
  <c r="V21" i="20" s="1"/>
  <c r="AC33" i="12"/>
  <c r="S21" i="20" s="1"/>
  <c r="U21" i="20" s="1"/>
  <c r="O33" i="12"/>
  <c r="F21" i="20" s="1"/>
  <c r="H21" i="20" s="1"/>
  <c r="N33" i="12"/>
  <c r="E21" i="20" s="1"/>
  <c r="G21" i="20" s="1"/>
  <c r="AD32" i="12"/>
  <c r="T20" i="20" s="1"/>
  <c r="V20" i="20" s="1"/>
  <c r="AC32" i="12"/>
  <c r="S20" i="20" s="1"/>
  <c r="U20" i="20" s="1"/>
  <c r="O32" i="12"/>
  <c r="F20" i="20" s="1"/>
  <c r="H20" i="20" s="1"/>
  <c r="N32" i="12"/>
  <c r="E20" i="20" s="1"/>
  <c r="G20" i="20" s="1"/>
  <c r="AD31" i="12"/>
  <c r="T19" i="20" s="1"/>
  <c r="V19" i="20" s="1"/>
  <c r="AC31" i="12"/>
  <c r="S19" i="20" s="1"/>
  <c r="U19" i="20" s="1"/>
  <c r="O31" i="12"/>
  <c r="F19" i="20" s="1"/>
  <c r="H19" i="20" s="1"/>
  <c r="N31" i="12"/>
  <c r="E19" i="20" s="1"/>
  <c r="G19" i="20" s="1"/>
  <c r="AD30" i="12"/>
  <c r="T18" i="20" s="1"/>
  <c r="V18" i="20" s="1"/>
  <c r="AC30" i="12"/>
  <c r="S18" i="20" s="1"/>
  <c r="U18" i="20" s="1"/>
  <c r="O30" i="12"/>
  <c r="F18" i="20" s="1"/>
  <c r="H18" i="20" s="1"/>
  <c r="N30" i="12"/>
  <c r="E18" i="20" s="1"/>
  <c r="G18" i="20" s="1"/>
  <c r="AD29" i="12"/>
  <c r="T17" i="20" s="1"/>
  <c r="V17" i="20" s="1"/>
  <c r="AC29" i="12"/>
  <c r="S17" i="20" s="1"/>
  <c r="U17" i="20" s="1"/>
  <c r="O29" i="12"/>
  <c r="F17" i="20" s="1"/>
  <c r="N29" i="12"/>
  <c r="E17" i="20" s="1"/>
  <c r="G17" i="20" s="1"/>
  <c r="T22" i="12"/>
  <c r="T45" i="12" s="1"/>
  <c r="Z24" i="11" s="1"/>
  <c r="AB24" i="11" s="1"/>
  <c r="S22" i="12"/>
  <c r="E22" i="12"/>
  <c r="D22" i="12"/>
  <c r="D45" i="12" s="1"/>
  <c r="T21" i="12"/>
  <c r="S21" i="12"/>
  <c r="E21" i="12"/>
  <c r="D21" i="12"/>
  <c r="D44" i="12" s="1"/>
  <c r="T20" i="12"/>
  <c r="T43" i="12" s="1"/>
  <c r="Z22" i="11" s="1"/>
  <c r="AB22" i="11" s="1"/>
  <c r="S20" i="12"/>
  <c r="E20" i="12"/>
  <c r="D20" i="12"/>
  <c r="D43" i="12" s="1"/>
  <c r="K22" i="11" s="1"/>
  <c r="M22" i="11" s="1"/>
  <c r="T19" i="12"/>
  <c r="S19" i="12"/>
  <c r="E19" i="12"/>
  <c r="D19" i="12"/>
  <c r="D42" i="12" s="1"/>
  <c r="T18" i="12"/>
  <c r="T41" i="12" s="1"/>
  <c r="Z20" i="11" s="1"/>
  <c r="AB20" i="11" s="1"/>
  <c r="S18" i="12"/>
  <c r="E18" i="12"/>
  <c r="D18" i="12"/>
  <c r="D41" i="12" s="1"/>
  <c r="T17" i="12"/>
  <c r="S17" i="12"/>
  <c r="E17" i="12"/>
  <c r="E40" i="12" s="1"/>
  <c r="D17" i="12"/>
  <c r="D40" i="12" s="1"/>
  <c r="T16" i="12"/>
  <c r="T39" i="12" s="1"/>
  <c r="Z18" i="11" s="1"/>
  <c r="AB18" i="11" s="1"/>
  <c r="S16" i="12"/>
  <c r="E16" i="12"/>
  <c r="D16" i="12"/>
  <c r="D39" i="12" s="1"/>
  <c r="K18" i="11" s="1"/>
  <c r="M18" i="11" s="1"/>
  <c r="T15" i="12"/>
  <c r="T38" i="12" s="1"/>
  <c r="Z17" i="11" s="1"/>
  <c r="AB17" i="11" s="1"/>
  <c r="S15" i="12"/>
  <c r="S38" i="12" s="1"/>
  <c r="Y17" i="11" s="1"/>
  <c r="AA17" i="11" s="1"/>
  <c r="E15" i="12"/>
  <c r="E38" i="12" s="1"/>
  <c r="D15" i="12"/>
  <c r="D38" i="12" s="1"/>
  <c r="T13" i="12"/>
  <c r="T36" i="12" s="1"/>
  <c r="T24" i="11" s="1"/>
  <c r="V24" i="11" s="1"/>
  <c r="S13" i="12"/>
  <c r="E13" i="12"/>
  <c r="D13" i="12"/>
  <c r="D36" i="12" s="1"/>
  <c r="T12" i="12"/>
  <c r="S12" i="12"/>
  <c r="E12" i="12"/>
  <c r="D12" i="12"/>
  <c r="D35" i="12" s="1"/>
  <c r="T11" i="12"/>
  <c r="T34" i="12" s="1"/>
  <c r="T22" i="11" s="1"/>
  <c r="V22" i="11" s="1"/>
  <c r="S11" i="12"/>
  <c r="E11" i="12"/>
  <c r="D11" i="12"/>
  <c r="D34" i="12" s="1"/>
  <c r="T10" i="12"/>
  <c r="S10" i="12"/>
  <c r="E10" i="12"/>
  <c r="D10" i="12"/>
  <c r="D33" i="12" s="1"/>
  <c r="T9" i="12"/>
  <c r="T32" i="12" s="1"/>
  <c r="T20" i="11" s="1"/>
  <c r="V20" i="11" s="1"/>
  <c r="S9" i="12"/>
  <c r="E9" i="12"/>
  <c r="D9" i="12"/>
  <c r="D32" i="12" s="1"/>
  <c r="T8" i="12"/>
  <c r="S8" i="12"/>
  <c r="S31" i="12" s="1"/>
  <c r="S19" i="11" s="1"/>
  <c r="U19" i="11" s="1"/>
  <c r="E8" i="12"/>
  <c r="E31" i="12" s="1"/>
  <c r="D8" i="12"/>
  <c r="D31" i="12" s="1"/>
  <c r="T7" i="12"/>
  <c r="T30" i="12" s="1"/>
  <c r="T18" i="11" s="1"/>
  <c r="V18" i="11" s="1"/>
  <c r="S7" i="12"/>
  <c r="E7" i="12"/>
  <c r="D7" i="12"/>
  <c r="D30" i="12" s="1"/>
  <c r="E18" i="11" s="1"/>
  <c r="G18" i="11" s="1"/>
  <c r="T6" i="12"/>
  <c r="T29" i="12" s="1"/>
  <c r="T17" i="11" s="1"/>
  <c r="V17" i="11" s="1"/>
  <c r="S6" i="12"/>
  <c r="S29" i="12" s="1"/>
  <c r="S17" i="11" s="1"/>
  <c r="U17" i="11" s="1"/>
  <c r="E6" i="12"/>
  <c r="E29" i="12" s="1"/>
  <c r="D6" i="12"/>
  <c r="D29" i="12" s="1"/>
  <c r="D12" i="10"/>
  <c r="G8" i="11" s="1"/>
  <c r="G9" i="11"/>
  <c r="G5" i="11"/>
  <c r="E30" i="12" l="1"/>
  <c r="F18" i="11" s="1"/>
  <c r="H18" i="11" s="1"/>
  <c r="E32" i="12"/>
  <c r="E34" i="12"/>
  <c r="F22" i="11" s="1"/>
  <c r="H22" i="11" s="1"/>
  <c r="E36" i="12"/>
  <c r="E39" i="12"/>
  <c r="L18" i="11" s="1"/>
  <c r="N18" i="11" s="1"/>
  <c r="E41" i="12"/>
  <c r="L20" i="11" s="1"/>
  <c r="N20" i="11" s="1"/>
  <c r="E43" i="12"/>
  <c r="L22" i="11" s="1"/>
  <c r="N22" i="11" s="1"/>
  <c r="E45" i="12"/>
  <c r="E33" i="12"/>
  <c r="E35" i="12"/>
  <c r="E42" i="12"/>
  <c r="L21" i="11" s="1"/>
  <c r="N21" i="11" s="1"/>
  <c r="E44" i="12"/>
  <c r="L23" i="11" s="1"/>
  <c r="N23" i="11" s="1"/>
  <c r="S33" i="12"/>
  <c r="S21" i="11" s="1"/>
  <c r="U21" i="11" s="1"/>
  <c r="S35" i="12"/>
  <c r="S23" i="11" s="1"/>
  <c r="U23" i="11" s="1"/>
  <c r="S40" i="12"/>
  <c r="Y19" i="11" s="1"/>
  <c r="AA19" i="11" s="1"/>
  <c r="S42" i="12"/>
  <c r="Y21" i="11" s="1"/>
  <c r="AA21" i="11" s="1"/>
  <c r="S44" i="12"/>
  <c r="Y23" i="11" s="1"/>
  <c r="AA23" i="11" s="1"/>
  <c r="L136" i="3"/>
  <c r="M136" i="3"/>
  <c r="N136" i="3"/>
  <c r="L24" i="3"/>
  <c r="N24" i="3"/>
  <c r="L67" i="3"/>
  <c r="N67" i="3"/>
  <c r="M68" i="3"/>
  <c r="N68" i="3"/>
  <c r="M135" i="3"/>
  <c r="P10" i="3"/>
  <c r="M16" i="3"/>
  <c r="P112" i="3"/>
  <c r="O116" i="3"/>
  <c r="M116" i="3" s="1"/>
  <c r="N135" i="3"/>
  <c r="O22" i="3"/>
  <c r="N22" i="3" s="1"/>
  <c r="N66" i="3"/>
  <c r="M111" i="3"/>
  <c r="P22" i="3"/>
  <c r="O73" i="3"/>
  <c r="P120" i="3"/>
  <c r="P9" i="3"/>
  <c r="P73" i="3"/>
  <c r="L104" i="3"/>
  <c r="P64" i="3"/>
  <c r="P96" i="3"/>
  <c r="P93" i="3"/>
  <c r="P100" i="3"/>
  <c r="P109" i="3"/>
  <c r="O32" i="3"/>
  <c r="J74" i="3"/>
  <c r="M104" i="3"/>
  <c r="P133" i="3"/>
  <c r="P136" i="3"/>
  <c r="P134" i="3"/>
  <c r="P102" i="3"/>
  <c r="P72" i="3"/>
  <c r="O133" i="3"/>
  <c r="E19" i="11"/>
  <c r="G19" i="11" s="1"/>
  <c r="E23" i="11"/>
  <c r="G23" i="11" s="1"/>
  <c r="K19" i="11"/>
  <c r="M19" i="11" s="1"/>
  <c r="K21" i="11"/>
  <c r="M21" i="11" s="1"/>
  <c r="K23" i="11"/>
  <c r="M23" i="11" s="1"/>
  <c r="F19" i="11"/>
  <c r="H19" i="11" s="1"/>
  <c r="F23" i="11"/>
  <c r="H23" i="11" s="1"/>
  <c r="F17" i="11"/>
  <c r="F21" i="11"/>
  <c r="H21" i="11" s="1"/>
  <c r="E20" i="11"/>
  <c r="G20" i="11" s="1"/>
  <c r="E24" i="11"/>
  <c r="G24" i="11" s="1"/>
  <c r="K24" i="11"/>
  <c r="M24" i="11" s="1"/>
  <c r="K20" i="11"/>
  <c r="M20" i="11" s="1"/>
  <c r="F20" i="11"/>
  <c r="H20" i="11" s="1"/>
  <c r="F24" i="11"/>
  <c r="H24" i="11" s="1"/>
  <c r="L24" i="11"/>
  <c r="N24" i="11" s="1"/>
  <c r="L19" i="11"/>
  <c r="N19" i="11" s="1"/>
  <c r="E17" i="11"/>
  <c r="E21" i="11"/>
  <c r="G21" i="11" s="1"/>
  <c r="K17" i="11"/>
  <c r="L17" i="11"/>
  <c r="T31" i="12"/>
  <c r="T19" i="11" s="1"/>
  <c r="V19" i="11" s="1"/>
  <c r="S36" i="12"/>
  <c r="S24" i="11" s="1"/>
  <c r="U24" i="11" s="1"/>
  <c r="S34" i="12"/>
  <c r="S22" i="11" s="1"/>
  <c r="U22" i="11" s="1"/>
  <c r="S32" i="12"/>
  <c r="S20" i="11" s="1"/>
  <c r="U20" i="11" s="1"/>
  <c r="S30" i="12"/>
  <c r="S18" i="11" s="1"/>
  <c r="U18" i="11" s="1"/>
  <c r="T33" i="12"/>
  <c r="T21" i="11" s="1"/>
  <c r="V21" i="11" s="1"/>
  <c r="T35" i="12"/>
  <c r="T23" i="11" s="1"/>
  <c r="V23" i="11" s="1"/>
  <c r="T40" i="12"/>
  <c r="Z19" i="11" s="1"/>
  <c r="AB19" i="11" s="1"/>
  <c r="S45" i="12"/>
  <c r="Y24" i="11" s="1"/>
  <c r="AA24" i="11" s="1"/>
  <c r="S43" i="12"/>
  <c r="Y22" i="11" s="1"/>
  <c r="AA22" i="11" s="1"/>
  <c r="S41" i="12"/>
  <c r="Y20" i="11" s="1"/>
  <c r="AA20" i="11" s="1"/>
  <c r="S39" i="12"/>
  <c r="Y18" i="11" s="1"/>
  <c r="AA18" i="11" s="1"/>
  <c r="AA25" i="11" s="1"/>
  <c r="T42" i="12"/>
  <c r="Z21" i="11" s="1"/>
  <c r="AB21" i="11" s="1"/>
  <c r="T44" i="12"/>
  <c r="Z23" i="11" s="1"/>
  <c r="AB23" i="11" s="1"/>
  <c r="M9" i="3"/>
  <c r="L9" i="3"/>
  <c r="N9" i="3"/>
  <c r="L103" i="3"/>
  <c r="N103" i="3"/>
  <c r="N18" i="3"/>
  <c r="M18" i="3"/>
  <c r="L18" i="3"/>
  <c r="P8" i="3"/>
  <c r="O93" i="3"/>
  <c r="M93" i="3" s="1"/>
  <c r="P117" i="3"/>
  <c r="P127" i="3"/>
  <c r="O134" i="3"/>
  <c r="N134" i="3" s="1"/>
  <c r="P141" i="3"/>
  <c r="O8" i="3"/>
  <c r="M8" i="3" s="1"/>
  <c r="P16" i="3"/>
  <c r="P18" i="3"/>
  <c r="O26" i="3"/>
  <c r="O31" i="3"/>
  <c r="L31" i="3" s="1"/>
  <c r="O34" i="3"/>
  <c r="O39" i="3"/>
  <c r="L39" i="3" s="1"/>
  <c r="P61" i="3"/>
  <c r="P111" i="3"/>
  <c r="O120" i="3"/>
  <c r="N120" i="3" s="1"/>
  <c r="O37" i="3"/>
  <c r="L37" i="3" s="1"/>
  <c r="N61" i="3"/>
  <c r="O102" i="3"/>
  <c r="N102" i="3" s="1"/>
  <c r="P13" i="3"/>
  <c r="O25" i="3"/>
  <c r="L25" i="3" s="1"/>
  <c r="O28" i="3"/>
  <c r="O33" i="3"/>
  <c r="L33" i="3" s="1"/>
  <c r="O36" i="3"/>
  <c r="P59" i="3"/>
  <c r="P65" i="3"/>
  <c r="P95" i="3"/>
  <c r="O101" i="3"/>
  <c r="L101" i="3" s="1"/>
  <c r="P119" i="3"/>
  <c r="O124" i="3"/>
  <c r="N124" i="3" s="1"/>
  <c r="O126" i="3"/>
  <c r="M126" i="3" s="1"/>
  <c r="O127" i="3"/>
  <c r="O128" i="3"/>
  <c r="N15" i="3"/>
  <c r="L16" i="3"/>
  <c r="O17" i="3"/>
  <c r="K40" i="3"/>
  <c r="O40" i="3" s="1"/>
  <c r="L59" i="3"/>
  <c r="O60" i="3"/>
  <c r="L68" i="3"/>
  <c r="L95" i="3"/>
  <c r="O96" i="3"/>
  <c r="O110" i="3"/>
  <c r="N110" i="3" s="1"/>
  <c r="L111" i="3"/>
  <c r="M119" i="3"/>
  <c r="P14" i="3"/>
  <c r="O29" i="3"/>
  <c r="L29" i="3" s="1"/>
  <c r="P103" i="3"/>
  <c r="M24" i="3"/>
  <c r="O27" i="3"/>
  <c r="L27" i="3" s="1"/>
  <c r="O30" i="3"/>
  <c r="M32" i="3"/>
  <c r="O35" i="3"/>
  <c r="L35" i="3" s="1"/>
  <c r="O38" i="3"/>
  <c r="P67" i="3"/>
  <c r="P115" i="3"/>
  <c r="N119" i="3"/>
  <c r="P132" i="3"/>
  <c r="P135" i="3"/>
  <c r="M58" i="3"/>
  <c r="L58" i="3"/>
  <c r="N73" i="3"/>
  <c r="M73" i="3"/>
  <c r="L73" i="3"/>
  <c r="N142" i="3"/>
  <c r="M142" i="3"/>
  <c r="L142" i="3"/>
  <c r="O97" i="3"/>
  <c r="P97" i="3"/>
  <c r="M15" i="3"/>
  <c r="L15" i="3"/>
  <c r="M37" i="3"/>
  <c r="P63" i="3"/>
  <c r="O63" i="3"/>
  <c r="P69" i="3"/>
  <c r="O69" i="3"/>
  <c r="O72" i="3"/>
  <c r="M95" i="3"/>
  <c r="O105" i="3"/>
  <c r="P105" i="3"/>
  <c r="O113" i="3"/>
  <c r="P113" i="3"/>
  <c r="L120" i="3"/>
  <c r="P130" i="3"/>
  <c r="O130" i="3"/>
  <c r="L132" i="3"/>
  <c r="N132" i="3"/>
  <c r="M132" i="3"/>
  <c r="O14" i="3"/>
  <c r="P15" i="3"/>
  <c r="P21" i="3"/>
  <c r="M67" i="3"/>
  <c r="N95" i="3"/>
  <c r="M103" i="3"/>
  <c r="L112" i="3"/>
  <c r="M120" i="3"/>
  <c r="P70" i="3"/>
  <c r="O70" i="3"/>
  <c r="N116" i="3"/>
  <c r="O121" i="3"/>
  <c r="P121" i="3"/>
  <c r="P11" i="3"/>
  <c r="O11" i="3"/>
  <c r="O21" i="3"/>
  <c r="K23" i="3"/>
  <c r="K74" i="3"/>
  <c r="N13" i="3"/>
  <c r="M13" i="3"/>
  <c r="P20" i="3"/>
  <c r="O20" i="3"/>
  <c r="M7" i="3"/>
  <c r="L7" i="3"/>
  <c r="O10" i="3"/>
  <c r="L13" i="3"/>
  <c r="M66" i="3"/>
  <c r="L66" i="3"/>
  <c r="N93" i="3"/>
  <c r="L93" i="3"/>
  <c r="M102" i="3"/>
  <c r="L102" i="3"/>
  <c r="P107" i="3"/>
  <c r="O107" i="3"/>
  <c r="J125" i="3"/>
  <c r="N112" i="3"/>
  <c r="M118" i="3"/>
  <c r="L118" i="3"/>
  <c r="P122" i="3"/>
  <c r="O122" i="3"/>
  <c r="K125" i="3"/>
  <c r="O125" i="3" s="1"/>
  <c r="O129" i="3"/>
  <c r="P129" i="3"/>
  <c r="P139" i="3"/>
  <c r="J23" i="3"/>
  <c r="P123" i="3"/>
  <c r="P138" i="3"/>
  <c r="O138" i="3"/>
  <c r="N7" i="3"/>
  <c r="M94" i="3"/>
  <c r="L94" i="3"/>
  <c r="P7" i="3"/>
  <c r="P19" i="3"/>
  <c r="O19" i="3"/>
  <c r="M27" i="3"/>
  <c r="M35" i="3"/>
  <c r="M39" i="3"/>
  <c r="M59" i="3"/>
  <c r="L61" i="3"/>
  <c r="O65" i="3"/>
  <c r="P71" i="3"/>
  <c r="O71" i="3"/>
  <c r="J108" i="3"/>
  <c r="N101" i="3"/>
  <c r="M101" i="3"/>
  <c r="L110" i="3"/>
  <c r="N117" i="3"/>
  <c r="M117" i="3"/>
  <c r="L117" i="3"/>
  <c r="P131" i="3"/>
  <c r="L100" i="3"/>
  <c r="N100" i="3"/>
  <c r="M100" i="3"/>
  <c r="P106" i="3"/>
  <c r="O106" i="3"/>
  <c r="P114" i="3"/>
  <c r="O114" i="3"/>
  <c r="N133" i="3"/>
  <c r="M133" i="3"/>
  <c r="L133" i="3"/>
  <c r="N140" i="3"/>
  <c r="M140" i="3"/>
  <c r="L140" i="3"/>
  <c r="P62" i="3"/>
  <c r="O62" i="3"/>
  <c r="P99" i="3"/>
  <c r="O99" i="3"/>
  <c r="O137" i="3"/>
  <c r="P137" i="3"/>
  <c r="P12" i="3"/>
  <c r="O12" i="3"/>
  <c r="N27" i="3"/>
  <c r="N58" i="3"/>
  <c r="N59" i="3"/>
  <c r="M61" i="3"/>
  <c r="O64" i="3"/>
  <c r="K108" i="3"/>
  <c r="P98" i="3"/>
  <c r="O98" i="3"/>
  <c r="N109" i="3"/>
  <c r="M109" i="3"/>
  <c r="L109" i="3"/>
  <c r="N141" i="3"/>
  <c r="M141" i="3"/>
  <c r="L141" i="3"/>
  <c r="P24" i="3"/>
  <c r="P40" i="3" s="1"/>
  <c r="O115" i="3"/>
  <c r="O123" i="3"/>
  <c r="O131" i="3"/>
  <c r="O139" i="3"/>
  <c r="O92" i="3"/>
  <c r="F12" i="10"/>
  <c r="I7" i="10"/>
  <c r="I6" i="10"/>
  <c r="G5" i="20" s="1"/>
  <c r="E12" i="10"/>
  <c r="F25" i="20"/>
  <c r="H17" i="20"/>
  <c r="G11" i="11"/>
  <c r="V25" i="20"/>
  <c r="E25" i="20"/>
  <c r="AA25" i="20"/>
  <c r="AB25" i="20"/>
  <c r="U25" i="20"/>
  <c r="G25" i="20"/>
  <c r="K25" i="20"/>
  <c r="M17" i="20"/>
  <c r="L25" i="20"/>
  <c r="N17" i="20"/>
  <c r="G6" i="11"/>
  <c r="G7" i="11" s="1"/>
  <c r="D30" i="11" s="1"/>
  <c r="V25" i="11" l="1"/>
  <c r="W24" i="11" s="1"/>
  <c r="U25" i="11"/>
  <c r="L22" i="3"/>
  <c r="M22" i="3"/>
  <c r="O108" i="3"/>
  <c r="N35" i="3"/>
  <c r="L134" i="3"/>
  <c r="L116" i="3"/>
  <c r="N39" i="3"/>
  <c r="L32" i="3"/>
  <c r="N32" i="3"/>
  <c r="M134" i="3"/>
  <c r="O74" i="3"/>
  <c r="X21" i="11"/>
  <c r="X19" i="11"/>
  <c r="X18" i="11"/>
  <c r="W19" i="11"/>
  <c r="W22" i="11"/>
  <c r="X17" i="11"/>
  <c r="W21" i="11"/>
  <c r="X20" i="11"/>
  <c r="W23" i="11"/>
  <c r="W18" i="11"/>
  <c r="X23" i="11"/>
  <c r="AD24" i="11"/>
  <c r="AD19" i="11"/>
  <c r="AC23" i="11"/>
  <c r="AC22" i="11"/>
  <c r="AD23" i="11"/>
  <c r="AC19" i="11"/>
  <c r="AC24" i="11"/>
  <c r="W20" i="11"/>
  <c r="E25" i="11"/>
  <c r="G17" i="11"/>
  <c r="AB25" i="11"/>
  <c r="AD21" i="11" s="1"/>
  <c r="L25" i="11"/>
  <c r="N17" i="11"/>
  <c r="N25" i="11" s="1"/>
  <c r="K25" i="11"/>
  <c r="M17" i="11"/>
  <c r="M25" i="11" s="1"/>
  <c r="O18" i="11" s="1"/>
  <c r="F25" i="11"/>
  <c r="H17" i="11"/>
  <c r="M60" i="3"/>
  <c r="N60" i="3"/>
  <c r="L60" i="3"/>
  <c r="L28" i="3"/>
  <c r="N28" i="3"/>
  <c r="M28" i="3"/>
  <c r="P108" i="3"/>
  <c r="N31" i="3"/>
  <c r="M31" i="3"/>
  <c r="N37" i="3"/>
  <c r="P74" i="3"/>
  <c r="N17" i="3"/>
  <c r="M17" i="3"/>
  <c r="L17" i="3"/>
  <c r="L34" i="3"/>
  <c r="M34" i="3"/>
  <c r="N34" i="3"/>
  <c r="P125" i="3"/>
  <c r="N33" i="3"/>
  <c r="L30" i="3"/>
  <c r="N30" i="3"/>
  <c r="M30" i="3"/>
  <c r="L124" i="3"/>
  <c r="N29" i="3"/>
  <c r="M33" i="3"/>
  <c r="N96" i="3"/>
  <c r="M96" i="3"/>
  <c r="L96" i="3"/>
  <c r="L26" i="3"/>
  <c r="M26" i="3"/>
  <c r="N26" i="3"/>
  <c r="L38" i="3"/>
  <c r="N38" i="3"/>
  <c r="M38" i="3"/>
  <c r="M124" i="3"/>
  <c r="N25" i="3"/>
  <c r="L8" i="3"/>
  <c r="N8" i="3"/>
  <c r="N126" i="3"/>
  <c r="L126" i="3"/>
  <c r="M29" i="3"/>
  <c r="N128" i="3"/>
  <c r="M128" i="3"/>
  <c r="L128" i="3"/>
  <c r="P142" i="3"/>
  <c r="M110" i="3"/>
  <c r="M25" i="3"/>
  <c r="L127" i="3"/>
  <c r="N127" i="3"/>
  <c r="M127" i="3"/>
  <c r="L36" i="3"/>
  <c r="N36" i="3"/>
  <c r="M36" i="3"/>
  <c r="N98" i="3"/>
  <c r="M98" i="3"/>
  <c r="L98" i="3"/>
  <c r="M19" i="3"/>
  <c r="L19" i="3"/>
  <c r="N19" i="3"/>
  <c r="N97" i="3"/>
  <c r="M97" i="3"/>
  <c r="L97" i="3"/>
  <c r="L72" i="3"/>
  <c r="N72" i="3"/>
  <c r="M72" i="3"/>
  <c r="N108" i="3"/>
  <c r="M108" i="3"/>
  <c r="L108" i="3"/>
  <c r="N114" i="3"/>
  <c r="M114" i="3"/>
  <c r="L114" i="3"/>
  <c r="N122" i="3"/>
  <c r="M122" i="3"/>
  <c r="L122" i="3"/>
  <c r="N10" i="3"/>
  <c r="M10" i="3"/>
  <c r="L10" i="3"/>
  <c r="O23" i="3"/>
  <c r="B216" i="3"/>
  <c r="N69" i="3"/>
  <c r="M69" i="3"/>
  <c r="L69" i="3"/>
  <c r="M115" i="3"/>
  <c r="N115" i="3"/>
  <c r="L115" i="3"/>
  <c r="N129" i="3"/>
  <c r="M129" i="3"/>
  <c r="L129" i="3"/>
  <c r="N125" i="3"/>
  <c r="M125" i="3"/>
  <c r="L125" i="3"/>
  <c r="M99" i="3"/>
  <c r="N99" i="3"/>
  <c r="L99" i="3"/>
  <c r="N121" i="3"/>
  <c r="M121" i="3"/>
  <c r="L121" i="3"/>
  <c r="N105" i="3"/>
  <c r="M105" i="3"/>
  <c r="L105" i="3"/>
  <c r="N107" i="3"/>
  <c r="M107" i="3"/>
  <c r="L107" i="3"/>
  <c r="M62" i="3"/>
  <c r="N62" i="3"/>
  <c r="L62" i="3"/>
  <c r="N74" i="3"/>
  <c r="M74" i="3"/>
  <c r="L74" i="3"/>
  <c r="N130" i="3"/>
  <c r="M130" i="3"/>
  <c r="L130" i="3"/>
  <c r="M139" i="3"/>
  <c r="N139" i="3"/>
  <c r="L139" i="3"/>
  <c r="M131" i="3"/>
  <c r="N131" i="3"/>
  <c r="L131" i="3"/>
  <c r="N64" i="3"/>
  <c r="M64" i="3"/>
  <c r="L64" i="3"/>
  <c r="N12" i="3"/>
  <c r="L12" i="3"/>
  <c r="M12" i="3"/>
  <c r="N138" i="3"/>
  <c r="M138" i="3"/>
  <c r="L138" i="3"/>
  <c r="N21" i="3"/>
  <c r="M21" i="3"/>
  <c r="L21" i="3"/>
  <c r="M70" i="3"/>
  <c r="L70" i="3"/>
  <c r="N70" i="3"/>
  <c r="N20" i="3"/>
  <c r="L20" i="3"/>
  <c r="M20" i="3"/>
  <c r="N113" i="3"/>
  <c r="M113" i="3"/>
  <c r="L113" i="3"/>
  <c r="N137" i="3"/>
  <c r="M137" i="3"/>
  <c r="L137" i="3"/>
  <c r="N65" i="3"/>
  <c r="M65" i="3"/>
  <c r="L65" i="3"/>
  <c r="P23" i="3"/>
  <c r="L92" i="3"/>
  <c r="N92" i="3"/>
  <c r="M92" i="3"/>
  <c r="N40" i="3"/>
  <c r="M40" i="3"/>
  <c r="L40" i="3"/>
  <c r="M123" i="3"/>
  <c r="N123" i="3"/>
  <c r="L123" i="3"/>
  <c r="N106" i="3"/>
  <c r="M106" i="3"/>
  <c r="L106" i="3"/>
  <c r="N71" i="3"/>
  <c r="M71" i="3"/>
  <c r="L71" i="3"/>
  <c r="M11" i="3"/>
  <c r="N11" i="3"/>
  <c r="L11" i="3"/>
  <c r="N14" i="3"/>
  <c r="M14" i="3"/>
  <c r="L14" i="3"/>
  <c r="N63" i="3"/>
  <c r="L63" i="3"/>
  <c r="M63" i="3"/>
  <c r="G6" i="20"/>
  <c r="G7" i="20" s="1"/>
  <c r="D30" i="20" s="1"/>
  <c r="I12" i="10"/>
  <c r="G8" i="20" s="1"/>
  <c r="H12" i="10"/>
  <c r="G12" i="10"/>
  <c r="I11" i="10"/>
  <c r="M25" i="20"/>
  <c r="E30" i="11"/>
  <c r="G30" i="11" s="1"/>
  <c r="N25" i="20"/>
  <c r="I10" i="10"/>
  <c r="H25" i="20"/>
  <c r="J23" i="20" s="1"/>
  <c r="P19" i="11" l="1"/>
  <c r="P21" i="11"/>
  <c r="O24" i="11"/>
  <c r="AG24" i="11" s="1"/>
  <c r="AC20" i="11"/>
  <c r="AG20" i="11" s="1"/>
  <c r="AD18" i="11"/>
  <c r="W17" i="11"/>
  <c r="X24" i="11"/>
  <c r="O19" i="11"/>
  <c r="AD20" i="11"/>
  <c r="X22" i="11"/>
  <c r="O20" i="11"/>
  <c r="O23" i="11"/>
  <c r="AG23" i="11" s="1"/>
  <c r="H25" i="11"/>
  <c r="P23" i="11"/>
  <c r="P20" i="11"/>
  <c r="O17" i="11"/>
  <c r="O22" i="11"/>
  <c r="AG22" i="11" s="1"/>
  <c r="O21" i="11"/>
  <c r="P22" i="11"/>
  <c r="P24" i="11"/>
  <c r="AH24" i="11" s="1"/>
  <c r="AC21" i="11"/>
  <c r="AD17" i="11"/>
  <c r="P18" i="11"/>
  <c r="P17" i="11"/>
  <c r="AC18" i="11"/>
  <c r="AG18" i="11" s="1"/>
  <c r="AD22" i="11"/>
  <c r="AC17" i="11"/>
  <c r="G25" i="11"/>
  <c r="M23" i="3"/>
  <c r="D216" i="3" s="1"/>
  <c r="N23" i="3"/>
  <c r="E216" i="3" s="1"/>
  <c r="L23" i="3"/>
  <c r="C216" i="3" s="1"/>
  <c r="E30" i="20"/>
  <c r="G30" i="20" s="1"/>
  <c r="AG19" i="11"/>
  <c r="F30" i="11"/>
  <c r="K30" i="11" s="1"/>
  <c r="P30" i="11" s="1"/>
  <c r="O17" i="20"/>
  <c r="J18" i="20"/>
  <c r="G10" i="20"/>
  <c r="I9" i="10"/>
  <c r="I22" i="20"/>
  <c r="AH19" i="11"/>
  <c r="I23" i="20"/>
  <c r="J24" i="20"/>
  <c r="G9" i="20"/>
  <c r="I8" i="10"/>
  <c r="AH21" i="11"/>
  <c r="I24" i="20"/>
  <c r="I20" i="20"/>
  <c r="J19" i="20"/>
  <c r="I21" i="20"/>
  <c r="J20" i="20"/>
  <c r="I17" i="20"/>
  <c r="I18" i="20"/>
  <c r="J21" i="20"/>
  <c r="J22" i="20"/>
  <c r="P18" i="20"/>
  <c r="O21" i="20"/>
  <c r="P19" i="20"/>
  <c r="P23" i="20"/>
  <c r="R23" i="20" s="1"/>
  <c r="O20" i="20"/>
  <c r="O19" i="20"/>
  <c r="O18" i="20"/>
  <c r="P20" i="20"/>
  <c r="O23" i="20"/>
  <c r="P24" i="20"/>
  <c r="P22" i="20"/>
  <c r="O22" i="20"/>
  <c r="O24" i="20"/>
  <c r="P21" i="20"/>
  <c r="J17" i="20"/>
  <c r="P17" i="20"/>
  <c r="I19" i="20"/>
  <c r="I17" i="11" l="1"/>
  <c r="AE17" i="11" s="1"/>
  <c r="AI17" i="11" s="1"/>
  <c r="AH18" i="11"/>
  <c r="AH20" i="11"/>
  <c r="AH22" i="11"/>
  <c r="AG21" i="11"/>
  <c r="P25" i="11"/>
  <c r="Q17" i="11"/>
  <c r="R22" i="11"/>
  <c r="AH23" i="11"/>
  <c r="O25" i="11"/>
  <c r="AH17" i="11"/>
  <c r="AG17" i="11"/>
  <c r="J23" i="11"/>
  <c r="I18" i="11"/>
  <c r="J20" i="11"/>
  <c r="I20" i="11"/>
  <c r="J21" i="11"/>
  <c r="I22" i="11"/>
  <c r="I19" i="11"/>
  <c r="J18" i="11"/>
  <c r="R18" i="11" s="1"/>
  <c r="J22" i="11"/>
  <c r="J24" i="11"/>
  <c r="I24" i="11"/>
  <c r="I23" i="11"/>
  <c r="I21" i="11"/>
  <c r="Q21" i="11" s="1"/>
  <c r="J19" i="11"/>
  <c r="J17" i="11"/>
  <c r="F30" i="20"/>
  <c r="L30" i="20" s="1"/>
  <c r="Q30" i="20" s="1"/>
  <c r="D33" i="20"/>
  <c r="E33" i="20" s="1"/>
  <c r="G33" i="20" s="1"/>
  <c r="L30" i="11"/>
  <c r="Q30" i="11" s="1"/>
  <c r="V30" i="11" s="1"/>
  <c r="AA30" i="11" s="1"/>
  <c r="I30" i="11"/>
  <c r="N30" i="11" s="1"/>
  <c r="S30" i="11" s="1"/>
  <c r="X30" i="11" s="1"/>
  <c r="R24" i="20"/>
  <c r="Q21" i="20"/>
  <c r="D43" i="20"/>
  <c r="E43" i="20" s="1"/>
  <c r="H30" i="11"/>
  <c r="M30" i="11" s="1"/>
  <c r="R30" i="11" s="1"/>
  <c r="W30" i="11" s="1"/>
  <c r="D32" i="20"/>
  <c r="E32" i="20" s="1"/>
  <c r="G32" i="20" s="1"/>
  <c r="D31" i="20"/>
  <c r="E31" i="20" s="1"/>
  <c r="G31" i="20" s="1"/>
  <c r="D42" i="20"/>
  <c r="E42" i="20" s="1"/>
  <c r="G42" i="20" s="1"/>
  <c r="J30" i="11"/>
  <c r="O30" i="11" s="1"/>
  <c r="T30" i="11" s="1"/>
  <c r="Y30" i="11" s="1"/>
  <c r="Q24" i="20"/>
  <c r="Q20" i="20"/>
  <c r="Q22" i="20"/>
  <c r="D44" i="20"/>
  <c r="E44" i="20" s="1"/>
  <c r="G44" i="20" s="1"/>
  <c r="Q23" i="20"/>
  <c r="D41" i="20"/>
  <c r="E41" i="20" s="1"/>
  <c r="G41" i="20" s="1"/>
  <c r="D40" i="20"/>
  <c r="R22" i="20"/>
  <c r="R19" i="20"/>
  <c r="D35" i="20"/>
  <c r="D36" i="20"/>
  <c r="D37" i="20"/>
  <c r="R20" i="20"/>
  <c r="D38" i="20"/>
  <c r="D39" i="20"/>
  <c r="Q18" i="20"/>
  <c r="G11" i="20"/>
  <c r="X21" i="20"/>
  <c r="X24" i="20"/>
  <c r="W20" i="20"/>
  <c r="X18" i="20"/>
  <c r="W18" i="20"/>
  <c r="W24" i="20"/>
  <c r="X23" i="20"/>
  <c r="X20" i="20"/>
  <c r="W19" i="20"/>
  <c r="W17" i="20"/>
  <c r="W22" i="20"/>
  <c r="W21" i="20"/>
  <c r="X19" i="20"/>
  <c r="W23" i="20"/>
  <c r="X22" i="20"/>
  <c r="X17" i="20"/>
  <c r="AD22" i="20"/>
  <c r="AH22" i="20" s="1"/>
  <c r="AC18" i="20"/>
  <c r="AG18" i="20" s="1"/>
  <c r="AD21" i="20"/>
  <c r="AH21" i="20" s="1"/>
  <c r="AD19" i="20"/>
  <c r="AH19" i="20" s="1"/>
  <c r="AD18" i="20"/>
  <c r="AH18" i="20" s="1"/>
  <c r="AC21" i="20"/>
  <c r="AG21" i="20" s="1"/>
  <c r="AC24" i="20"/>
  <c r="AG24" i="20" s="1"/>
  <c r="AC20" i="20"/>
  <c r="AG20" i="20" s="1"/>
  <c r="AC19" i="20"/>
  <c r="AG19" i="20" s="1"/>
  <c r="AC17" i="20"/>
  <c r="AG17" i="20" s="1"/>
  <c r="AD20" i="20"/>
  <c r="AH20" i="20" s="1"/>
  <c r="AD17" i="20"/>
  <c r="AH17" i="20" s="1"/>
  <c r="AD23" i="20"/>
  <c r="AH23" i="20" s="1"/>
  <c r="AD24" i="20"/>
  <c r="AH24" i="20" s="1"/>
  <c r="AC23" i="20"/>
  <c r="AG23" i="20" s="1"/>
  <c r="AC22" i="20"/>
  <c r="AG22" i="20" s="1"/>
  <c r="D45" i="20"/>
  <c r="U30" i="11"/>
  <c r="Z30" i="11" s="1"/>
  <c r="R18" i="20"/>
  <c r="D34" i="20"/>
  <c r="P25" i="20"/>
  <c r="R17" i="20"/>
  <c r="R21" i="20"/>
  <c r="Q19" i="20"/>
  <c r="D46" i="20"/>
  <c r="Q17" i="20"/>
  <c r="O25" i="20"/>
  <c r="D31" i="11" l="1"/>
  <c r="E31" i="11" s="1"/>
  <c r="G31" i="11" s="1"/>
  <c r="AF20" i="11"/>
  <c r="AJ20" i="11" s="1"/>
  <c r="D42" i="11"/>
  <c r="E42" i="11" s="1"/>
  <c r="G42" i="11" s="1"/>
  <c r="R24" i="11"/>
  <c r="D46" i="11"/>
  <c r="E46" i="11" s="1"/>
  <c r="G46" i="11" s="1"/>
  <c r="AF24" i="11"/>
  <c r="AJ24" i="11" s="1"/>
  <c r="AF23" i="11"/>
  <c r="AJ23" i="11" s="1"/>
  <c r="D45" i="11"/>
  <c r="E45" i="11" s="1"/>
  <c r="G45" i="11" s="1"/>
  <c r="AE21" i="11"/>
  <c r="AI21" i="11" s="1"/>
  <c r="D35" i="11"/>
  <c r="AF21" i="11"/>
  <c r="AJ21" i="11" s="1"/>
  <c r="D43" i="11"/>
  <c r="R21" i="11"/>
  <c r="AE23" i="11"/>
  <c r="AI23" i="11" s="1"/>
  <c r="Q23" i="11"/>
  <c r="D37" i="11"/>
  <c r="D34" i="11"/>
  <c r="E34" i="11" s="1"/>
  <c r="G34" i="11" s="1"/>
  <c r="AE20" i="11"/>
  <c r="AI20" i="11" s="1"/>
  <c r="Q20" i="11"/>
  <c r="Q18" i="11"/>
  <c r="AE18" i="11"/>
  <c r="AI18" i="11" s="1"/>
  <c r="D32" i="11"/>
  <c r="E32" i="11" s="1"/>
  <c r="G32" i="11" s="1"/>
  <c r="R23" i="11"/>
  <c r="R20" i="11"/>
  <c r="AF18" i="11"/>
  <c r="AJ18" i="11" s="1"/>
  <c r="D40" i="11"/>
  <c r="E40" i="11" s="1"/>
  <c r="G40" i="11" s="1"/>
  <c r="D44" i="11"/>
  <c r="AF22" i="11"/>
  <c r="AJ22" i="11" s="1"/>
  <c r="D39" i="11"/>
  <c r="AF17" i="11"/>
  <c r="AJ17" i="11" s="1"/>
  <c r="R17" i="11"/>
  <c r="AE19" i="11"/>
  <c r="AI19" i="11" s="1"/>
  <c r="D33" i="11"/>
  <c r="Q19" i="11"/>
  <c r="AE24" i="11"/>
  <c r="AI24" i="11" s="1"/>
  <c r="D38" i="11"/>
  <c r="Q24" i="11"/>
  <c r="AF19" i="11"/>
  <c r="AJ19" i="11" s="1"/>
  <c r="R19" i="11"/>
  <c r="D41" i="11"/>
  <c r="E41" i="11" s="1"/>
  <c r="G41" i="11" s="1"/>
  <c r="AE22" i="11"/>
  <c r="AI22" i="11" s="1"/>
  <c r="D36" i="11"/>
  <c r="E36" i="11" s="1"/>
  <c r="G36" i="11" s="1"/>
  <c r="Q22" i="11"/>
  <c r="H30" i="20"/>
  <c r="M30" i="20" s="1"/>
  <c r="R30" i="20" s="1"/>
  <c r="W30" i="20" s="1"/>
  <c r="I30" i="20"/>
  <c r="N30" i="20" s="1"/>
  <c r="S30" i="20" s="1"/>
  <c r="X30" i="20" s="1"/>
  <c r="J30" i="20"/>
  <c r="O30" i="20" s="1"/>
  <c r="T30" i="20" s="1"/>
  <c r="Y30" i="20" s="1"/>
  <c r="K30" i="20"/>
  <c r="P30" i="20" s="1"/>
  <c r="U30" i="20" s="1"/>
  <c r="Z30" i="20" s="1"/>
  <c r="F45" i="11"/>
  <c r="L45" i="11" s="1"/>
  <c r="Q45" i="11" s="1"/>
  <c r="F32" i="20"/>
  <c r="H32" i="20" s="1"/>
  <c r="M32" i="20" s="1"/>
  <c r="G43" i="20"/>
  <c r="F43" i="20"/>
  <c r="F36" i="11"/>
  <c r="J36" i="11" s="1"/>
  <c r="O36" i="11" s="1"/>
  <c r="F31" i="11"/>
  <c r="K31" i="11" s="1"/>
  <c r="P31" i="11" s="1"/>
  <c r="E40" i="20"/>
  <c r="G40" i="20" s="1"/>
  <c r="F31" i="20"/>
  <c r="L31" i="20" s="1"/>
  <c r="Q31" i="20" s="1"/>
  <c r="AF22" i="20"/>
  <c r="AJ22" i="20" s="1"/>
  <c r="AF23" i="20"/>
  <c r="AJ23" i="20" s="1"/>
  <c r="E46" i="20"/>
  <c r="G46" i="20" s="1"/>
  <c r="V30" i="20"/>
  <c r="AA30" i="20" s="1"/>
  <c r="AE23" i="20"/>
  <c r="AI23" i="20" s="1"/>
  <c r="AE24" i="20"/>
  <c r="AI24" i="20" s="1"/>
  <c r="F40" i="11"/>
  <c r="F42" i="20"/>
  <c r="AF19" i="20"/>
  <c r="AJ19" i="20" s="1"/>
  <c r="AE18" i="20"/>
  <c r="AI18" i="20" s="1"/>
  <c r="AE21" i="20"/>
  <c r="AI21" i="20" s="1"/>
  <c r="F44" i="20"/>
  <c r="AE22" i="20"/>
  <c r="AI22" i="20" s="1"/>
  <c r="E36" i="20"/>
  <c r="G36" i="20" s="1"/>
  <c r="AE17" i="20"/>
  <c r="AI17" i="20" s="1"/>
  <c r="F42" i="11"/>
  <c r="E34" i="20"/>
  <c r="G34" i="20" s="1"/>
  <c r="E45" i="20"/>
  <c r="G45" i="20" s="1"/>
  <c r="AE19" i="20"/>
  <c r="AI19" i="20" s="1"/>
  <c r="AF21" i="20"/>
  <c r="AJ21" i="20" s="1"/>
  <c r="E38" i="20"/>
  <c r="G38" i="20" s="1"/>
  <c r="F41" i="20"/>
  <c r="AF18" i="20"/>
  <c r="AJ18" i="20" s="1"/>
  <c r="E39" i="20"/>
  <c r="G39" i="20" s="1"/>
  <c r="AE20" i="20"/>
  <c r="AI20" i="20" s="1"/>
  <c r="E35" i="20"/>
  <c r="G35" i="20" s="1"/>
  <c r="AF24" i="20"/>
  <c r="AJ24" i="20" s="1"/>
  <c r="F33" i="20"/>
  <c r="AF17" i="20"/>
  <c r="AJ17" i="20" s="1"/>
  <c r="AF20" i="20"/>
  <c r="AJ20" i="20" s="1"/>
  <c r="E37" i="20"/>
  <c r="G37" i="20" s="1"/>
  <c r="F46" i="11" l="1"/>
  <c r="F41" i="11"/>
  <c r="E39" i="11"/>
  <c r="G39" i="11" s="1"/>
  <c r="F39" i="11"/>
  <c r="E33" i="11"/>
  <c r="G33" i="11" s="1"/>
  <c r="E37" i="11"/>
  <c r="G37" i="11" s="1"/>
  <c r="F32" i="11"/>
  <c r="J32" i="11" s="1"/>
  <c r="O32" i="11" s="1"/>
  <c r="T32" i="11" s="1"/>
  <c r="AD32" i="11" s="1"/>
  <c r="E38" i="11"/>
  <c r="G38" i="11" s="1"/>
  <c r="E43" i="11"/>
  <c r="G43" i="11" s="1"/>
  <c r="E44" i="11"/>
  <c r="G44" i="11" s="1"/>
  <c r="F44" i="11"/>
  <c r="F34" i="11"/>
  <c r="L34" i="11" s="1"/>
  <c r="Q34" i="11" s="1"/>
  <c r="V34" i="11" s="1"/>
  <c r="AF34" i="11" s="1"/>
  <c r="E35" i="11"/>
  <c r="G35" i="11" s="1"/>
  <c r="K45" i="11"/>
  <c r="P45" i="11" s="1"/>
  <c r="U45" i="11" s="1"/>
  <c r="AE45" i="11" s="1"/>
  <c r="J31" i="20"/>
  <c r="O31" i="20" s="1"/>
  <c r="T31" i="20" s="1"/>
  <c r="AD31" i="20" s="1"/>
  <c r="J32" i="20"/>
  <c r="O32" i="20" s="1"/>
  <c r="T32" i="20" s="1"/>
  <c r="AD32" i="20" s="1"/>
  <c r="K32" i="20"/>
  <c r="P32" i="20" s="1"/>
  <c r="U32" i="20" s="1"/>
  <c r="AE32" i="20" s="1"/>
  <c r="I31" i="20"/>
  <c r="N31" i="20" s="1"/>
  <c r="S31" i="20" s="1"/>
  <c r="AC31" i="20" s="1"/>
  <c r="K43" i="20"/>
  <c r="P43" i="20" s="1"/>
  <c r="U43" i="20" s="1"/>
  <c r="AE43" i="20" s="1"/>
  <c r="J45" i="11"/>
  <c r="O45" i="11" s="1"/>
  <c r="T45" i="11" s="1"/>
  <c r="AD45" i="11" s="1"/>
  <c r="H45" i="11"/>
  <c r="M45" i="11" s="1"/>
  <c r="R45" i="11" s="1"/>
  <c r="AB45" i="11" s="1"/>
  <c r="I45" i="11"/>
  <c r="N45" i="11" s="1"/>
  <c r="S45" i="11" s="1"/>
  <c r="AC45" i="11" s="1"/>
  <c r="K31" i="20"/>
  <c r="P31" i="20" s="1"/>
  <c r="U31" i="20" s="1"/>
  <c r="AE31" i="20" s="1"/>
  <c r="I32" i="20"/>
  <c r="N32" i="20" s="1"/>
  <c r="S32" i="20" s="1"/>
  <c r="AC32" i="20" s="1"/>
  <c r="L32" i="20"/>
  <c r="Q32" i="20" s="1"/>
  <c r="V32" i="20" s="1"/>
  <c r="AF32" i="20" s="1"/>
  <c r="H43" i="20"/>
  <c r="M43" i="20" s="1"/>
  <c r="R43" i="20" s="1"/>
  <c r="AB43" i="20" s="1"/>
  <c r="I43" i="20"/>
  <c r="N43" i="20" s="1"/>
  <c r="S43" i="20" s="1"/>
  <c r="AC43" i="20" s="1"/>
  <c r="J43" i="20"/>
  <c r="O43" i="20" s="1"/>
  <c r="T43" i="20" s="1"/>
  <c r="AD43" i="20" s="1"/>
  <c r="L43" i="20"/>
  <c r="Q43" i="20" s="1"/>
  <c r="V43" i="20" s="1"/>
  <c r="AF43" i="20" s="1"/>
  <c r="I31" i="11"/>
  <c r="N31" i="11" s="1"/>
  <c r="S31" i="11" s="1"/>
  <c r="AC31" i="11" s="1"/>
  <c r="H31" i="20"/>
  <c r="M31" i="20" s="1"/>
  <c r="R31" i="20" s="1"/>
  <c r="AB31" i="20" s="1"/>
  <c r="L36" i="11"/>
  <c r="Q36" i="11" s="1"/>
  <c r="V36" i="11" s="1"/>
  <c r="AF36" i="11" s="1"/>
  <c r="H36" i="11"/>
  <c r="M36" i="11" s="1"/>
  <c r="R36" i="11" s="1"/>
  <c r="AB36" i="11" s="1"/>
  <c r="L31" i="11"/>
  <c r="Q31" i="11" s="1"/>
  <c r="V31" i="11" s="1"/>
  <c r="AF31" i="11" s="1"/>
  <c r="K36" i="11"/>
  <c r="P36" i="11" s="1"/>
  <c r="U36" i="11" s="1"/>
  <c r="AE36" i="11" s="1"/>
  <c r="J31" i="11"/>
  <c r="O31" i="11" s="1"/>
  <c r="T31" i="11" s="1"/>
  <c r="AD31" i="11" s="1"/>
  <c r="I36" i="11"/>
  <c r="N36" i="11" s="1"/>
  <c r="H31" i="11"/>
  <c r="M31" i="11" s="1"/>
  <c r="R31" i="11" s="1"/>
  <c r="F36" i="20"/>
  <c r="K36" i="20" s="1"/>
  <c r="P36" i="20" s="1"/>
  <c r="F40" i="20"/>
  <c r="V45" i="11"/>
  <c r="AF45" i="11" s="1"/>
  <c r="L44" i="20"/>
  <c r="Q44" i="20" s="1"/>
  <c r="I44" i="20"/>
  <c r="N44" i="20" s="1"/>
  <c r="K44" i="20"/>
  <c r="P44" i="20" s="1"/>
  <c r="J44" i="20"/>
  <c r="O44" i="20" s="1"/>
  <c r="H44" i="20"/>
  <c r="M44" i="20" s="1"/>
  <c r="I41" i="20"/>
  <c r="N41" i="20" s="1"/>
  <c r="J41" i="20"/>
  <c r="O41" i="20" s="1"/>
  <c r="H41" i="20"/>
  <c r="M41" i="20" s="1"/>
  <c r="L41" i="20"/>
  <c r="Q41" i="20" s="1"/>
  <c r="K41" i="20"/>
  <c r="P41" i="20" s="1"/>
  <c r="H40" i="11"/>
  <c r="M40" i="11" s="1"/>
  <c r="L40" i="11"/>
  <c r="Q40" i="11" s="1"/>
  <c r="K40" i="11"/>
  <c r="P40" i="11" s="1"/>
  <c r="J40" i="11"/>
  <c r="O40" i="11" s="1"/>
  <c r="I40" i="11"/>
  <c r="N40" i="11" s="1"/>
  <c r="F37" i="20"/>
  <c r="F45" i="20"/>
  <c r="I33" i="20"/>
  <c r="N33" i="20" s="1"/>
  <c r="L33" i="20"/>
  <c r="Q33" i="20" s="1"/>
  <c r="K33" i="20"/>
  <c r="P33" i="20" s="1"/>
  <c r="J33" i="20"/>
  <c r="O33" i="20" s="1"/>
  <c r="H33" i="20"/>
  <c r="M33" i="20" s="1"/>
  <c r="T36" i="11"/>
  <c r="AD36" i="11" s="1"/>
  <c r="R32" i="20"/>
  <c r="AB32" i="20" s="1"/>
  <c r="F35" i="20"/>
  <c r="F34" i="20"/>
  <c r="J42" i="20"/>
  <c r="O42" i="20" s="1"/>
  <c r="L42" i="20"/>
  <c r="Q42" i="20" s="1"/>
  <c r="K42" i="20"/>
  <c r="P42" i="20" s="1"/>
  <c r="I42" i="20"/>
  <c r="N42" i="20" s="1"/>
  <c r="H42" i="20"/>
  <c r="M42" i="20" s="1"/>
  <c r="V31" i="20"/>
  <c r="AF31" i="20" s="1"/>
  <c r="H41" i="11"/>
  <c r="M41" i="11" s="1"/>
  <c r="L41" i="11"/>
  <c r="Q41" i="11" s="1"/>
  <c r="I41" i="11"/>
  <c r="N41" i="11" s="1"/>
  <c r="K41" i="11"/>
  <c r="P41" i="11" s="1"/>
  <c r="J41" i="11"/>
  <c r="O41" i="11" s="1"/>
  <c r="F46" i="20"/>
  <c r="K46" i="11"/>
  <c r="P46" i="11" s="1"/>
  <c r="J46" i="11"/>
  <c r="O46" i="11" s="1"/>
  <c r="I46" i="11"/>
  <c r="N46" i="11" s="1"/>
  <c r="L46" i="11"/>
  <c r="Q46" i="11" s="1"/>
  <c r="H46" i="11"/>
  <c r="M46" i="11" s="1"/>
  <c r="I42" i="11"/>
  <c r="N42" i="11" s="1"/>
  <c r="L42" i="11"/>
  <c r="Q42" i="11" s="1"/>
  <c r="K42" i="11"/>
  <c r="P42" i="11" s="1"/>
  <c r="J42" i="11"/>
  <c r="O42" i="11" s="1"/>
  <c r="H42" i="11"/>
  <c r="M42" i="11" s="1"/>
  <c r="F38" i="20"/>
  <c r="F39" i="20"/>
  <c r="U31" i="11"/>
  <c r="AE31" i="11" s="1"/>
  <c r="K34" i="11" l="1"/>
  <c r="P34" i="11" s="1"/>
  <c r="U34" i="11" s="1"/>
  <c r="AE34" i="11" s="1"/>
  <c r="F37" i="11"/>
  <c r="I37" i="11" s="1"/>
  <c r="N37" i="11" s="1"/>
  <c r="S37" i="11" s="1"/>
  <c r="AC37" i="11" s="1"/>
  <c r="F33" i="11"/>
  <c r="J33" i="11" s="1"/>
  <c r="O33" i="11" s="1"/>
  <c r="T33" i="11" s="1"/>
  <c r="AD33" i="11" s="1"/>
  <c r="F38" i="11"/>
  <c r="J38" i="11" s="1"/>
  <c r="O38" i="11" s="1"/>
  <c r="L37" i="11"/>
  <c r="Q37" i="11" s="1"/>
  <c r="V37" i="11" s="1"/>
  <c r="AF37" i="11" s="1"/>
  <c r="K37" i="11"/>
  <c r="P37" i="11" s="1"/>
  <c r="U37" i="11" s="1"/>
  <c r="AE37" i="11" s="1"/>
  <c r="H37" i="11"/>
  <c r="M37" i="11" s="1"/>
  <c r="R37" i="11" s="1"/>
  <c r="AB37" i="11" s="1"/>
  <c r="J37" i="11"/>
  <c r="O37" i="11" s="1"/>
  <c r="T37" i="11" s="1"/>
  <c r="AD37" i="11" s="1"/>
  <c r="F35" i="11"/>
  <c r="J34" i="11"/>
  <c r="O34" i="11" s="1"/>
  <c r="T34" i="11" s="1"/>
  <c r="AD34" i="11" s="1"/>
  <c r="K32" i="11"/>
  <c r="P32" i="11" s="1"/>
  <c r="U32" i="11" s="1"/>
  <c r="AE32" i="11" s="1"/>
  <c r="L33" i="11"/>
  <c r="Q33" i="11" s="1"/>
  <c r="V33" i="11" s="1"/>
  <c r="AF33" i="11" s="1"/>
  <c r="K33" i="11"/>
  <c r="P33" i="11" s="1"/>
  <c r="U33" i="11" s="1"/>
  <c r="AE33" i="11" s="1"/>
  <c r="I34" i="11"/>
  <c r="N34" i="11" s="1"/>
  <c r="S34" i="11" s="1"/>
  <c r="AC34" i="11" s="1"/>
  <c r="L32" i="11"/>
  <c r="Q32" i="11" s="1"/>
  <c r="V32" i="11" s="1"/>
  <c r="AF32" i="11" s="1"/>
  <c r="F43" i="11"/>
  <c r="H34" i="11"/>
  <c r="M34" i="11" s="1"/>
  <c r="R34" i="11" s="1"/>
  <c r="AB34" i="11" s="1"/>
  <c r="H32" i="11"/>
  <c r="M32" i="11" s="1"/>
  <c r="R32" i="11" s="1"/>
  <c r="AB32" i="11" s="1"/>
  <c r="K39" i="11"/>
  <c r="P39" i="11" s="1"/>
  <c r="H39" i="11"/>
  <c r="M39" i="11" s="1"/>
  <c r="J39" i="11"/>
  <c r="O39" i="11" s="1"/>
  <c r="L39" i="11"/>
  <c r="Q39" i="11" s="1"/>
  <c r="I39" i="11"/>
  <c r="N39" i="11" s="1"/>
  <c r="S39" i="11" s="1"/>
  <c r="AC39" i="11" s="1"/>
  <c r="I32" i="11"/>
  <c r="N32" i="11" s="1"/>
  <c r="S32" i="11" s="1"/>
  <c r="AC32" i="11" s="1"/>
  <c r="K44" i="11"/>
  <c r="P44" i="11" s="1"/>
  <c r="J44" i="11"/>
  <c r="O44" i="11" s="1"/>
  <c r="I44" i="11"/>
  <c r="N44" i="11" s="1"/>
  <c r="L44" i="11"/>
  <c r="Q44" i="11" s="1"/>
  <c r="H44" i="11"/>
  <c r="M44" i="11" s="1"/>
  <c r="I38" i="11"/>
  <c r="N38" i="11" s="1"/>
  <c r="H38" i="11"/>
  <c r="M38" i="11" s="1"/>
  <c r="K38" i="11"/>
  <c r="P38" i="11" s="1"/>
  <c r="Y45" i="11"/>
  <c r="AI45" i="11" s="1"/>
  <c r="AN45" i="11" s="1"/>
  <c r="Y32" i="11"/>
  <c r="AI32" i="11" s="1"/>
  <c r="AN32" i="11" s="1"/>
  <c r="H36" i="20"/>
  <c r="M36" i="20" s="1"/>
  <c r="R36" i="20" s="1"/>
  <c r="AB36" i="20" s="1"/>
  <c r="I36" i="20"/>
  <c r="N36" i="20" s="1"/>
  <c r="S36" i="20" s="1"/>
  <c r="AC36" i="20" s="1"/>
  <c r="AA31" i="20"/>
  <c r="AK31" i="20" s="1"/>
  <c r="AP31" i="20" s="1"/>
  <c r="L36" i="20"/>
  <c r="Q36" i="20" s="1"/>
  <c r="V36" i="20" s="1"/>
  <c r="AF36" i="20" s="1"/>
  <c r="J36" i="20"/>
  <c r="O36" i="20" s="1"/>
  <c r="T36" i="20" s="1"/>
  <c r="AD36" i="20" s="1"/>
  <c r="AA37" i="11"/>
  <c r="AK37" i="11" s="1"/>
  <c r="AP37" i="11" s="1"/>
  <c r="W36" i="11"/>
  <c r="AG36" i="11" s="1"/>
  <c r="AL36" i="11" s="1"/>
  <c r="X31" i="20"/>
  <c r="AH31" i="20" s="1"/>
  <c r="AM31" i="20" s="1"/>
  <c r="AA43" i="20"/>
  <c r="AK43" i="20" s="1"/>
  <c r="AP43" i="20" s="1"/>
  <c r="AB31" i="11"/>
  <c r="W31" i="11"/>
  <c r="AG31" i="11" s="1"/>
  <c r="W31" i="20"/>
  <c r="AG31" i="20" s="1"/>
  <c r="AL31" i="20" s="1"/>
  <c r="Z37" i="11"/>
  <c r="AJ37" i="11" s="1"/>
  <c r="AO37" i="11" s="1"/>
  <c r="H40" i="20"/>
  <c r="M40" i="20" s="1"/>
  <c r="L40" i="20"/>
  <c r="Q40" i="20" s="1"/>
  <c r="V40" i="20" s="1"/>
  <c r="AF40" i="20" s="1"/>
  <c r="I40" i="20"/>
  <c r="N40" i="20" s="1"/>
  <c r="S40" i="20" s="1"/>
  <c r="AC40" i="20" s="1"/>
  <c r="J40" i="20"/>
  <c r="O40" i="20" s="1"/>
  <c r="K40" i="20"/>
  <c r="P40" i="20" s="1"/>
  <c r="U40" i="20" s="1"/>
  <c r="AE40" i="20" s="1"/>
  <c r="S36" i="11"/>
  <c r="AC36" i="11" s="1"/>
  <c r="W32" i="11"/>
  <c r="AG32" i="11" s="1"/>
  <c r="AL32" i="11" s="1"/>
  <c r="AA36" i="11"/>
  <c r="AK36" i="11" s="1"/>
  <c r="AP36" i="11" s="1"/>
  <c r="Y31" i="20"/>
  <c r="AI31" i="20" s="1"/>
  <c r="AN31" i="20" s="1"/>
  <c r="X32" i="20"/>
  <c r="AH32" i="20" s="1"/>
  <c r="AM32" i="20" s="1"/>
  <c r="W32" i="20"/>
  <c r="AG32" i="20" s="1"/>
  <c r="AL32" i="20" s="1"/>
  <c r="X45" i="11"/>
  <c r="AH45" i="11" s="1"/>
  <c r="AM45" i="11" s="1"/>
  <c r="AA45" i="11"/>
  <c r="AK45" i="11" s="1"/>
  <c r="AP45" i="11" s="1"/>
  <c r="V41" i="11"/>
  <c r="AF41" i="11" s="1"/>
  <c r="R33" i="20"/>
  <c r="AB33" i="20" s="1"/>
  <c r="V41" i="20"/>
  <c r="AF41" i="20" s="1"/>
  <c r="W43" i="20"/>
  <c r="AG43" i="20" s="1"/>
  <c r="AL43" i="20" s="1"/>
  <c r="R46" i="11"/>
  <c r="AB46" i="11" s="1"/>
  <c r="R41" i="11"/>
  <c r="AB41" i="11" s="1"/>
  <c r="Z31" i="20"/>
  <c r="AJ31" i="20" s="1"/>
  <c r="AO31" i="20" s="1"/>
  <c r="Y31" i="11"/>
  <c r="AI31" i="11" s="1"/>
  <c r="AN31" i="11" s="1"/>
  <c r="T33" i="20"/>
  <c r="AD33" i="20" s="1"/>
  <c r="Y32" i="20"/>
  <c r="AI32" i="20" s="1"/>
  <c r="AN32" i="20" s="1"/>
  <c r="AA31" i="11"/>
  <c r="AK31" i="11" s="1"/>
  <c r="AP31" i="11" s="1"/>
  <c r="R41" i="20"/>
  <c r="AB41" i="20" s="1"/>
  <c r="U33" i="20"/>
  <c r="AE33" i="20" s="1"/>
  <c r="S40" i="11"/>
  <c r="AC40" i="11" s="1"/>
  <c r="Y43" i="20"/>
  <c r="AI43" i="20" s="1"/>
  <c r="AN43" i="20" s="1"/>
  <c r="R42" i="20"/>
  <c r="AB42" i="20" s="1"/>
  <c r="V33" i="20"/>
  <c r="AF33" i="20" s="1"/>
  <c r="K37" i="20"/>
  <c r="P37" i="20" s="1"/>
  <c r="J37" i="20"/>
  <c r="O37" i="20" s="1"/>
  <c r="I37" i="20"/>
  <c r="N37" i="20" s="1"/>
  <c r="H37" i="20"/>
  <c r="M37" i="20" s="1"/>
  <c r="L37" i="20"/>
  <c r="Q37" i="20" s="1"/>
  <c r="S41" i="20"/>
  <c r="AC41" i="20" s="1"/>
  <c r="T46" i="11"/>
  <c r="AD46" i="11" s="1"/>
  <c r="U40" i="11"/>
  <c r="AE40" i="11" s="1"/>
  <c r="U44" i="20"/>
  <c r="AE44" i="20" s="1"/>
  <c r="Z43" i="20"/>
  <c r="AJ43" i="20" s="1"/>
  <c r="AO43" i="20" s="1"/>
  <c r="V42" i="11"/>
  <c r="AF42" i="11" s="1"/>
  <c r="U46" i="11"/>
  <c r="AE46" i="11" s="1"/>
  <c r="T41" i="11"/>
  <c r="AD41" i="11" s="1"/>
  <c r="U42" i="20"/>
  <c r="AE42" i="20" s="1"/>
  <c r="AA34" i="11"/>
  <c r="AK34" i="11" s="1"/>
  <c r="AP34" i="11" s="1"/>
  <c r="V40" i="11"/>
  <c r="AF40" i="11" s="1"/>
  <c r="S44" i="20"/>
  <c r="AC44" i="20" s="1"/>
  <c r="R42" i="11"/>
  <c r="AB42" i="11" s="1"/>
  <c r="R44" i="20"/>
  <c r="AB44" i="20" s="1"/>
  <c r="S46" i="11"/>
  <c r="AC46" i="11" s="1"/>
  <c r="J34" i="20"/>
  <c r="O34" i="20" s="1"/>
  <c r="I34" i="20"/>
  <c r="N34" i="20" s="1"/>
  <c r="H34" i="20"/>
  <c r="M34" i="20" s="1"/>
  <c r="K34" i="20"/>
  <c r="P34" i="20" s="1"/>
  <c r="L34" i="20"/>
  <c r="Q34" i="20" s="1"/>
  <c r="T40" i="11"/>
  <c r="AD40" i="11" s="1"/>
  <c r="T44" i="20"/>
  <c r="AD44" i="20" s="1"/>
  <c r="U42" i="11"/>
  <c r="AE42" i="11" s="1"/>
  <c r="S42" i="20"/>
  <c r="AC42" i="20" s="1"/>
  <c r="S33" i="20"/>
  <c r="AC33" i="20" s="1"/>
  <c r="S42" i="11"/>
  <c r="AC42" i="11" s="1"/>
  <c r="V42" i="20"/>
  <c r="AF42" i="20" s="1"/>
  <c r="K35" i="20"/>
  <c r="P35" i="20" s="1"/>
  <c r="L35" i="20"/>
  <c r="Q35" i="20" s="1"/>
  <c r="J35" i="20"/>
  <c r="O35" i="20" s="1"/>
  <c r="I35" i="20"/>
  <c r="N35" i="20" s="1"/>
  <c r="H35" i="20"/>
  <c r="M35" i="20" s="1"/>
  <c r="U36" i="20"/>
  <c r="AE36" i="20" s="1"/>
  <c r="R40" i="11"/>
  <c r="AB40" i="11" s="1"/>
  <c r="V44" i="20"/>
  <c r="AF44" i="20" s="1"/>
  <c r="V46" i="11"/>
  <c r="AF46" i="11" s="1"/>
  <c r="T41" i="20"/>
  <c r="AD41" i="20" s="1"/>
  <c r="T42" i="11"/>
  <c r="AD42" i="11" s="1"/>
  <c r="Z36" i="11"/>
  <c r="AJ36" i="11" s="1"/>
  <c r="AO36" i="11" s="1"/>
  <c r="J45" i="20"/>
  <c r="O45" i="20" s="1"/>
  <c r="I45" i="20"/>
  <c r="N45" i="20" s="1"/>
  <c r="H45" i="20"/>
  <c r="M45" i="20" s="1"/>
  <c r="L45" i="20"/>
  <c r="Q45" i="20" s="1"/>
  <c r="K45" i="20"/>
  <c r="P45" i="20" s="1"/>
  <c r="W45" i="11"/>
  <c r="AG45" i="11" s="1"/>
  <c r="AL45" i="11" s="1"/>
  <c r="K38" i="20"/>
  <c r="P38" i="20" s="1"/>
  <c r="J38" i="20"/>
  <c r="O38" i="20" s="1"/>
  <c r="I38" i="20"/>
  <c r="N38" i="20" s="1"/>
  <c r="L38" i="20"/>
  <c r="Q38" i="20" s="1"/>
  <c r="H38" i="20"/>
  <c r="M38" i="20" s="1"/>
  <c r="L46" i="20"/>
  <c r="Q46" i="20" s="1"/>
  <c r="K46" i="20"/>
  <c r="P46" i="20" s="1"/>
  <c r="J46" i="20"/>
  <c r="O46" i="20" s="1"/>
  <c r="H46" i="20"/>
  <c r="M46" i="20" s="1"/>
  <c r="I46" i="20"/>
  <c r="N46" i="20" s="1"/>
  <c r="Y36" i="11"/>
  <c r="AI36" i="11" s="1"/>
  <c r="AN36" i="11" s="1"/>
  <c r="U41" i="11"/>
  <c r="AE41" i="11" s="1"/>
  <c r="X31" i="11"/>
  <c r="AH31" i="11" s="1"/>
  <c r="AM31" i="11" s="1"/>
  <c r="Z31" i="11"/>
  <c r="AJ31" i="11" s="1"/>
  <c r="AO31" i="11" s="1"/>
  <c r="L39" i="20"/>
  <c r="Q39" i="20" s="1"/>
  <c r="K39" i="20"/>
  <c r="P39" i="20" s="1"/>
  <c r="J39" i="20"/>
  <c r="O39" i="20" s="1"/>
  <c r="I39" i="20"/>
  <c r="N39" i="20" s="1"/>
  <c r="H39" i="20"/>
  <c r="M39" i="20" s="1"/>
  <c r="X43" i="20"/>
  <c r="AH43" i="20" s="1"/>
  <c r="AM43" i="20" s="1"/>
  <c r="S41" i="11"/>
  <c r="AC41" i="11" s="1"/>
  <c r="T42" i="20"/>
  <c r="AD42" i="20" s="1"/>
  <c r="AA32" i="20"/>
  <c r="AK32" i="20" s="1"/>
  <c r="AP32" i="20" s="1"/>
  <c r="Z32" i="20"/>
  <c r="AJ32" i="20" s="1"/>
  <c r="AO32" i="20" s="1"/>
  <c r="Z45" i="11"/>
  <c r="AJ45" i="11" s="1"/>
  <c r="AO45" i="11" s="1"/>
  <c r="U41" i="20"/>
  <c r="AE41" i="20" s="1"/>
  <c r="Z33" i="11" l="1"/>
  <c r="AJ33" i="11" s="1"/>
  <c r="AO33" i="11" s="1"/>
  <c r="I33" i="11"/>
  <c r="N33" i="11" s="1"/>
  <c r="S33" i="11" s="1"/>
  <c r="AC33" i="11" s="1"/>
  <c r="AA32" i="11"/>
  <c r="AK32" i="11" s="1"/>
  <c r="AP32" i="11" s="1"/>
  <c r="H7" i="17" s="1"/>
  <c r="M7" i="17" s="1"/>
  <c r="S7" i="17" s="1"/>
  <c r="Z34" i="11"/>
  <c r="AJ34" i="11" s="1"/>
  <c r="AO34" i="11" s="1"/>
  <c r="G9" i="24" s="1"/>
  <c r="L9" i="24" s="1"/>
  <c r="R9" i="24" s="1"/>
  <c r="H33" i="11"/>
  <c r="M33" i="11" s="1"/>
  <c r="Y34" i="11"/>
  <c r="AI34" i="11" s="1"/>
  <c r="AN34" i="11" s="1"/>
  <c r="F9" i="21" s="1"/>
  <c r="K9" i="21" s="1"/>
  <c r="Q9" i="21" s="1"/>
  <c r="L38" i="11"/>
  <c r="Q38" i="11" s="1"/>
  <c r="X32" i="11"/>
  <c r="AH32" i="11" s="1"/>
  <c r="AM32" i="11" s="1"/>
  <c r="E7" i="27" s="1"/>
  <c r="J7" i="27" s="1"/>
  <c r="P7" i="27" s="1"/>
  <c r="AA33" i="11"/>
  <c r="AK33" i="11" s="1"/>
  <c r="AP33" i="11" s="1"/>
  <c r="X37" i="11"/>
  <c r="AH37" i="11" s="1"/>
  <c r="AM37" i="11" s="1"/>
  <c r="X39" i="11"/>
  <c r="AH39" i="11" s="1"/>
  <c r="AM39" i="11" s="1"/>
  <c r="E14" i="27" s="1"/>
  <c r="J14" i="27" s="1"/>
  <c r="P14" i="27" s="1"/>
  <c r="V39" i="11"/>
  <c r="AF39" i="11" s="1"/>
  <c r="AA39" i="11"/>
  <c r="AK39" i="11" s="1"/>
  <c r="AP39" i="11" s="1"/>
  <c r="R44" i="11"/>
  <c r="AB44" i="11" s="1"/>
  <c r="S38" i="11"/>
  <c r="AC38" i="11" s="1"/>
  <c r="J43" i="11"/>
  <c r="O43" i="11" s="1"/>
  <c r="I43" i="11"/>
  <c r="N43" i="11" s="1"/>
  <c r="K43" i="11"/>
  <c r="P43" i="11" s="1"/>
  <c r="H43" i="11"/>
  <c r="M43" i="11" s="1"/>
  <c r="L43" i="11"/>
  <c r="Q43" i="11" s="1"/>
  <c r="Z32" i="11"/>
  <c r="AJ32" i="11" s="1"/>
  <c r="AO32" i="11" s="1"/>
  <c r="G7" i="17" s="1"/>
  <c r="L7" i="17" s="1"/>
  <c r="R7" i="17" s="1"/>
  <c r="W34" i="11"/>
  <c r="AG34" i="11" s="1"/>
  <c r="AL34" i="11" s="1"/>
  <c r="D9" i="17" s="1"/>
  <c r="I9" i="17" s="1"/>
  <c r="O9" i="17" s="1"/>
  <c r="Y9" i="17" s="1"/>
  <c r="T38" i="11"/>
  <c r="AD38" i="11" s="1"/>
  <c r="V38" i="11"/>
  <c r="AF38" i="11" s="1"/>
  <c r="AA38" i="11"/>
  <c r="AK38" i="11" s="1"/>
  <c r="AP38" i="11" s="1"/>
  <c r="K35" i="11"/>
  <c r="P35" i="11" s="1"/>
  <c r="I35" i="11"/>
  <c r="N35" i="11" s="1"/>
  <c r="H35" i="11"/>
  <c r="M35" i="11" s="1"/>
  <c r="L35" i="11"/>
  <c r="Q35" i="11" s="1"/>
  <c r="J35" i="11"/>
  <c r="O35" i="11" s="1"/>
  <c r="V44" i="11"/>
  <c r="AF44" i="11" s="1"/>
  <c r="Y37" i="11"/>
  <c r="AI37" i="11" s="1"/>
  <c r="AN37" i="11" s="1"/>
  <c r="F12" i="24" s="1"/>
  <c r="K12" i="24" s="1"/>
  <c r="Q12" i="24" s="1"/>
  <c r="S44" i="11"/>
  <c r="AC44" i="11" s="1"/>
  <c r="X44" i="11"/>
  <c r="AH44" i="11" s="1"/>
  <c r="AM44" i="11" s="1"/>
  <c r="U39" i="11"/>
  <c r="AE39" i="11" s="1"/>
  <c r="T39" i="11"/>
  <c r="AD39" i="11" s="1"/>
  <c r="R39" i="11"/>
  <c r="AB39" i="11" s="1"/>
  <c r="X34" i="11"/>
  <c r="AH34" i="11" s="1"/>
  <c r="AM34" i="11" s="1"/>
  <c r="E9" i="27" s="1"/>
  <c r="J9" i="27" s="1"/>
  <c r="P9" i="27" s="1"/>
  <c r="Y33" i="11"/>
  <c r="AI33" i="11" s="1"/>
  <c r="AN33" i="11" s="1"/>
  <c r="F8" i="27" s="1"/>
  <c r="K8" i="27" s="1"/>
  <c r="Q8" i="27" s="1"/>
  <c r="W37" i="11"/>
  <c r="AG37" i="11" s="1"/>
  <c r="AL37" i="11" s="1"/>
  <c r="D12" i="27" s="1"/>
  <c r="I12" i="27" s="1"/>
  <c r="O12" i="27" s="1"/>
  <c r="Y12" i="27" s="1"/>
  <c r="U38" i="11"/>
  <c r="AE38" i="11" s="1"/>
  <c r="T44" i="11"/>
  <c r="AD44" i="11" s="1"/>
  <c r="R38" i="11"/>
  <c r="AB38" i="11" s="1"/>
  <c r="U44" i="11"/>
  <c r="AE44" i="11" s="1"/>
  <c r="Z40" i="20"/>
  <c r="AJ40" i="20" s="1"/>
  <c r="AO40" i="20" s="1"/>
  <c r="G33" i="17" s="1"/>
  <c r="L33" i="17" s="1"/>
  <c r="R33" i="17" s="1"/>
  <c r="X33" i="20"/>
  <c r="AH33" i="20" s="1"/>
  <c r="AM33" i="20" s="1"/>
  <c r="X44" i="20"/>
  <c r="AH44" i="20" s="1"/>
  <c r="AM44" i="20" s="1"/>
  <c r="AA40" i="20"/>
  <c r="AK40" i="20" s="1"/>
  <c r="AP40" i="20" s="1"/>
  <c r="H33" i="27" s="1"/>
  <c r="M33" i="27" s="1"/>
  <c r="S33" i="27" s="1"/>
  <c r="E14" i="17"/>
  <c r="J14" i="17" s="1"/>
  <c r="P14" i="17" s="1"/>
  <c r="E14" i="24"/>
  <c r="J14" i="24" s="1"/>
  <c r="P14" i="24" s="1"/>
  <c r="E14" i="21"/>
  <c r="J14" i="21" s="1"/>
  <c r="P14" i="21" s="1"/>
  <c r="E14" i="22"/>
  <c r="J14" i="22" s="1"/>
  <c r="P14" i="22" s="1"/>
  <c r="AA36" i="20"/>
  <c r="AK36" i="20" s="1"/>
  <c r="AP36" i="20" s="1"/>
  <c r="X46" i="11"/>
  <c r="AH46" i="11" s="1"/>
  <c r="AM46" i="11" s="1"/>
  <c r="W46" i="11"/>
  <c r="AG46" i="11" s="1"/>
  <c r="AL46" i="11" s="1"/>
  <c r="Z44" i="20"/>
  <c r="AJ44" i="20" s="1"/>
  <c r="AO44" i="20" s="1"/>
  <c r="Z33" i="20"/>
  <c r="AJ33" i="20" s="1"/>
  <c r="AO33" i="20" s="1"/>
  <c r="AL31" i="11"/>
  <c r="D6" i="30" s="1"/>
  <c r="I6" i="30" s="1"/>
  <c r="O6" i="30" s="1"/>
  <c r="Y6" i="30" s="1"/>
  <c r="D7" i="27"/>
  <c r="I7" i="27" s="1"/>
  <c r="O7" i="27" s="1"/>
  <c r="Y7" i="27" s="1"/>
  <c r="D7" i="30"/>
  <c r="I7" i="30" s="1"/>
  <c r="O7" i="30" s="1"/>
  <c r="Y7" i="30" s="1"/>
  <c r="D7" i="17"/>
  <c r="I7" i="17" s="1"/>
  <c r="O7" i="17" s="1"/>
  <c r="Y7" i="17" s="1"/>
  <c r="Y44" i="20"/>
  <c r="AI44" i="20" s="1"/>
  <c r="AN44" i="20" s="1"/>
  <c r="W33" i="20"/>
  <c r="AG33" i="20" s="1"/>
  <c r="AL33" i="20" s="1"/>
  <c r="Y40" i="11"/>
  <c r="AI40" i="11" s="1"/>
  <c r="AN40" i="11" s="1"/>
  <c r="X42" i="20"/>
  <c r="AH42" i="20" s="1"/>
  <c r="AM42" i="20" s="1"/>
  <c r="W41" i="20"/>
  <c r="AG41" i="20" s="1"/>
  <c r="AL41" i="20" s="1"/>
  <c r="Z41" i="11"/>
  <c r="AJ41" i="11" s="1"/>
  <c r="AO41" i="11" s="1"/>
  <c r="D7" i="22"/>
  <c r="I7" i="22" s="1"/>
  <c r="O7" i="22" s="1"/>
  <c r="Y7" i="22" s="1"/>
  <c r="D7" i="21"/>
  <c r="I7" i="21" s="1"/>
  <c r="O7" i="21" s="1"/>
  <c r="Y7" i="21" s="1"/>
  <c r="Z36" i="20"/>
  <c r="AJ36" i="20" s="1"/>
  <c r="AO36" i="20" s="1"/>
  <c r="AA42" i="20"/>
  <c r="AK42" i="20" s="1"/>
  <c r="AP42" i="20" s="1"/>
  <c r="Z42" i="11"/>
  <c r="AJ42" i="11" s="1"/>
  <c r="AO42" i="11" s="1"/>
  <c r="Y36" i="20"/>
  <c r="AI36" i="20" s="1"/>
  <c r="AN36" i="20" s="1"/>
  <c r="Z46" i="11"/>
  <c r="AJ46" i="11" s="1"/>
  <c r="AO46" i="11" s="1"/>
  <c r="X41" i="20"/>
  <c r="AH41" i="20" s="1"/>
  <c r="AM41" i="20" s="1"/>
  <c r="W42" i="20"/>
  <c r="AG42" i="20" s="1"/>
  <c r="AL42" i="20" s="1"/>
  <c r="AA41" i="20"/>
  <c r="AK41" i="20" s="1"/>
  <c r="AP41" i="20" s="1"/>
  <c r="D7" i="24"/>
  <c r="I7" i="24" s="1"/>
  <c r="O7" i="24" s="1"/>
  <c r="Y7" i="24" s="1"/>
  <c r="T40" i="20"/>
  <c r="AD40" i="20" s="1"/>
  <c r="Z41" i="20"/>
  <c r="AJ41" i="20" s="1"/>
  <c r="AO41" i="20" s="1"/>
  <c r="X40" i="20"/>
  <c r="AH40" i="20" s="1"/>
  <c r="AM40" i="20" s="1"/>
  <c r="E33" i="27" s="1"/>
  <c r="J33" i="27" s="1"/>
  <c r="P33" i="27" s="1"/>
  <c r="AA41" i="11"/>
  <c r="AK41" i="11" s="1"/>
  <c r="AP41" i="11" s="1"/>
  <c r="R40" i="20"/>
  <c r="AB40" i="20" s="1"/>
  <c r="X36" i="11"/>
  <c r="AH36" i="11" s="1"/>
  <c r="AM36" i="11" s="1"/>
  <c r="E11" i="27" s="1"/>
  <c r="J11" i="27" s="1"/>
  <c r="P11" i="27" s="1"/>
  <c r="H25" i="27"/>
  <c r="M25" i="27" s="1"/>
  <c r="S25" i="27" s="1"/>
  <c r="H25" i="30"/>
  <c r="M25" i="30" s="1"/>
  <c r="S25" i="30" s="1"/>
  <c r="H25" i="24"/>
  <c r="M25" i="24" s="1"/>
  <c r="S25" i="24" s="1"/>
  <c r="H25" i="17"/>
  <c r="M25" i="17" s="1"/>
  <c r="S25" i="17" s="1"/>
  <c r="H25" i="21"/>
  <c r="M25" i="21" s="1"/>
  <c r="S25" i="21" s="1"/>
  <c r="H25" i="22"/>
  <c r="M25" i="22" s="1"/>
  <c r="S25" i="22" s="1"/>
  <c r="D20" i="27"/>
  <c r="I20" i="27" s="1"/>
  <c r="O20" i="27" s="1"/>
  <c r="Y20" i="27" s="1"/>
  <c r="D20" i="30"/>
  <c r="I20" i="30" s="1"/>
  <c r="O20" i="30" s="1"/>
  <c r="Y20" i="30" s="1"/>
  <c r="D20" i="21"/>
  <c r="I20" i="21" s="1"/>
  <c r="O20" i="21" s="1"/>
  <c r="Y20" i="21" s="1"/>
  <c r="D20" i="24"/>
  <c r="I20" i="24" s="1"/>
  <c r="O20" i="24" s="1"/>
  <c r="Y20" i="24" s="1"/>
  <c r="D20" i="17"/>
  <c r="I20" i="17" s="1"/>
  <c r="O20" i="17" s="1"/>
  <c r="Y20" i="17" s="1"/>
  <c r="D20" i="22"/>
  <c r="I20" i="22" s="1"/>
  <c r="O20" i="22" s="1"/>
  <c r="Y20" i="22" s="1"/>
  <c r="G8" i="27"/>
  <c r="L8" i="27" s="1"/>
  <c r="R8" i="27" s="1"/>
  <c r="G8" i="30"/>
  <c r="L8" i="30" s="1"/>
  <c r="R8" i="30" s="1"/>
  <c r="G8" i="24"/>
  <c r="L8" i="24" s="1"/>
  <c r="R8" i="24" s="1"/>
  <c r="G8" i="17"/>
  <c r="L8" i="17" s="1"/>
  <c r="R8" i="17" s="1"/>
  <c r="G8" i="22"/>
  <c r="L8" i="22" s="1"/>
  <c r="R8" i="22" s="1"/>
  <c r="G8" i="21"/>
  <c r="L8" i="21" s="1"/>
  <c r="R8" i="21" s="1"/>
  <c r="F12" i="27"/>
  <c r="K12" i="27" s="1"/>
  <c r="Q12" i="27" s="1"/>
  <c r="F12" i="30"/>
  <c r="K12" i="30" s="1"/>
  <c r="Q12" i="30" s="1"/>
  <c r="F12" i="17"/>
  <c r="K12" i="17" s="1"/>
  <c r="Q12" i="17" s="1"/>
  <c r="F12" i="22"/>
  <c r="K12" i="22" s="1"/>
  <c r="Q12" i="22" s="1"/>
  <c r="F12" i="21"/>
  <c r="K12" i="21" s="1"/>
  <c r="Q12" i="21" s="1"/>
  <c r="D36" i="30"/>
  <c r="I36" i="30" s="1"/>
  <c r="O36" i="30" s="1"/>
  <c r="D36" i="24"/>
  <c r="I36" i="24" s="1"/>
  <c r="O36" i="24" s="1"/>
  <c r="D36" i="27"/>
  <c r="I36" i="27" s="1"/>
  <c r="O36" i="27" s="1"/>
  <c r="D36" i="17"/>
  <c r="I36" i="17" s="1"/>
  <c r="O36" i="17" s="1"/>
  <c r="D36" i="21"/>
  <c r="I36" i="21" s="1"/>
  <c r="O36" i="21" s="1"/>
  <c r="D36" i="22"/>
  <c r="I36" i="22" s="1"/>
  <c r="O36" i="22" s="1"/>
  <c r="G20" i="27"/>
  <c r="L20" i="27" s="1"/>
  <c r="R20" i="27" s="1"/>
  <c r="G20" i="30"/>
  <c r="L20" i="30" s="1"/>
  <c r="R20" i="30" s="1"/>
  <c r="G20" i="24"/>
  <c r="L20" i="24" s="1"/>
  <c r="R20" i="24" s="1"/>
  <c r="G20" i="17"/>
  <c r="L20" i="17" s="1"/>
  <c r="R20" i="17" s="1"/>
  <c r="G20" i="22"/>
  <c r="L20" i="22" s="1"/>
  <c r="R20" i="22" s="1"/>
  <c r="G20" i="21"/>
  <c r="L20" i="21" s="1"/>
  <c r="R20" i="21" s="1"/>
  <c r="F11" i="24"/>
  <c r="K11" i="24" s="1"/>
  <c r="Q11" i="24" s="1"/>
  <c r="F11" i="17"/>
  <c r="K11" i="17" s="1"/>
  <c r="Q11" i="17" s="1"/>
  <c r="F11" i="30"/>
  <c r="K11" i="30" s="1"/>
  <c r="Q11" i="30" s="1"/>
  <c r="F11" i="27"/>
  <c r="K11" i="27" s="1"/>
  <c r="Q11" i="27" s="1"/>
  <c r="F11" i="21"/>
  <c r="K11" i="21" s="1"/>
  <c r="Q11" i="21" s="1"/>
  <c r="F11" i="22"/>
  <c r="K11" i="22" s="1"/>
  <c r="Q11" i="22" s="1"/>
  <c r="G25" i="27"/>
  <c r="L25" i="27" s="1"/>
  <c r="R25" i="27" s="1"/>
  <c r="G25" i="30"/>
  <c r="L25" i="30" s="1"/>
  <c r="R25" i="30" s="1"/>
  <c r="G25" i="24"/>
  <c r="L25" i="24" s="1"/>
  <c r="R25" i="24" s="1"/>
  <c r="G25" i="17"/>
  <c r="L25" i="17" s="1"/>
  <c r="R25" i="17" s="1"/>
  <c r="G25" i="22"/>
  <c r="L25" i="22" s="1"/>
  <c r="R25" i="22" s="1"/>
  <c r="G25" i="21"/>
  <c r="L25" i="21" s="1"/>
  <c r="R25" i="21" s="1"/>
  <c r="G6" i="27"/>
  <c r="L6" i="27" s="1"/>
  <c r="R6" i="27" s="1"/>
  <c r="G6" i="30"/>
  <c r="L6" i="30" s="1"/>
  <c r="R6" i="30" s="1"/>
  <c r="G6" i="24"/>
  <c r="L6" i="24" s="1"/>
  <c r="R6" i="24" s="1"/>
  <c r="G6" i="17"/>
  <c r="L6" i="17" s="1"/>
  <c r="R6" i="17" s="1"/>
  <c r="G6" i="22"/>
  <c r="L6" i="22" s="1"/>
  <c r="R6" i="22" s="1"/>
  <c r="G6" i="21"/>
  <c r="L6" i="21" s="1"/>
  <c r="R6" i="21" s="1"/>
  <c r="G11" i="27"/>
  <c r="L11" i="27" s="1"/>
  <c r="R11" i="27" s="1"/>
  <c r="G11" i="30"/>
  <c r="L11" i="30" s="1"/>
  <c r="R11" i="30" s="1"/>
  <c r="G11" i="24"/>
  <c r="L11" i="24" s="1"/>
  <c r="R11" i="24" s="1"/>
  <c r="G11" i="17"/>
  <c r="L11" i="17" s="1"/>
  <c r="R11" i="17" s="1"/>
  <c r="G11" i="22"/>
  <c r="L11" i="22" s="1"/>
  <c r="R11" i="22" s="1"/>
  <c r="G11" i="21"/>
  <c r="L11" i="21" s="1"/>
  <c r="R11" i="21" s="1"/>
  <c r="H9" i="27"/>
  <c r="M9" i="27" s="1"/>
  <c r="S9" i="27" s="1"/>
  <c r="H9" i="24"/>
  <c r="M9" i="24" s="1"/>
  <c r="S9" i="24" s="1"/>
  <c r="H9" i="30"/>
  <c r="M9" i="30" s="1"/>
  <c r="S9" i="30" s="1"/>
  <c r="H9" i="17"/>
  <c r="M9" i="17" s="1"/>
  <c r="S9" i="17" s="1"/>
  <c r="H9" i="22"/>
  <c r="M9" i="22" s="1"/>
  <c r="S9" i="22" s="1"/>
  <c r="H9" i="21"/>
  <c r="M9" i="21" s="1"/>
  <c r="S9" i="21" s="1"/>
  <c r="E36" i="27"/>
  <c r="J36" i="27" s="1"/>
  <c r="P36" i="27" s="1"/>
  <c r="E36" i="24"/>
  <c r="J36" i="24" s="1"/>
  <c r="P36" i="24" s="1"/>
  <c r="E36" i="30"/>
  <c r="J36" i="30" s="1"/>
  <c r="P36" i="30" s="1"/>
  <c r="E36" i="17"/>
  <c r="J36" i="17" s="1"/>
  <c r="P36" i="17" s="1"/>
  <c r="E36" i="22"/>
  <c r="J36" i="22" s="1"/>
  <c r="P36" i="22" s="1"/>
  <c r="E36" i="21"/>
  <c r="J36" i="21" s="1"/>
  <c r="P36" i="21" s="1"/>
  <c r="E6" i="27"/>
  <c r="J6" i="27" s="1"/>
  <c r="P6" i="27" s="1"/>
  <c r="E6" i="30"/>
  <c r="J6" i="30" s="1"/>
  <c r="P6" i="30" s="1"/>
  <c r="E6" i="17"/>
  <c r="J6" i="17" s="1"/>
  <c r="P6" i="17" s="1"/>
  <c r="E6" i="24"/>
  <c r="J6" i="24" s="1"/>
  <c r="P6" i="24" s="1"/>
  <c r="E6" i="21"/>
  <c r="J6" i="21" s="1"/>
  <c r="P6" i="21" s="1"/>
  <c r="E6" i="22"/>
  <c r="J6" i="22" s="1"/>
  <c r="P6" i="22" s="1"/>
  <c r="T46" i="20"/>
  <c r="AD46" i="20" s="1"/>
  <c r="V34" i="20"/>
  <c r="AF34" i="20" s="1"/>
  <c r="U34" i="20"/>
  <c r="AE34" i="20" s="1"/>
  <c r="H6" i="27"/>
  <c r="M6" i="27" s="1"/>
  <c r="S6" i="27" s="1"/>
  <c r="H6" i="24"/>
  <c r="M6" i="24" s="1"/>
  <c r="S6" i="24" s="1"/>
  <c r="H6" i="22"/>
  <c r="M6" i="22" s="1"/>
  <c r="S6" i="22" s="1"/>
  <c r="H6" i="21"/>
  <c r="M6" i="21" s="1"/>
  <c r="S6" i="21" s="1"/>
  <c r="H6" i="30"/>
  <c r="M6" i="30" s="1"/>
  <c r="S6" i="30" s="1"/>
  <c r="H6" i="17"/>
  <c r="M6" i="17" s="1"/>
  <c r="S6" i="17" s="1"/>
  <c r="D11" i="27"/>
  <c r="I11" i="27" s="1"/>
  <c r="O11" i="27" s="1"/>
  <c r="Y11" i="27" s="1"/>
  <c r="D11" i="24"/>
  <c r="I11" i="24" s="1"/>
  <c r="O11" i="24" s="1"/>
  <c r="Y11" i="24" s="1"/>
  <c r="D11" i="30"/>
  <c r="I11" i="30" s="1"/>
  <c r="O11" i="30" s="1"/>
  <c r="Y11" i="30" s="1"/>
  <c r="D11" i="17"/>
  <c r="I11" i="17" s="1"/>
  <c r="O11" i="17" s="1"/>
  <c r="Y11" i="17" s="1"/>
  <c r="D11" i="22"/>
  <c r="I11" i="22" s="1"/>
  <c r="O11" i="22" s="1"/>
  <c r="Y11" i="22" s="1"/>
  <c r="D11" i="21"/>
  <c r="I11" i="21" s="1"/>
  <c r="O11" i="21" s="1"/>
  <c r="Y11" i="21" s="1"/>
  <c r="R34" i="20"/>
  <c r="AB34" i="20" s="1"/>
  <c r="X41" i="11"/>
  <c r="AH41" i="11" s="1"/>
  <c r="AM41" i="11" s="1"/>
  <c r="V45" i="20"/>
  <c r="AF45" i="20" s="1"/>
  <c r="S34" i="20"/>
  <c r="AC34" i="20" s="1"/>
  <c r="G12" i="27"/>
  <c r="L12" i="27" s="1"/>
  <c r="R12" i="27" s="1"/>
  <c r="G12" i="24"/>
  <c r="L12" i="24" s="1"/>
  <c r="R12" i="24" s="1"/>
  <c r="G12" i="30"/>
  <c r="L12" i="30" s="1"/>
  <c r="R12" i="30" s="1"/>
  <c r="G12" i="17"/>
  <c r="L12" i="17" s="1"/>
  <c r="R12" i="17" s="1"/>
  <c r="G12" i="22"/>
  <c r="L12" i="22" s="1"/>
  <c r="R12" i="22" s="1"/>
  <c r="G12" i="21"/>
  <c r="L12" i="21" s="1"/>
  <c r="R12" i="21" s="1"/>
  <c r="F24" i="27"/>
  <c r="K24" i="27" s="1"/>
  <c r="Q24" i="27" s="1"/>
  <c r="F24" i="30"/>
  <c r="K24" i="30" s="1"/>
  <c r="Q24" i="30" s="1"/>
  <c r="F24" i="24"/>
  <c r="K24" i="24" s="1"/>
  <c r="Q24" i="24" s="1"/>
  <c r="F24" i="17"/>
  <c r="K24" i="17" s="1"/>
  <c r="Q24" i="17" s="1"/>
  <c r="F24" i="21"/>
  <c r="K24" i="21" s="1"/>
  <c r="Q24" i="21" s="1"/>
  <c r="F24" i="22"/>
  <c r="K24" i="22" s="1"/>
  <c r="Q24" i="22" s="1"/>
  <c r="Z40" i="11"/>
  <c r="AJ40" i="11" s="1"/>
  <c r="AO40" i="11" s="1"/>
  <c r="V37" i="20"/>
  <c r="AF37" i="20" s="1"/>
  <c r="H8" i="27"/>
  <c r="M8" i="27" s="1"/>
  <c r="S8" i="27" s="1"/>
  <c r="H8" i="24"/>
  <c r="M8" i="24" s="1"/>
  <c r="S8" i="24" s="1"/>
  <c r="H8" i="30"/>
  <c r="M8" i="30" s="1"/>
  <c r="S8" i="30" s="1"/>
  <c r="H8" i="17"/>
  <c r="M8" i="17" s="1"/>
  <c r="S8" i="17" s="1"/>
  <c r="H8" i="22"/>
  <c r="M8" i="22" s="1"/>
  <c r="S8" i="22" s="1"/>
  <c r="H8" i="21"/>
  <c r="M8" i="21" s="1"/>
  <c r="S8" i="21" s="1"/>
  <c r="E20" i="27"/>
  <c r="J20" i="27" s="1"/>
  <c r="P20" i="27" s="1"/>
  <c r="E20" i="30"/>
  <c r="J20" i="30" s="1"/>
  <c r="P20" i="30" s="1"/>
  <c r="E20" i="24"/>
  <c r="J20" i="24" s="1"/>
  <c r="P20" i="24" s="1"/>
  <c r="E20" i="17"/>
  <c r="J20" i="17" s="1"/>
  <c r="P20" i="17" s="1"/>
  <c r="E20" i="22"/>
  <c r="J20" i="22" s="1"/>
  <c r="P20" i="22" s="1"/>
  <c r="E20" i="21"/>
  <c r="J20" i="21" s="1"/>
  <c r="P20" i="21" s="1"/>
  <c r="D9" i="30"/>
  <c r="I9" i="30" s="1"/>
  <c r="O9" i="30" s="1"/>
  <c r="Y9" i="30" s="1"/>
  <c r="V39" i="20"/>
  <c r="AF39" i="20" s="1"/>
  <c r="H7" i="27"/>
  <c r="M7" i="27" s="1"/>
  <c r="S7" i="27" s="1"/>
  <c r="H7" i="30"/>
  <c r="M7" i="30" s="1"/>
  <c r="S7" i="30" s="1"/>
  <c r="H7" i="24"/>
  <c r="M7" i="24" s="1"/>
  <c r="S7" i="24" s="1"/>
  <c r="H7" i="21"/>
  <c r="M7" i="21" s="1"/>
  <c r="S7" i="21" s="1"/>
  <c r="H36" i="27"/>
  <c r="M36" i="27" s="1"/>
  <c r="S36" i="27" s="1"/>
  <c r="H36" i="17"/>
  <c r="M36" i="17" s="1"/>
  <c r="S36" i="17" s="1"/>
  <c r="H36" i="30"/>
  <c r="M36" i="30" s="1"/>
  <c r="S36" i="30" s="1"/>
  <c r="H36" i="24"/>
  <c r="M36" i="24" s="1"/>
  <c r="S36" i="24" s="1"/>
  <c r="H36" i="22"/>
  <c r="M36" i="22" s="1"/>
  <c r="S36" i="22" s="1"/>
  <c r="H36" i="21"/>
  <c r="M36" i="21" s="1"/>
  <c r="S36" i="21" s="1"/>
  <c r="V46" i="20"/>
  <c r="AF46" i="20" s="1"/>
  <c r="T35" i="20"/>
  <c r="AD35" i="20" s="1"/>
  <c r="E7" i="30"/>
  <c r="J7" i="30" s="1"/>
  <c r="P7" i="30" s="1"/>
  <c r="E7" i="24"/>
  <c r="J7" i="24" s="1"/>
  <c r="P7" i="24" s="1"/>
  <c r="E7" i="17"/>
  <c r="J7" i="17" s="1"/>
  <c r="P7" i="17" s="1"/>
  <c r="E7" i="21"/>
  <c r="J7" i="21" s="1"/>
  <c r="P7" i="21" s="1"/>
  <c r="R38" i="20"/>
  <c r="AB38" i="20" s="1"/>
  <c r="V35" i="20"/>
  <c r="AF35" i="20" s="1"/>
  <c r="E9" i="30"/>
  <c r="J9" i="30" s="1"/>
  <c r="P9" i="30" s="1"/>
  <c r="E9" i="24"/>
  <c r="J9" i="24" s="1"/>
  <c r="P9" i="24" s="1"/>
  <c r="E9" i="17"/>
  <c r="J9" i="17" s="1"/>
  <c r="P9" i="17" s="1"/>
  <c r="E9" i="22"/>
  <c r="J9" i="22" s="1"/>
  <c r="P9" i="22" s="1"/>
  <c r="G36" i="30"/>
  <c r="L36" i="30" s="1"/>
  <c r="R36" i="30" s="1"/>
  <c r="G36" i="27"/>
  <c r="L36" i="27" s="1"/>
  <c r="R36" i="27" s="1"/>
  <c r="G36" i="24"/>
  <c r="L36" i="24" s="1"/>
  <c r="R36" i="24" s="1"/>
  <c r="G36" i="17"/>
  <c r="L36" i="17" s="1"/>
  <c r="R36" i="17" s="1"/>
  <c r="G36" i="21"/>
  <c r="L36" i="21" s="1"/>
  <c r="R36" i="21" s="1"/>
  <c r="G36" i="22"/>
  <c r="L36" i="22" s="1"/>
  <c r="R36" i="22" s="1"/>
  <c r="V38" i="20"/>
  <c r="AF38" i="20" s="1"/>
  <c r="R45" i="20"/>
  <c r="AB45" i="20" s="1"/>
  <c r="U35" i="20"/>
  <c r="AE35" i="20" s="1"/>
  <c r="T34" i="20"/>
  <c r="AD34" i="20" s="1"/>
  <c r="W42" i="11"/>
  <c r="AG42" i="11" s="1"/>
  <c r="AL42" i="11" s="1"/>
  <c r="X36" i="20"/>
  <c r="AH36" i="20" s="1"/>
  <c r="AM36" i="20" s="1"/>
  <c r="Y41" i="11"/>
  <c r="AI41" i="11" s="1"/>
  <c r="AN41" i="11" s="1"/>
  <c r="E12" i="27"/>
  <c r="J12" i="27" s="1"/>
  <c r="P12" i="27" s="1"/>
  <c r="E12" i="30"/>
  <c r="J12" i="30" s="1"/>
  <c r="P12" i="30" s="1"/>
  <c r="E12" i="17"/>
  <c r="J12" i="17" s="1"/>
  <c r="P12" i="17" s="1"/>
  <c r="E12" i="24"/>
  <c r="J12" i="24" s="1"/>
  <c r="P12" i="24" s="1"/>
  <c r="E12" i="21"/>
  <c r="J12" i="21" s="1"/>
  <c r="P12" i="21" s="1"/>
  <c r="E12" i="22"/>
  <c r="J12" i="22" s="1"/>
  <c r="P12" i="22" s="1"/>
  <c r="R37" i="20"/>
  <c r="AB37" i="20" s="1"/>
  <c r="X40" i="11"/>
  <c r="AH40" i="11" s="1"/>
  <c r="AM40" i="11" s="1"/>
  <c r="H11" i="27"/>
  <c r="M11" i="27" s="1"/>
  <c r="S11" i="27" s="1"/>
  <c r="H11" i="24"/>
  <c r="M11" i="24" s="1"/>
  <c r="S11" i="24" s="1"/>
  <c r="H11" i="30"/>
  <c r="M11" i="30" s="1"/>
  <c r="S11" i="30" s="1"/>
  <c r="H11" i="17"/>
  <c r="M11" i="17" s="1"/>
  <c r="S11" i="17" s="1"/>
  <c r="H11" i="22"/>
  <c r="M11" i="22" s="1"/>
  <c r="S11" i="22" s="1"/>
  <c r="H11" i="21"/>
  <c r="M11" i="21" s="1"/>
  <c r="S11" i="21" s="1"/>
  <c r="W41" i="11"/>
  <c r="AG41" i="11" s="1"/>
  <c r="AL41" i="11" s="1"/>
  <c r="F9" i="24"/>
  <c r="K9" i="24" s="1"/>
  <c r="Q9" i="24" s="1"/>
  <c r="U39" i="20"/>
  <c r="AE39" i="20" s="1"/>
  <c r="F20" i="27"/>
  <c r="K20" i="27" s="1"/>
  <c r="Q20" i="27" s="1"/>
  <c r="F20" i="30"/>
  <c r="K20" i="30" s="1"/>
  <c r="Q20" i="30" s="1"/>
  <c r="F20" i="24"/>
  <c r="K20" i="24" s="1"/>
  <c r="Q20" i="24" s="1"/>
  <c r="F20" i="22"/>
  <c r="K20" i="22" s="1"/>
  <c r="Q20" i="22" s="1"/>
  <c r="F20" i="21"/>
  <c r="K20" i="21" s="1"/>
  <c r="Q20" i="21" s="1"/>
  <c r="F20" i="17"/>
  <c r="K20" i="17" s="1"/>
  <c r="Q20" i="17" s="1"/>
  <c r="R35" i="20"/>
  <c r="AB35" i="20" s="1"/>
  <c r="S35" i="20"/>
  <c r="AC35" i="20" s="1"/>
  <c r="F7" i="27"/>
  <c r="K7" i="27" s="1"/>
  <c r="Q7" i="27" s="1"/>
  <c r="F7" i="30"/>
  <c r="K7" i="30" s="1"/>
  <c r="Q7" i="30" s="1"/>
  <c r="F7" i="24"/>
  <c r="K7" i="24" s="1"/>
  <c r="Q7" i="24" s="1"/>
  <c r="F7" i="17"/>
  <c r="K7" i="17" s="1"/>
  <c r="Q7" i="17" s="1"/>
  <c r="F7" i="22"/>
  <c r="K7" i="22" s="1"/>
  <c r="Q7" i="22" s="1"/>
  <c r="F7" i="21"/>
  <c r="K7" i="21" s="1"/>
  <c r="Q7" i="21" s="1"/>
  <c r="Z42" i="20"/>
  <c r="AJ42" i="20" s="1"/>
  <c r="AO42" i="20" s="1"/>
  <c r="AA33" i="20"/>
  <c r="AK33" i="20" s="1"/>
  <c r="AP33" i="20" s="1"/>
  <c r="R39" i="20"/>
  <c r="AB39" i="20" s="1"/>
  <c r="S38" i="20"/>
  <c r="AC38" i="20" s="1"/>
  <c r="H20" i="27"/>
  <c r="M20" i="27" s="1"/>
  <c r="S20" i="27" s="1"/>
  <c r="H20" i="30"/>
  <c r="M20" i="30" s="1"/>
  <c r="S20" i="30" s="1"/>
  <c r="H20" i="24"/>
  <c r="M20" i="24" s="1"/>
  <c r="S20" i="24" s="1"/>
  <c r="H20" i="17"/>
  <c r="M20" i="17" s="1"/>
  <c r="S20" i="17" s="1"/>
  <c r="H20" i="21"/>
  <c r="M20" i="21" s="1"/>
  <c r="S20" i="21" s="1"/>
  <c r="H20" i="22"/>
  <c r="M20" i="22" s="1"/>
  <c r="S20" i="22" s="1"/>
  <c r="S37" i="20"/>
  <c r="AC37" i="20" s="1"/>
  <c r="F36" i="27"/>
  <c r="K36" i="27" s="1"/>
  <c r="Q36" i="27" s="1"/>
  <c r="F36" i="24"/>
  <c r="K36" i="24" s="1"/>
  <c r="Q36" i="24" s="1"/>
  <c r="F36" i="17"/>
  <c r="K36" i="17" s="1"/>
  <c r="Q36" i="17" s="1"/>
  <c r="F36" i="30"/>
  <c r="K36" i="30" s="1"/>
  <c r="Q36" i="30" s="1"/>
  <c r="F36" i="22"/>
  <c r="K36" i="22" s="1"/>
  <c r="Q36" i="22" s="1"/>
  <c r="F36" i="21"/>
  <c r="K36" i="21" s="1"/>
  <c r="Q36" i="21" s="1"/>
  <c r="S39" i="20"/>
  <c r="AC39" i="20" s="1"/>
  <c r="S46" i="20"/>
  <c r="AC46" i="20" s="1"/>
  <c r="T38" i="20"/>
  <c r="AD38" i="20" s="1"/>
  <c r="T45" i="20"/>
  <c r="AD45" i="20" s="1"/>
  <c r="Y41" i="20"/>
  <c r="AI41" i="20" s="1"/>
  <c r="AN41" i="20" s="1"/>
  <c r="W36" i="20"/>
  <c r="AG36" i="20" s="1"/>
  <c r="AL36" i="20" s="1"/>
  <c r="T37" i="20"/>
  <c r="AD37" i="20" s="1"/>
  <c r="Y33" i="20"/>
  <c r="AI33" i="20" s="1"/>
  <c r="AN33" i="20" s="1"/>
  <c r="D25" i="27"/>
  <c r="I25" i="27" s="1"/>
  <c r="O25" i="27" s="1"/>
  <c r="D25" i="30"/>
  <c r="I25" i="30" s="1"/>
  <c r="O25" i="30" s="1"/>
  <c r="D25" i="17"/>
  <c r="I25" i="17" s="1"/>
  <c r="O25" i="17" s="1"/>
  <c r="D25" i="21"/>
  <c r="I25" i="21" s="1"/>
  <c r="O25" i="21" s="1"/>
  <c r="D25" i="24"/>
  <c r="I25" i="24" s="1"/>
  <c r="O25" i="24" s="1"/>
  <c r="D25" i="22"/>
  <c r="I25" i="22" s="1"/>
  <c r="O25" i="22" s="1"/>
  <c r="G24" i="27"/>
  <c r="L24" i="27" s="1"/>
  <c r="R24" i="27" s="1"/>
  <c r="G24" i="30"/>
  <c r="L24" i="30" s="1"/>
  <c r="R24" i="30" s="1"/>
  <c r="G24" i="24"/>
  <c r="L24" i="24" s="1"/>
  <c r="R24" i="24" s="1"/>
  <c r="G24" i="17"/>
  <c r="L24" i="17" s="1"/>
  <c r="R24" i="17" s="1"/>
  <c r="G24" i="22"/>
  <c r="L24" i="22" s="1"/>
  <c r="R24" i="22" s="1"/>
  <c r="G24" i="21"/>
  <c r="L24" i="21" s="1"/>
  <c r="R24" i="21" s="1"/>
  <c r="U46" i="20"/>
  <c r="AE46" i="20" s="1"/>
  <c r="G9" i="17"/>
  <c r="L9" i="17" s="1"/>
  <c r="R9" i="17" s="1"/>
  <c r="F25" i="27"/>
  <c r="K25" i="27" s="1"/>
  <c r="Q25" i="27" s="1"/>
  <c r="F25" i="30"/>
  <c r="K25" i="30" s="1"/>
  <c r="Q25" i="30" s="1"/>
  <c r="F25" i="24"/>
  <c r="K25" i="24" s="1"/>
  <c r="Q25" i="24" s="1"/>
  <c r="F25" i="22"/>
  <c r="K25" i="22" s="1"/>
  <c r="Q25" i="22" s="1"/>
  <c r="F25" i="21"/>
  <c r="K25" i="21" s="1"/>
  <c r="Q25" i="21" s="1"/>
  <c r="F25" i="17"/>
  <c r="K25" i="17" s="1"/>
  <c r="Q25" i="17" s="1"/>
  <c r="E24" i="30"/>
  <c r="J24" i="30" s="1"/>
  <c r="P24" i="30" s="1"/>
  <c r="E24" i="27"/>
  <c r="J24" i="27" s="1"/>
  <c r="P24" i="27" s="1"/>
  <c r="E24" i="17"/>
  <c r="J24" i="17" s="1"/>
  <c r="P24" i="17" s="1"/>
  <c r="E24" i="22"/>
  <c r="J24" i="22" s="1"/>
  <c r="P24" i="22" s="1"/>
  <c r="E24" i="21"/>
  <c r="J24" i="21" s="1"/>
  <c r="P24" i="21" s="1"/>
  <c r="E24" i="24"/>
  <c r="J24" i="24" s="1"/>
  <c r="P24" i="24" s="1"/>
  <c r="U45" i="20"/>
  <c r="AE45" i="20" s="1"/>
  <c r="Y42" i="11"/>
  <c r="AI42" i="11" s="1"/>
  <c r="AN42" i="11" s="1"/>
  <c r="W40" i="11"/>
  <c r="AG40" i="11" s="1"/>
  <c r="AL40" i="11" s="1"/>
  <c r="AA40" i="11"/>
  <c r="AK40" i="11" s="1"/>
  <c r="AP40" i="11" s="1"/>
  <c r="H24" i="27"/>
  <c r="M24" i="27" s="1"/>
  <c r="S24" i="27" s="1"/>
  <c r="H24" i="30"/>
  <c r="M24" i="30" s="1"/>
  <c r="S24" i="30" s="1"/>
  <c r="H24" i="24"/>
  <c r="M24" i="24" s="1"/>
  <c r="S24" i="24" s="1"/>
  <c r="H24" i="17"/>
  <c r="M24" i="17" s="1"/>
  <c r="S24" i="17" s="1"/>
  <c r="H24" i="22"/>
  <c r="M24" i="22" s="1"/>
  <c r="S24" i="22" s="1"/>
  <c r="H24" i="21"/>
  <c r="M24" i="21" s="1"/>
  <c r="S24" i="21" s="1"/>
  <c r="H12" i="27"/>
  <c r="M12" i="27" s="1"/>
  <c r="S12" i="27" s="1"/>
  <c r="H12" i="24"/>
  <c r="M12" i="24" s="1"/>
  <c r="S12" i="24" s="1"/>
  <c r="H12" i="30"/>
  <c r="M12" i="30" s="1"/>
  <c r="S12" i="30" s="1"/>
  <c r="H12" i="17"/>
  <c r="M12" i="17" s="1"/>
  <c r="S12" i="17" s="1"/>
  <c r="H12" i="22"/>
  <c r="M12" i="22" s="1"/>
  <c r="S12" i="22" s="1"/>
  <c r="H12" i="21"/>
  <c r="M12" i="21" s="1"/>
  <c r="S12" i="21" s="1"/>
  <c r="S45" i="20"/>
  <c r="AC45" i="20" s="1"/>
  <c r="F6" i="27"/>
  <c r="K6" i="27" s="1"/>
  <c r="Q6" i="27" s="1"/>
  <c r="F6" i="30"/>
  <c r="K6" i="30" s="1"/>
  <c r="Q6" i="30" s="1"/>
  <c r="F6" i="22"/>
  <c r="K6" i="22" s="1"/>
  <c r="Q6" i="22" s="1"/>
  <c r="F6" i="24"/>
  <c r="K6" i="24" s="1"/>
  <c r="Q6" i="24" s="1"/>
  <c r="F6" i="17"/>
  <c r="K6" i="17" s="1"/>
  <c r="Q6" i="17" s="1"/>
  <c r="F6" i="21"/>
  <c r="K6" i="21" s="1"/>
  <c r="Q6" i="21" s="1"/>
  <c r="E25" i="27"/>
  <c r="J25" i="27" s="1"/>
  <c r="P25" i="27" s="1"/>
  <c r="E25" i="30"/>
  <c r="J25" i="30" s="1"/>
  <c r="P25" i="30" s="1"/>
  <c r="E25" i="24"/>
  <c r="J25" i="24" s="1"/>
  <c r="P25" i="24" s="1"/>
  <c r="E25" i="22"/>
  <c r="J25" i="22" s="1"/>
  <c r="P25" i="22" s="1"/>
  <c r="E25" i="21"/>
  <c r="J25" i="21" s="1"/>
  <c r="P25" i="21" s="1"/>
  <c r="E25" i="17"/>
  <c r="J25" i="17" s="1"/>
  <c r="P25" i="17" s="1"/>
  <c r="D24" i="27"/>
  <c r="I24" i="27" s="1"/>
  <c r="O24" i="27" s="1"/>
  <c r="D24" i="30"/>
  <c r="I24" i="30" s="1"/>
  <c r="O24" i="30" s="1"/>
  <c r="D24" i="24"/>
  <c r="I24" i="24" s="1"/>
  <c r="O24" i="24" s="1"/>
  <c r="D24" i="17"/>
  <c r="I24" i="17" s="1"/>
  <c r="O24" i="17" s="1"/>
  <c r="D24" i="22"/>
  <c r="I24" i="22" s="1"/>
  <c r="O24" i="22" s="1"/>
  <c r="D24" i="21"/>
  <c r="I24" i="21" s="1"/>
  <c r="O24" i="21" s="1"/>
  <c r="F8" i="30"/>
  <c r="K8" i="30" s="1"/>
  <c r="Q8" i="30" s="1"/>
  <c r="F8" i="24"/>
  <c r="K8" i="24" s="1"/>
  <c r="Q8" i="24" s="1"/>
  <c r="F8" i="17"/>
  <c r="K8" i="17" s="1"/>
  <c r="Q8" i="17" s="1"/>
  <c r="Y42" i="20"/>
  <c r="AI42" i="20" s="1"/>
  <c r="AN42" i="20" s="1"/>
  <c r="T39" i="20"/>
  <c r="AD39" i="20" s="1"/>
  <c r="R46" i="20"/>
  <c r="AB46" i="20" s="1"/>
  <c r="U38" i="20"/>
  <c r="AE38" i="20" s="1"/>
  <c r="AA46" i="11"/>
  <c r="AK46" i="11" s="1"/>
  <c r="AP46" i="11" s="1"/>
  <c r="AA44" i="20"/>
  <c r="AK44" i="20" s="1"/>
  <c r="AP44" i="20" s="1"/>
  <c r="X42" i="11"/>
  <c r="AH42" i="11" s="1"/>
  <c r="AM42" i="11" s="1"/>
  <c r="W44" i="20"/>
  <c r="AG44" i="20" s="1"/>
  <c r="AL44" i="20" s="1"/>
  <c r="AA42" i="11"/>
  <c r="AK42" i="11" s="1"/>
  <c r="AP42" i="11" s="1"/>
  <c r="Y46" i="11"/>
  <c r="AI46" i="11" s="1"/>
  <c r="AN46" i="11" s="1"/>
  <c r="U37" i="20"/>
  <c r="AE37" i="20" s="1"/>
  <c r="R33" i="11" l="1"/>
  <c r="AB33" i="11" s="1"/>
  <c r="W33" i="11"/>
  <c r="AG33" i="11" s="1"/>
  <c r="AL33" i="11" s="1"/>
  <c r="G9" i="30"/>
  <c r="L9" i="30" s="1"/>
  <c r="R9" i="30" s="1"/>
  <c r="F9" i="22"/>
  <c r="K9" i="22" s="1"/>
  <c r="Q9" i="22" s="1"/>
  <c r="E14" i="30"/>
  <c r="J14" i="30" s="1"/>
  <c r="P14" i="30" s="1"/>
  <c r="G9" i="27"/>
  <c r="L9" i="27" s="1"/>
  <c r="R9" i="27" s="1"/>
  <c r="AB9" i="27" s="1"/>
  <c r="F9" i="17"/>
  <c r="K9" i="17" s="1"/>
  <c r="Q9" i="17" s="1"/>
  <c r="E9" i="21"/>
  <c r="J9" i="21" s="1"/>
  <c r="P9" i="21" s="1"/>
  <c r="E7" i="22"/>
  <c r="J7" i="22" s="1"/>
  <c r="P7" i="22" s="1"/>
  <c r="H7" i="22"/>
  <c r="M7" i="22" s="1"/>
  <c r="S7" i="22" s="1"/>
  <c r="X33" i="11"/>
  <c r="AH33" i="11" s="1"/>
  <c r="AM33" i="11" s="1"/>
  <c r="E8" i="30" s="1"/>
  <c r="J8" i="30" s="1"/>
  <c r="P8" i="30" s="1"/>
  <c r="G9" i="21"/>
  <c r="L9" i="21" s="1"/>
  <c r="R9" i="21" s="1"/>
  <c r="G9" i="22"/>
  <c r="L9" i="22" s="1"/>
  <c r="R9" i="22" s="1"/>
  <c r="AB9" i="22" s="1"/>
  <c r="F9" i="30"/>
  <c r="K9" i="30" s="1"/>
  <c r="Q9" i="30" s="1"/>
  <c r="AA9" i="30" s="1"/>
  <c r="F9" i="27"/>
  <c r="K9" i="27" s="1"/>
  <c r="Q9" i="27" s="1"/>
  <c r="Y38" i="11"/>
  <c r="AI38" i="11" s="1"/>
  <c r="AN38" i="11" s="1"/>
  <c r="F13" i="22" s="1"/>
  <c r="K13" i="22" s="1"/>
  <c r="Q13" i="22" s="1"/>
  <c r="Z39" i="11"/>
  <c r="AJ39" i="11" s="1"/>
  <c r="AO39" i="11" s="1"/>
  <c r="W44" i="11"/>
  <c r="AG44" i="11" s="1"/>
  <c r="AL44" i="11" s="1"/>
  <c r="D19" i="22" s="1"/>
  <c r="I19" i="22" s="1"/>
  <c r="O19" i="22" s="1"/>
  <c r="Y19" i="22" s="1"/>
  <c r="D12" i="21"/>
  <c r="I12" i="21" s="1"/>
  <c r="O12" i="21" s="1"/>
  <c r="Y12" i="21" s="1"/>
  <c r="D12" i="17"/>
  <c r="I12" i="17" s="1"/>
  <c r="O12" i="17" s="1"/>
  <c r="Y12" i="17" s="1"/>
  <c r="F8" i="21"/>
  <c r="K8" i="21" s="1"/>
  <c r="Q8" i="21" s="1"/>
  <c r="Y39" i="11"/>
  <c r="AI39" i="11" s="1"/>
  <c r="AN39" i="11" s="1"/>
  <c r="F14" i="30" s="1"/>
  <c r="K14" i="30" s="1"/>
  <c r="Q14" i="30" s="1"/>
  <c r="AA14" i="30" s="1"/>
  <c r="G7" i="27"/>
  <c r="L7" i="27" s="1"/>
  <c r="R7" i="27" s="1"/>
  <c r="AB7" i="27" s="1"/>
  <c r="E8" i="22"/>
  <c r="J8" i="22" s="1"/>
  <c r="P8" i="22" s="1"/>
  <c r="Z44" i="11"/>
  <c r="AJ44" i="11" s="1"/>
  <c r="AO44" i="11" s="1"/>
  <c r="G19" i="27" s="1"/>
  <c r="L19" i="27" s="1"/>
  <c r="R19" i="27" s="1"/>
  <c r="W39" i="11"/>
  <c r="AG39" i="11" s="1"/>
  <c r="AL39" i="11" s="1"/>
  <c r="D14" i="24" s="1"/>
  <c r="I14" i="24" s="1"/>
  <c r="O14" i="24" s="1"/>
  <c r="Y14" i="24" s="1"/>
  <c r="D9" i="27"/>
  <c r="I9" i="27" s="1"/>
  <c r="O9" i="27" s="1"/>
  <c r="Y9" i="27" s="1"/>
  <c r="G7" i="24"/>
  <c r="L7" i="24" s="1"/>
  <c r="R7" i="24" s="1"/>
  <c r="AB7" i="24" s="1"/>
  <c r="F13" i="21"/>
  <c r="K13" i="21" s="1"/>
  <c r="Q13" i="21" s="1"/>
  <c r="F13" i="24"/>
  <c r="K13" i="24" s="1"/>
  <c r="Q13" i="24" s="1"/>
  <c r="F13" i="27"/>
  <c r="K13" i="27" s="1"/>
  <c r="Q13" i="27" s="1"/>
  <c r="T43" i="11"/>
  <c r="AD43" i="11" s="1"/>
  <c r="F8" i="22"/>
  <c r="K8" i="22" s="1"/>
  <c r="Q8" i="22" s="1"/>
  <c r="D12" i="22"/>
  <c r="I12" i="22" s="1"/>
  <c r="O12" i="22" s="1"/>
  <c r="Y12" i="22" s="1"/>
  <c r="D9" i="24"/>
  <c r="I9" i="24" s="1"/>
  <c r="O9" i="24" s="1"/>
  <c r="Y9" i="24" s="1"/>
  <c r="G7" i="30"/>
  <c r="L7" i="30" s="1"/>
  <c r="R7" i="30" s="1"/>
  <c r="AB7" i="30" s="1"/>
  <c r="Z38" i="11"/>
  <c r="AJ38" i="11" s="1"/>
  <c r="AO38" i="11" s="1"/>
  <c r="T35" i="11"/>
  <c r="AD35" i="11" s="1"/>
  <c r="Y35" i="11"/>
  <c r="AI35" i="11" s="1"/>
  <c r="AN35" i="11" s="1"/>
  <c r="X38" i="11"/>
  <c r="AH38" i="11" s="1"/>
  <c r="AM38" i="11" s="1"/>
  <c r="D12" i="24"/>
  <c r="I12" i="24" s="1"/>
  <c r="O12" i="24" s="1"/>
  <c r="Y12" i="24" s="1"/>
  <c r="E19" i="21"/>
  <c r="J19" i="21" s="1"/>
  <c r="P19" i="21" s="1"/>
  <c r="E19" i="27"/>
  <c r="J19" i="27" s="1"/>
  <c r="P19" i="27" s="1"/>
  <c r="E19" i="30"/>
  <c r="J19" i="30" s="1"/>
  <c r="P19" i="30" s="1"/>
  <c r="E19" i="24"/>
  <c r="J19" i="24" s="1"/>
  <c r="P19" i="24" s="1"/>
  <c r="E19" i="22"/>
  <c r="J19" i="22" s="1"/>
  <c r="P19" i="22" s="1"/>
  <c r="E19" i="17"/>
  <c r="J19" i="17" s="1"/>
  <c r="P19" i="17" s="1"/>
  <c r="D19" i="27"/>
  <c r="I19" i="27" s="1"/>
  <c r="O19" i="27" s="1"/>
  <c r="Y19" i="27" s="1"/>
  <c r="D19" i="17"/>
  <c r="I19" i="17" s="1"/>
  <c r="O19" i="17" s="1"/>
  <c r="Y19" i="17" s="1"/>
  <c r="D19" i="30"/>
  <c r="I19" i="30" s="1"/>
  <c r="O19" i="30" s="1"/>
  <c r="Y19" i="30" s="1"/>
  <c r="D19" i="24"/>
  <c r="I19" i="24" s="1"/>
  <c r="O19" i="24" s="1"/>
  <c r="Y19" i="24" s="1"/>
  <c r="D19" i="21"/>
  <c r="I19" i="21" s="1"/>
  <c r="O19" i="21" s="1"/>
  <c r="Y19" i="21" s="1"/>
  <c r="E8" i="17"/>
  <c r="J8" i="17" s="1"/>
  <c r="P8" i="17" s="1"/>
  <c r="D12" i="30"/>
  <c r="I12" i="30" s="1"/>
  <c r="O12" i="30" s="1"/>
  <c r="Y12" i="30" s="1"/>
  <c r="D9" i="22"/>
  <c r="I9" i="22" s="1"/>
  <c r="O9" i="22" s="1"/>
  <c r="Y9" i="22" s="1"/>
  <c r="G7" i="21"/>
  <c r="L7" i="21" s="1"/>
  <c r="R7" i="21" s="1"/>
  <c r="AB7" i="21" s="1"/>
  <c r="W38" i="11"/>
  <c r="AG38" i="11" s="1"/>
  <c r="AL38" i="11" s="1"/>
  <c r="U35" i="11"/>
  <c r="AE35" i="11" s="1"/>
  <c r="R43" i="11"/>
  <c r="AB43" i="11" s="1"/>
  <c r="W43" i="11"/>
  <c r="AG43" i="11" s="1"/>
  <c r="AL43" i="11" s="1"/>
  <c r="G14" i="24"/>
  <c r="L14" i="24" s="1"/>
  <c r="R14" i="24" s="1"/>
  <c r="G14" i="22"/>
  <c r="L14" i="22" s="1"/>
  <c r="R14" i="22" s="1"/>
  <c r="G14" i="21"/>
  <c r="L14" i="21" s="1"/>
  <c r="R14" i="21" s="1"/>
  <c r="G14" i="30"/>
  <c r="L14" i="30" s="1"/>
  <c r="R14" i="30" s="1"/>
  <c r="G14" i="17"/>
  <c r="L14" i="17" s="1"/>
  <c r="R14" i="17" s="1"/>
  <c r="G14" i="27"/>
  <c r="L14" i="27" s="1"/>
  <c r="R14" i="27" s="1"/>
  <c r="V43" i="11"/>
  <c r="AF43" i="11" s="1"/>
  <c r="E8" i="24"/>
  <c r="J8" i="24" s="1"/>
  <c r="P8" i="24" s="1"/>
  <c r="D9" i="21"/>
  <c r="I9" i="21" s="1"/>
  <c r="O9" i="21" s="1"/>
  <c r="Y9" i="21" s="1"/>
  <c r="G7" i="22"/>
  <c r="L7" i="22" s="1"/>
  <c r="R7" i="22" s="1"/>
  <c r="AB7" i="22" s="1"/>
  <c r="D14" i="22"/>
  <c r="I14" i="22" s="1"/>
  <c r="O14" i="22" s="1"/>
  <c r="Y14" i="22" s="1"/>
  <c r="D14" i="30"/>
  <c r="I14" i="30" s="1"/>
  <c r="O14" i="30" s="1"/>
  <c r="Y14" i="30" s="1"/>
  <c r="D14" i="21"/>
  <c r="I14" i="21" s="1"/>
  <c r="O14" i="21" s="1"/>
  <c r="Y14" i="21" s="1"/>
  <c r="H13" i="30"/>
  <c r="M13" i="30" s="1"/>
  <c r="S13" i="30" s="1"/>
  <c r="H13" i="24"/>
  <c r="M13" i="24" s="1"/>
  <c r="S13" i="24" s="1"/>
  <c r="H13" i="22"/>
  <c r="M13" i="22" s="1"/>
  <c r="S13" i="22" s="1"/>
  <c r="H13" i="17"/>
  <c r="M13" i="17" s="1"/>
  <c r="S13" i="17" s="1"/>
  <c r="H13" i="27"/>
  <c r="M13" i="27" s="1"/>
  <c r="S13" i="27" s="1"/>
  <c r="H13" i="21"/>
  <c r="M13" i="21" s="1"/>
  <c r="S13" i="21" s="1"/>
  <c r="U43" i="11"/>
  <c r="AE43" i="11" s="1"/>
  <c r="H14" i="27"/>
  <c r="M14" i="27" s="1"/>
  <c r="S14" i="27" s="1"/>
  <c r="H14" i="21"/>
  <c r="M14" i="21" s="1"/>
  <c r="S14" i="21" s="1"/>
  <c r="H14" i="24"/>
  <c r="M14" i="24" s="1"/>
  <c r="S14" i="24" s="1"/>
  <c r="H14" i="30"/>
  <c r="M14" i="30" s="1"/>
  <c r="S14" i="30" s="1"/>
  <c r="H14" i="17"/>
  <c r="M14" i="17" s="1"/>
  <c r="S14" i="17" s="1"/>
  <c r="H14" i="22"/>
  <c r="M14" i="22" s="1"/>
  <c r="S14" i="22" s="1"/>
  <c r="V35" i="11"/>
  <c r="AF35" i="11" s="1"/>
  <c r="R35" i="11"/>
  <c r="AB35" i="11" s="1"/>
  <c r="S35" i="11"/>
  <c r="AC35" i="11" s="1"/>
  <c r="Y44" i="11"/>
  <c r="AI44" i="11" s="1"/>
  <c r="AN44" i="11" s="1"/>
  <c r="AA44" i="11"/>
  <c r="AK44" i="11" s="1"/>
  <c r="AP44" i="11" s="1"/>
  <c r="S43" i="11"/>
  <c r="AC43" i="11" s="1"/>
  <c r="G33" i="21"/>
  <c r="L33" i="21" s="1"/>
  <c r="R33" i="21" s="1"/>
  <c r="G33" i="22"/>
  <c r="L33" i="22" s="1"/>
  <c r="R33" i="22" s="1"/>
  <c r="G33" i="24"/>
  <c r="L33" i="24" s="1"/>
  <c r="R33" i="24" s="1"/>
  <c r="G33" i="30"/>
  <c r="L33" i="30" s="1"/>
  <c r="R33" i="30" s="1"/>
  <c r="G33" i="27"/>
  <c r="L33" i="27" s="1"/>
  <c r="R33" i="27" s="1"/>
  <c r="H33" i="22"/>
  <c r="M33" i="22" s="1"/>
  <c r="S33" i="22" s="1"/>
  <c r="H33" i="17"/>
  <c r="M33" i="17" s="1"/>
  <c r="S33" i="17" s="1"/>
  <c r="H33" i="30"/>
  <c r="M33" i="30" s="1"/>
  <c r="S33" i="30" s="1"/>
  <c r="H33" i="21"/>
  <c r="M33" i="21" s="1"/>
  <c r="S33" i="21" s="1"/>
  <c r="AC11" i="17"/>
  <c r="AB7" i="17"/>
  <c r="Z7" i="17"/>
  <c r="Z20" i="17"/>
  <c r="AC7" i="30"/>
  <c r="AC20" i="17"/>
  <c r="AC7" i="27"/>
  <c r="E33" i="21"/>
  <c r="J33" i="21" s="1"/>
  <c r="P33" i="21" s="1"/>
  <c r="Y40" i="20"/>
  <c r="AI40" i="20" s="1"/>
  <c r="AN40" i="20" s="1"/>
  <c r="H33" i="24"/>
  <c r="M33" i="24" s="1"/>
  <c r="S33" i="24" s="1"/>
  <c r="D6" i="22"/>
  <c r="I6" i="22" s="1"/>
  <c r="O6" i="22" s="1"/>
  <c r="Y6" i="22" s="1"/>
  <c r="D6" i="17"/>
  <c r="I6" i="17" s="1"/>
  <c r="O6" i="17" s="1"/>
  <c r="Y6" i="17" s="1"/>
  <c r="AA7" i="17"/>
  <c r="AC11" i="27"/>
  <c r="Z11" i="27"/>
  <c r="Z39" i="20"/>
  <c r="AJ39" i="20" s="1"/>
  <c r="AO39" i="20" s="1"/>
  <c r="Z7" i="30"/>
  <c r="AA7" i="30"/>
  <c r="Z7" i="27"/>
  <c r="AA7" i="27"/>
  <c r="AC7" i="17"/>
  <c r="X35" i="20"/>
  <c r="AH35" i="20" s="1"/>
  <c r="AM35" i="20" s="1"/>
  <c r="AC11" i="30"/>
  <c r="AC11" i="24"/>
  <c r="D6" i="21"/>
  <c r="I6" i="21" s="1"/>
  <c r="O6" i="21" s="1"/>
  <c r="Y6" i="21" s="1"/>
  <c r="Z20" i="22"/>
  <c r="E11" i="21"/>
  <c r="J11" i="21" s="1"/>
  <c r="P11" i="21" s="1"/>
  <c r="Z11" i="21" s="1"/>
  <c r="AB12" i="22"/>
  <c r="Z7" i="24"/>
  <c r="AC20" i="21"/>
  <c r="E11" i="17"/>
  <c r="J11" i="17" s="1"/>
  <c r="P11" i="17" s="1"/>
  <c r="Z11" i="17" s="1"/>
  <c r="AC12" i="27"/>
  <c r="AA20" i="21"/>
  <c r="D6" i="24"/>
  <c r="I6" i="24" s="1"/>
  <c r="O6" i="24" s="1"/>
  <c r="Y6" i="24" s="1"/>
  <c r="E11" i="30"/>
  <c r="J11" i="30" s="1"/>
  <c r="P11" i="30" s="1"/>
  <c r="Z11" i="30" s="1"/>
  <c r="X37" i="20"/>
  <c r="AH37" i="20" s="1"/>
  <c r="AM37" i="20" s="1"/>
  <c r="D6" i="27"/>
  <c r="I6" i="27" s="1"/>
  <c r="O6" i="27" s="1"/>
  <c r="Y6" i="27" s="1"/>
  <c r="E11" i="22"/>
  <c r="J11" i="22" s="1"/>
  <c r="P11" i="22" s="1"/>
  <c r="Z11" i="22" s="1"/>
  <c r="Z37" i="20"/>
  <c r="AJ37" i="20" s="1"/>
  <c r="AO37" i="20" s="1"/>
  <c r="Y37" i="20"/>
  <c r="AI37" i="20" s="1"/>
  <c r="AN37" i="20" s="1"/>
  <c r="E33" i="22"/>
  <c r="J33" i="22" s="1"/>
  <c r="P33" i="22" s="1"/>
  <c r="AB9" i="30"/>
  <c r="AA7" i="22"/>
  <c r="Z9" i="30"/>
  <c r="E33" i="17"/>
  <c r="J33" i="17" s="1"/>
  <c r="P33" i="17" s="1"/>
  <c r="E11" i="24"/>
  <c r="J11" i="24" s="1"/>
  <c r="P11" i="24" s="1"/>
  <c r="Z11" i="24" s="1"/>
  <c r="AB20" i="22"/>
  <c r="AA20" i="17"/>
  <c r="E33" i="30"/>
  <c r="J33" i="30" s="1"/>
  <c r="P33" i="30" s="1"/>
  <c r="AB20" i="17"/>
  <c r="AA7" i="24"/>
  <c r="Z12" i="27"/>
  <c r="AC7" i="21"/>
  <c r="E33" i="24"/>
  <c r="J33" i="24" s="1"/>
  <c r="P33" i="24" s="1"/>
  <c r="AB11" i="24"/>
  <c r="AA20" i="22"/>
  <c r="Z7" i="22"/>
  <c r="AC7" i="22"/>
  <c r="AC20" i="22"/>
  <c r="Z7" i="21"/>
  <c r="AC7" i="24"/>
  <c r="AC9" i="30"/>
  <c r="X38" i="20"/>
  <c r="AH38" i="20" s="1"/>
  <c r="AM38" i="20" s="1"/>
  <c r="AC12" i="22"/>
  <c r="AA38" i="20"/>
  <c r="AK38" i="20" s="1"/>
  <c r="AP38" i="20" s="1"/>
  <c r="W34" i="20"/>
  <c r="AG34" i="20" s="1"/>
  <c r="AL34" i="20" s="1"/>
  <c r="AB11" i="17"/>
  <c r="W40" i="20"/>
  <c r="AG40" i="20" s="1"/>
  <c r="AL40" i="20" s="1"/>
  <c r="AB11" i="27"/>
  <c r="Z45" i="20"/>
  <c r="AJ45" i="20" s="1"/>
  <c r="AO45" i="20" s="1"/>
  <c r="AA35" i="20"/>
  <c r="AK35" i="20" s="1"/>
  <c r="AP35" i="20" s="1"/>
  <c r="X34" i="20"/>
  <c r="AH34" i="20" s="1"/>
  <c r="AM34" i="20" s="1"/>
  <c r="AB9" i="17"/>
  <c r="AC11" i="21"/>
  <c r="Z20" i="21"/>
  <c r="AA7" i="21"/>
  <c r="AC11" i="22"/>
  <c r="W37" i="20"/>
  <c r="AG37" i="20" s="1"/>
  <c r="AL37" i="20" s="1"/>
  <c r="W45" i="20"/>
  <c r="AG45" i="20" s="1"/>
  <c r="AL45" i="20" s="1"/>
  <c r="Y46" i="20"/>
  <c r="AI46" i="20" s="1"/>
  <c r="AN46" i="20" s="1"/>
  <c r="AA11" i="17"/>
  <c r="AB20" i="21"/>
  <c r="D16" i="27"/>
  <c r="I16" i="27" s="1"/>
  <c r="O16" i="27" s="1"/>
  <c r="Y16" i="27" s="1"/>
  <c r="D16" i="30"/>
  <c r="I16" i="30" s="1"/>
  <c r="O16" i="30" s="1"/>
  <c r="Y16" i="30" s="1"/>
  <c r="D16" i="24"/>
  <c r="I16" i="24" s="1"/>
  <c r="O16" i="24" s="1"/>
  <c r="Y16" i="24" s="1"/>
  <c r="D16" i="21"/>
  <c r="I16" i="21" s="1"/>
  <c r="O16" i="21" s="1"/>
  <c r="Y16" i="21" s="1"/>
  <c r="D16" i="22"/>
  <c r="I16" i="22" s="1"/>
  <c r="O16" i="22" s="1"/>
  <c r="Y16" i="22" s="1"/>
  <c r="D16" i="17"/>
  <c r="I16" i="17" s="1"/>
  <c r="O16" i="17" s="1"/>
  <c r="Y16" i="17" s="1"/>
  <c r="G35" i="27"/>
  <c r="L35" i="27" s="1"/>
  <c r="R35" i="27" s="1"/>
  <c r="G35" i="30"/>
  <c r="L35" i="30" s="1"/>
  <c r="R35" i="30" s="1"/>
  <c r="G35" i="24"/>
  <c r="L35" i="24" s="1"/>
  <c r="R35" i="24" s="1"/>
  <c r="G35" i="17"/>
  <c r="L35" i="17" s="1"/>
  <c r="R35" i="17" s="1"/>
  <c r="G35" i="22"/>
  <c r="L35" i="22" s="1"/>
  <c r="R35" i="22" s="1"/>
  <c r="G35" i="21"/>
  <c r="L35" i="21" s="1"/>
  <c r="R35" i="21" s="1"/>
  <c r="F16" i="27"/>
  <c r="K16" i="27" s="1"/>
  <c r="Q16" i="27" s="1"/>
  <c r="F16" i="22"/>
  <c r="K16" i="22" s="1"/>
  <c r="Q16" i="22" s="1"/>
  <c r="F16" i="17"/>
  <c r="K16" i="17" s="1"/>
  <c r="Q16" i="17" s="1"/>
  <c r="F16" i="30"/>
  <c r="K16" i="30" s="1"/>
  <c r="Q16" i="30" s="1"/>
  <c r="F16" i="24"/>
  <c r="K16" i="24" s="1"/>
  <c r="Q16" i="24" s="1"/>
  <c r="F16" i="21"/>
  <c r="K16" i="21" s="1"/>
  <c r="Q16" i="21" s="1"/>
  <c r="F21" i="27"/>
  <c r="K21" i="27" s="1"/>
  <c r="Q21" i="27" s="1"/>
  <c r="F21" i="30"/>
  <c r="K21" i="30" s="1"/>
  <c r="Q21" i="30" s="1"/>
  <c r="F21" i="17"/>
  <c r="K21" i="17" s="1"/>
  <c r="Q21" i="17" s="1"/>
  <c r="F21" i="24"/>
  <c r="K21" i="24" s="1"/>
  <c r="Q21" i="24" s="1"/>
  <c r="F21" i="22"/>
  <c r="K21" i="22" s="1"/>
  <c r="Q21" i="22" s="1"/>
  <c r="F21" i="21"/>
  <c r="K21" i="21" s="1"/>
  <c r="Q21" i="21" s="1"/>
  <c r="E29" i="27"/>
  <c r="J29" i="27" s="1"/>
  <c r="P29" i="27" s="1"/>
  <c r="E29" i="30"/>
  <c r="J29" i="30" s="1"/>
  <c r="P29" i="30" s="1"/>
  <c r="E29" i="24"/>
  <c r="J29" i="24" s="1"/>
  <c r="P29" i="24" s="1"/>
  <c r="E29" i="22"/>
  <c r="J29" i="22" s="1"/>
  <c r="P29" i="22" s="1"/>
  <c r="E29" i="17"/>
  <c r="J29" i="17" s="1"/>
  <c r="P29" i="17" s="1"/>
  <c r="E29" i="21"/>
  <c r="J29" i="21" s="1"/>
  <c r="P29" i="21" s="1"/>
  <c r="H26" i="27"/>
  <c r="M26" i="27" s="1"/>
  <c r="S26" i="27" s="1"/>
  <c r="H26" i="24"/>
  <c r="M26" i="24" s="1"/>
  <c r="S26" i="24" s="1"/>
  <c r="H26" i="30"/>
  <c r="M26" i="30" s="1"/>
  <c r="S26" i="30" s="1"/>
  <c r="H26" i="17"/>
  <c r="M26" i="17" s="1"/>
  <c r="S26" i="17" s="1"/>
  <c r="H26" i="21"/>
  <c r="M26" i="21" s="1"/>
  <c r="S26" i="21" s="1"/>
  <c r="H26" i="22"/>
  <c r="M26" i="22" s="1"/>
  <c r="S26" i="22" s="1"/>
  <c r="E15" i="27"/>
  <c r="J15" i="27" s="1"/>
  <c r="P15" i="27" s="1"/>
  <c r="U33" i="27" s="1"/>
  <c r="E15" i="30"/>
  <c r="J15" i="30" s="1"/>
  <c r="P15" i="30" s="1"/>
  <c r="E15" i="24"/>
  <c r="J15" i="24" s="1"/>
  <c r="P15" i="24" s="1"/>
  <c r="E15" i="17"/>
  <c r="J15" i="17" s="1"/>
  <c r="P15" i="17" s="1"/>
  <c r="E15" i="22"/>
  <c r="J15" i="22" s="1"/>
  <c r="P15" i="22" s="1"/>
  <c r="E15" i="21"/>
  <c r="J15" i="21" s="1"/>
  <c r="P15" i="21" s="1"/>
  <c r="D37" i="27"/>
  <c r="I37" i="27" s="1"/>
  <c r="O37" i="27" s="1"/>
  <c r="D37" i="30"/>
  <c r="I37" i="30" s="1"/>
  <c r="O37" i="30" s="1"/>
  <c r="D37" i="24"/>
  <c r="I37" i="24" s="1"/>
  <c r="O37" i="24" s="1"/>
  <c r="D37" i="17"/>
  <c r="I37" i="17" s="1"/>
  <c r="O37" i="17" s="1"/>
  <c r="D37" i="22"/>
  <c r="I37" i="22" s="1"/>
  <c r="O37" i="22" s="1"/>
  <c r="D37" i="21"/>
  <c r="I37" i="21" s="1"/>
  <c r="O37" i="21" s="1"/>
  <c r="D17" i="27"/>
  <c r="I17" i="27" s="1"/>
  <c r="O17" i="27" s="1"/>
  <c r="Y17" i="27" s="1"/>
  <c r="D17" i="30"/>
  <c r="I17" i="30" s="1"/>
  <c r="O17" i="30" s="1"/>
  <c r="Y17" i="30" s="1"/>
  <c r="D17" i="24"/>
  <c r="I17" i="24" s="1"/>
  <c r="O17" i="24" s="1"/>
  <c r="Y17" i="24" s="1"/>
  <c r="D17" i="17"/>
  <c r="I17" i="17" s="1"/>
  <c r="O17" i="17" s="1"/>
  <c r="Y17" i="17" s="1"/>
  <c r="D17" i="21"/>
  <c r="I17" i="21" s="1"/>
  <c r="O17" i="21" s="1"/>
  <c r="Y17" i="21" s="1"/>
  <c r="D17" i="22"/>
  <c r="I17" i="22" s="1"/>
  <c r="O17" i="22" s="1"/>
  <c r="Y17" i="22" s="1"/>
  <c r="F35" i="30"/>
  <c r="K35" i="30" s="1"/>
  <c r="Q35" i="30" s="1"/>
  <c r="F35" i="27"/>
  <c r="K35" i="27" s="1"/>
  <c r="Q35" i="27" s="1"/>
  <c r="F35" i="24"/>
  <c r="K35" i="24" s="1"/>
  <c r="Q35" i="24" s="1"/>
  <c r="F35" i="17"/>
  <c r="K35" i="17" s="1"/>
  <c r="Q35" i="17" s="1"/>
  <c r="F35" i="21"/>
  <c r="K35" i="21" s="1"/>
  <c r="Q35" i="21" s="1"/>
  <c r="F35" i="22"/>
  <c r="K35" i="22" s="1"/>
  <c r="Q35" i="22" s="1"/>
  <c r="H15" i="27"/>
  <c r="M15" i="27" s="1"/>
  <c r="S15" i="27" s="1"/>
  <c r="X33" i="27" s="1"/>
  <c r="H15" i="30"/>
  <c r="M15" i="30" s="1"/>
  <c r="S15" i="30" s="1"/>
  <c r="H15" i="17"/>
  <c r="M15" i="17" s="1"/>
  <c r="S15" i="17" s="1"/>
  <c r="H15" i="22"/>
  <c r="M15" i="22" s="1"/>
  <c r="S15" i="22" s="1"/>
  <c r="H15" i="21"/>
  <c r="M15" i="21" s="1"/>
  <c r="S15" i="21" s="1"/>
  <c r="H15" i="24"/>
  <c r="M15" i="24" s="1"/>
  <c r="S15" i="24" s="1"/>
  <c r="G15" i="27"/>
  <c r="L15" i="27" s="1"/>
  <c r="R15" i="27" s="1"/>
  <c r="G15" i="30"/>
  <c r="L15" i="30" s="1"/>
  <c r="R15" i="30" s="1"/>
  <c r="G15" i="24"/>
  <c r="L15" i="24" s="1"/>
  <c r="R15" i="24" s="1"/>
  <c r="G15" i="17"/>
  <c r="L15" i="17" s="1"/>
  <c r="R15" i="17" s="1"/>
  <c r="W33" i="17" s="1"/>
  <c r="G15" i="22"/>
  <c r="L15" i="22" s="1"/>
  <c r="R15" i="22" s="1"/>
  <c r="G15" i="21"/>
  <c r="L15" i="21" s="1"/>
  <c r="R15" i="21" s="1"/>
  <c r="H37" i="27"/>
  <c r="M37" i="27" s="1"/>
  <c r="S37" i="27" s="1"/>
  <c r="H37" i="24"/>
  <c r="M37" i="24" s="1"/>
  <c r="S37" i="24" s="1"/>
  <c r="H37" i="30"/>
  <c r="M37" i="30" s="1"/>
  <c r="S37" i="30" s="1"/>
  <c r="H37" i="17"/>
  <c r="M37" i="17" s="1"/>
  <c r="S37" i="17" s="1"/>
  <c r="H37" i="22"/>
  <c r="M37" i="22" s="1"/>
  <c r="S37" i="22" s="1"/>
  <c r="H37" i="21"/>
  <c r="M37" i="21" s="1"/>
  <c r="S37" i="21" s="1"/>
  <c r="Y24" i="24"/>
  <c r="Z25" i="24"/>
  <c r="U25" i="24"/>
  <c r="F34" i="27"/>
  <c r="K34" i="27" s="1"/>
  <c r="Q34" i="27" s="1"/>
  <c r="F34" i="30"/>
  <c r="K34" i="30" s="1"/>
  <c r="Q34" i="30" s="1"/>
  <c r="F34" i="24"/>
  <c r="K34" i="24" s="1"/>
  <c r="Q34" i="24" s="1"/>
  <c r="F34" i="17"/>
  <c r="K34" i="17" s="1"/>
  <c r="Q34" i="17" s="1"/>
  <c r="F34" i="21"/>
  <c r="K34" i="21" s="1"/>
  <c r="Q34" i="21" s="1"/>
  <c r="F34" i="22"/>
  <c r="K34" i="22" s="1"/>
  <c r="Q34" i="22" s="1"/>
  <c r="AC24" i="22"/>
  <c r="X24" i="22"/>
  <c r="E16" i="30"/>
  <c r="J16" i="30" s="1"/>
  <c r="P16" i="30" s="1"/>
  <c r="E16" i="27"/>
  <c r="J16" i="27" s="1"/>
  <c r="P16" i="27" s="1"/>
  <c r="E16" i="24"/>
  <c r="J16" i="24" s="1"/>
  <c r="P16" i="24" s="1"/>
  <c r="E16" i="17"/>
  <c r="J16" i="17" s="1"/>
  <c r="P16" i="17" s="1"/>
  <c r="E16" i="21"/>
  <c r="J16" i="21" s="1"/>
  <c r="P16" i="21" s="1"/>
  <c r="E16" i="22"/>
  <c r="J16" i="22" s="1"/>
  <c r="P16" i="22" s="1"/>
  <c r="D15" i="27"/>
  <c r="I15" i="27" s="1"/>
  <c r="O15" i="27" s="1"/>
  <c r="Y15" i="27" s="1"/>
  <c r="D15" i="24"/>
  <c r="I15" i="24" s="1"/>
  <c r="O15" i="24" s="1"/>
  <c r="Y15" i="24" s="1"/>
  <c r="D15" i="30"/>
  <c r="I15" i="30" s="1"/>
  <c r="O15" i="30" s="1"/>
  <c r="Y15" i="30" s="1"/>
  <c r="D15" i="21"/>
  <c r="I15" i="21" s="1"/>
  <c r="O15" i="21" s="1"/>
  <c r="Y15" i="21" s="1"/>
  <c r="D15" i="22"/>
  <c r="I15" i="22" s="1"/>
  <c r="O15" i="22" s="1"/>
  <c r="Y15" i="22" s="1"/>
  <c r="D15" i="17"/>
  <c r="I15" i="17" s="1"/>
  <c r="O15" i="17" s="1"/>
  <c r="Y15" i="17" s="1"/>
  <c r="AB24" i="27"/>
  <c r="W24" i="27"/>
  <c r="H21" i="27"/>
  <c r="M21" i="27" s="1"/>
  <c r="S21" i="27" s="1"/>
  <c r="H21" i="30"/>
  <c r="M21" i="30" s="1"/>
  <c r="S21" i="30" s="1"/>
  <c r="H21" i="24"/>
  <c r="M21" i="24" s="1"/>
  <c r="S21" i="24" s="1"/>
  <c r="H21" i="22"/>
  <c r="M21" i="22" s="1"/>
  <c r="S21" i="22" s="1"/>
  <c r="H21" i="17"/>
  <c r="M21" i="17" s="1"/>
  <c r="S21" i="17" s="1"/>
  <c r="H21" i="21"/>
  <c r="M21" i="21" s="1"/>
  <c r="S21" i="21" s="1"/>
  <c r="AA36" i="22"/>
  <c r="D29" i="27"/>
  <c r="I29" i="27" s="1"/>
  <c r="O29" i="27" s="1"/>
  <c r="D29" i="30"/>
  <c r="I29" i="30" s="1"/>
  <c r="O29" i="30" s="1"/>
  <c r="D29" i="24"/>
  <c r="I29" i="24" s="1"/>
  <c r="O29" i="24" s="1"/>
  <c r="D29" i="22"/>
  <c r="I29" i="22" s="1"/>
  <c r="O29" i="22" s="1"/>
  <c r="D29" i="17"/>
  <c r="I29" i="17" s="1"/>
  <c r="O29" i="17" s="1"/>
  <c r="D29" i="21"/>
  <c r="I29" i="21" s="1"/>
  <c r="O29" i="21" s="1"/>
  <c r="F17" i="27"/>
  <c r="K17" i="27" s="1"/>
  <c r="Q17" i="27" s="1"/>
  <c r="F17" i="30"/>
  <c r="K17" i="30" s="1"/>
  <c r="Q17" i="30" s="1"/>
  <c r="F17" i="24"/>
  <c r="K17" i="24" s="1"/>
  <c r="Q17" i="24" s="1"/>
  <c r="F17" i="17"/>
  <c r="K17" i="17" s="1"/>
  <c r="Q17" i="17" s="1"/>
  <c r="F17" i="22"/>
  <c r="K17" i="22" s="1"/>
  <c r="Q17" i="22" s="1"/>
  <c r="F17" i="21"/>
  <c r="K17" i="21" s="1"/>
  <c r="Q17" i="21" s="1"/>
  <c r="AA20" i="30"/>
  <c r="F15" i="27"/>
  <c r="K15" i="27" s="1"/>
  <c r="Q15" i="27" s="1"/>
  <c r="F15" i="30"/>
  <c r="K15" i="30" s="1"/>
  <c r="Q15" i="30" s="1"/>
  <c r="F15" i="24"/>
  <c r="K15" i="24" s="1"/>
  <c r="Q15" i="24" s="1"/>
  <c r="F15" i="17"/>
  <c r="K15" i="17" s="1"/>
  <c r="Q15" i="17" s="1"/>
  <c r="F15" i="22"/>
  <c r="K15" i="22" s="1"/>
  <c r="Q15" i="22" s="1"/>
  <c r="F15" i="21"/>
  <c r="K15" i="21" s="1"/>
  <c r="Q15" i="21" s="1"/>
  <c r="AB36" i="27"/>
  <c r="H29" i="30"/>
  <c r="M29" i="30" s="1"/>
  <c r="S29" i="30" s="1"/>
  <c r="H29" i="27"/>
  <c r="M29" i="27" s="1"/>
  <c r="S29" i="27" s="1"/>
  <c r="H29" i="24"/>
  <c r="M29" i="24" s="1"/>
  <c r="S29" i="24" s="1"/>
  <c r="H29" i="17"/>
  <c r="M29" i="17" s="1"/>
  <c r="S29" i="17" s="1"/>
  <c r="H29" i="21"/>
  <c r="M29" i="21" s="1"/>
  <c r="S29" i="21" s="1"/>
  <c r="H29" i="22"/>
  <c r="M29" i="22" s="1"/>
  <c r="S29" i="22" s="1"/>
  <c r="AC36" i="21"/>
  <c r="H17" i="27"/>
  <c r="M17" i="27" s="1"/>
  <c r="S17" i="27" s="1"/>
  <c r="H17" i="24"/>
  <c r="M17" i="24" s="1"/>
  <c r="S17" i="24" s="1"/>
  <c r="H17" i="30"/>
  <c r="M17" i="30" s="1"/>
  <c r="S17" i="30" s="1"/>
  <c r="H17" i="17"/>
  <c r="M17" i="17" s="1"/>
  <c r="S17" i="17" s="1"/>
  <c r="H17" i="22"/>
  <c r="M17" i="22" s="1"/>
  <c r="S17" i="22" s="1"/>
  <c r="H17" i="21"/>
  <c r="M17" i="21" s="1"/>
  <c r="S17" i="21" s="1"/>
  <c r="E17" i="27"/>
  <c r="J17" i="27" s="1"/>
  <c r="P17" i="27" s="1"/>
  <c r="E17" i="24"/>
  <c r="J17" i="24" s="1"/>
  <c r="P17" i="24" s="1"/>
  <c r="E17" i="30"/>
  <c r="J17" i="30" s="1"/>
  <c r="P17" i="30" s="1"/>
  <c r="E17" i="22"/>
  <c r="J17" i="22" s="1"/>
  <c r="P17" i="22" s="1"/>
  <c r="E17" i="17"/>
  <c r="J17" i="17" s="1"/>
  <c r="P17" i="17" s="1"/>
  <c r="E17" i="21"/>
  <c r="J17" i="21" s="1"/>
  <c r="P17" i="21" s="1"/>
  <c r="AA24" i="17"/>
  <c r="V24" i="17"/>
  <c r="Z36" i="17"/>
  <c r="AB11" i="21"/>
  <c r="AB25" i="21"/>
  <c r="Y36" i="17"/>
  <c r="Z38" i="20"/>
  <c r="AJ38" i="20" s="1"/>
  <c r="AO38" i="20" s="1"/>
  <c r="Y24" i="30"/>
  <c r="T24" i="30"/>
  <c r="U25" i="30"/>
  <c r="Z25" i="30"/>
  <c r="X45" i="20"/>
  <c r="AH45" i="20" s="1"/>
  <c r="AM45" i="20" s="1"/>
  <c r="X24" i="17"/>
  <c r="AC24" i="17"/>
  <c r="AA25" i="17"/>
  <c r="V25" i="17"/>
  <c r="Z46" i="20"/>
  <c r="AJ46" i="20" s="1"/>
  <c r="AO46" i="20" s="1"/>
  <c r="T25" i="22"/>
  <c r="Y25" i="22"/>
  <c r="D26" i="27"/>
  <c r="I26" i="27" s="1"/>
  <c r="O26" i="27" s="1"/>
  <c r="D26" i="24"/>
  <c r="I26" i="24" s="1"/>
  <c r="O26" i="24" s="1"/>
  <c r="D26" i="17"/>
  <c r="I26" i="17" s="1"/>
  <c r="O26" i="17" s="1"/>
  <c r="D26" i="30"/>
  <c r="I26" i="30" s="1"/>
  <c r="O26" i="30" s="1"/>
  <c r="D26" i="21"/>
  <c r="I26" i="21" s="1"/>
  <c r="O26" i="21" s="1"/>
  <c r="D26" i="22"/>
  <c r="I26" i="22" s="1"/>
  <c r="O26" i="22" s="1"/>
  <c r="G21" i="27"/>
  <c r="L21" i="27" s="1"/>
  <c r="R21" i="27" s="1"/>
  <c r="G21" i="30"/>
  <c r="L21" i="30" s="1"/>
  <c r="R21" i="30" s="1"/>
  <c r="G21" i="24"/>
  <c r="L21" i="24" s="1"/>
  <c r="R21" i="24" s="1"/>
  <c r="G21" i="17"/>
  <c r="L21" i="17" s="1"/>
  <c r="R21" i="17" s="1"/>
  <c r="G21" i="22"/>
  <c r="L21" i="22" s="1"/>
  <c r="R21" i="22" s="1"/>
  <c r="G21" i="21"/>
  <c r="L21" i="21" s="1"/>
  <c r="R21" i="21" s="1"/>
  <c r="X39" i="20"/>
  <c r="AH39" i="20" s="1"/>
  <c r="AM39" i="20" s="1"/>
  <c r="AA36" i="30"/>
  <c r="G16" i="27"/>
  <c r="L16" i="27" s="1"/>
  <c r="R16" i="27" s="1"/>
  <c r="G16" i="30"/>
  <c r="L16" i="30" s="1"/>
  <c r="R16" i="30" s="1"/>
  <c r="G16" i="24"/>
  <c r="L16" i="24" s="1"/>
  <c r="R16" i="24" s="1"/>
  <c r="G16" i="17"/>
  <c r="L16" i="17" s="1"/>
  <c r="R16" i="17" s="1"/>
  <c r="G16" i="22"/>
  <c r="L16" i="22" s="1"/>
  <c r="R16" i="22" s="1"/>
  <c r="G16" i="21"/>
  <c r="L16" i="21" s="1"/>
  <c r="R16" i="21" s="1"/>
  <c r="AA20" i="27"/>
  <c r="E35" i="27"/>
  <c r="J35" i="27" s="1"/>
  <c r="P35" i="27" s="1"/>
  <c r="E35" i="24"/>
  <c r="J35" i="24" s="1"/>
  <c r="P35" i="24" s="1"/>
  <c r="E35" i="30"/>
  <c r="J35" i="30" s="1"/>
  <c r="P35" i="30" s="1"/>
  <c r="E35" i="17"/>
  <c r="J35" i="17" s="1"/>
  <c r="P35" i="17" s="1"/>
  <c r="E35" i="22"/>
  <c r="J35" i="22" s="1"/>
  <c r="P35" i="22" s="1"/>
  <c r="E35" i="21"/>
  <c r="J35" i="21" s="1"/>
  <c r="P35" i="21" s="1"/>
  <c r="AB36" i="30"/>
  <c r="G34" i="27"/>
  <c r="L34" i="27" s="1"/>
  <c r="R34" i="27" s="1"/>
  <c r="G34" i="30"/>
  <c r="L34" i="30" s="1"/>
  <c r="R34" i="30" s="1"/>
  <c r="G34" i="24"/>
  <c r="L34" i="24" s="1"/>
  <c r="R34" i="24" s="1"/>
  <c r="G34" i="22"/>
  <c r="L34" i="22" s="1"/>
  <c r="R34" i="22" s="1"/>
  <c r="G34" i="17"/>
  <c r="L34" i="17" s="1"/>
  <c r="R34" i="17" s="1"/>
  <c r="G34" i="21"/>
  <c r="L34" i="21" s="1"/>
  <c r="R34" i="21" s="1"/>
  <c r="E34" i="27"/>
  <c r="J34" i="27" s="1"/>
  <c r="P34" i="27" s="1"/>
  <c r="E34" i="30"/>
  <c r="J34" i="30" s="1"/>
  <c r="P34" i="30" s="1"/>
  <c r="E34" i="24"/>
  <c r="J34" i="24" s="1"/>
  <c r="P34" i="24" s="1"/>
  <c r="E34" i="21"/>
  <c r="J34" i="21" s="1"/>
  <c r="P34" i="21" s="1"/>
  <c r="E34" i="17"/>
  <c r="J34" i="17" s="1"/>
  <c r="P34" i="17" s="1"/>
  <c r="E34" i="22"/>
  <c r="J34" i="22" s="1"/>
  <c r="P34" i="22" s="1"/>
  <c r="AC36" i="22"/>
  <c r="V24" i="24"/>
  <c r="AA24" i="24"/>
  <c r="AB12" i="27"/>
  <c r="AC6" i="30"/>
  <c r="AA34" i="20"/>
  <c r="AK34" i="20" s="1"/>
  <c r="AP34" i="20" s="1"/>
  <c r="Z36" i="30"/>
  <c r="AB11" i="22"/>
  <c r="AB25" i="22"/>
  <c r="W25" i="22"/>
  <c r="AA11" i="24"/>
  <c r="Y36" i="27"/>
  <c r="AA12" i="27"/>
  <c r="Y24" i="27"/>
  <c r="X24" i="24"/>
  <c r="AC24" i="24"/>
  <c r="Y25" i="24"/>
  <c r="T25" i="24"/>
  <c r="AA24" i="30"/>
  <c r="V24" i="30"/>
  <c r="E26" i="27"/>
  <c r="J26" i="27" s="1"/>
  <c r="P26" i="27" s="1"/>
  <c r="E26" i="30"/>
  <c r="J26" i="30" s="1"/>
  <c r="P26" i="30" s="1"/>
  <c r="E26" i="24"/>
  <c r="J26" i="24" s="1"/>
  <c r="P26" i="24" s="1"/>
  <c r="E26" i="17"/>
  <c r="J26" i="17" s="1"/>
  <c r="P26" i="17" s="1"/>
  <c r="E26" i="22"/>
  <c r="J26" i="22" s="1"/>
  <c r="P26" i="22" s="1"/>
  <c r="E26" i="21"/>
  <c r="J26" i="21" s="1"/>
  <c r="P26" i="21" s="1"/>
  <c r="Z36" i="24"/>
  <c r="Y36" i="24"/>
  <c r="F26" i="27"/>
  <c r="K26" i="27" s="1"/>
  <c r="Q26" i="27" s="1"/>
  <c r="F26" i="30"/>
  <c r="K26" i="30" s="1"/>
  <c r="Q26" i="30" s="1"/>
  <c r="F26" i="17"/>
  <c r="K26" i="17" s="1"/>
  <c r="Q26" i="17" s="1"/>
  <c r="F26" i="22"/>
  <c r="K26" i="22" s="1"/>
  <c r="Q26" i="22" s="1"/>
  <c r="F26" i="24"/>
  <c r="K26" i="24" s="1"/>
  <c r="Q26" i="24" s="1"/>
  <c r="F26" i="21"/>
  <c r="K26" i="21" s="1"/>
  <c r="Q26" i="21" s="1"/>
  <c r="V25" i="22"/>
  <c r="AA25" i="22"/>
  <c r="Y25" i="21"/>
  <c r="T25" i="21"/>
  <c r="E37" i="27"/>
  <c r="J37" i="27" s="1"/>
  <c r="P37" i="27" s="1"/>
  <c r="E37" i="30"/>
  <c r="J37" i="30" s="1"/>
  <c r="P37" i="30" s="1"/>
  <c r="E37" i="24"/>
  <c r="J37" i="24" s="1"/>
  <c r="P37" i="24" s="1"/>
  <c r="E37" i="17"/>
  <c r="J37" i="17" s="1"/>
  <c r="P37" i="17" s="1"/>
  <c r="E37" i="22"/>
  <c r="J37" i="22" s="1"/>
  <c r="P37" i="22" s="1"/>
  <c r="E37" i="21"/>
  <c r="J37" i="21" s="1"/>
  <c r="P37" i="21" s="1"/>
  <c r="Y45" i="20"/>
  <c r="AI45" i="20" s="1"/>
  <c r="AN45" i="20" s="1"/>
  <c r="Z35" i="20"/>
  <c r="AJ35" i="20" s="1"/>
  <c r="AO35" i="20" s="1"/>
  <c r="AC36" i="30"/>
  <c r="V24" i="27"/>
  <c r="AA24" i="27"/>
  <c r="Z36" i="27"/>
  <c r="AB25" i="24"/>
  <c r="AB20" i="24"/>
  <c r="Y36" i="30"/>
  <c r="X25" i="21"/>
  <c r="AC25" i="21"/>
  <c r="W46" i="20"/>
  <c r="AG46" i="20" s="1"/>
  <c r="AL46" i="20" s="1"/>
  <c r="X24" i="27"/>
  <c r="AC24" i="27"/>
  <c r="U24" i="22"/>
  <c r="Z24" i="22"/>
  <c r="AA25" i="24"/>
  <c r="V25" i="24"/>
  <c r="AB24" i="22"/>
  <c r="W24" i="22"/>
  <c r="T25" i="17"/>
  <c r="Y25" i="17"/>
  <c r="E21" i="27"/>
  <c r="J21" i="27" s="1"/>
  <c r="P21" i="27" s="1"/>
  <c r="E21" i="30"/>
  <c r="J21" i="30" s="1"/>
  <c r="P21" i="30" s="1"/>
  <c r="E21" i="17"/>
  <c r="J21" i="17" s="1"/>
  <c r="P21" i="17" s="1"/>
  <c r="E21" i="24"/>
  <c r="J21" i="24" s="1"/>
  <c r="P21" i="24" s="1"/>
  <c r="E21" i="21"/>
  <c r="J21" i="21" s="1"/>
  <c r="P21" i="21" s="1"/>
  <c r="E21" i="22"/>
  <c r="J21" i="22" s="1"/>
  <c r="P21" i="22" s="1"/>
  <c r="Y38" i="20"/>
  <c r="AI38" i="20" s="1"/>
  <c r="AN38" i="20" s="1"/>
  <c r="AA36" i="27"/>
  <c r="AC20" i="24"/>
  <c r="AA9" i="17"/>
  <c r="Z12" i="22"/>
  <c r="AB36" i="22"/>
  <c r="Z9" i="17"/>
  <c r="AC36" i="17"/>
  <c r="Z20" i="24"/>
  <c r="AA37" i="20"/>
  <c r="AK37" i="20" s="1"/>
  <c r="AP37" i="20" s="1"/>
  <c r="AC9" i="17"/>
  <c r="AB11" i="30"/>
  <c r="AB25" i="30"/>
  <c r="W25" i="30"/>
  <c r="AA11" i="22"/>
  <c r="AB20" i="30"/>
  <c r="AA12" i="21"/>
  <c r="AC25" i="17"/>
  <c r="X25" i="17"/>
  <c r="U25" i="27"/>
  <c r="Z25" i="27"/>
  <c r="V25" i="21"/>
  <c r="AA25" i="21"/>
  <c r="AC25" i="22"/>
  <c r="X25" i="22"/>
  <c r="AC24" i="30"/>
  <c r="X24" i="30"/>
  <c r="AA36" i="24"/>
  <c r="W35" i="20"/>
  <c r="AG35" i="20" s="1"/>
  <c r="AL35" i="20" s="1"/>
  <c r="H34" i="27"/>
  <c r="M34" i="27" s="1"/>
  <c r="S34" i="27" s="1"/>
  <c r="H34" i="30"/>
  <c r="M34" i="30" s="1"/>
  <c r="S34" i="30" s="1"/>
  <c r="H34" i="24"/>
  <c r="M34" i="24" s="1"/>
  <c r="S34" i="24" s="1"/>
  <c r="H34" i="17"/>
  <c r="M34" i="17" s="1"/>
  <c r="S34" i="17" s="1"/>
  <c r="H34" i="21"/>
  <c r="M34" i="21" s="1"/>
  <c r="S34" i="21" s="1"/>
  <c r="H34" i="22"/>
  <c r="M34" i="22" s="1"/>
  <c r="S34" i="22" s="1"/>
  <c r="F29" i="27"/>
  <c r="K29" i="27" s="1"/>
  <c r="Q29" i="27" s="1"/>
  <c r="F29" i="30"/>
  <c r="K29" i="30" s="1"/>
  <c r="Q29" i="30" s="1"/>
  <c r="F29" i="24"/>
  <c r="K29" i="24" s="1"/>
  <c r="Q29" i="24" s="1"/>
  <c r="F29" i="17"/>
  <c r="K29" i="17" s="1"/>
  <c r="Q29" i="17" s="1"/>
  <c r="F29" i="22"/>
  <c r="K29" i="22" s="1"/>
  <c r="Q29" i="22" s="1"/>
  <c r="F29" i="21"/>
  <c r="K29" i="21" s="1"/>
  <c r="Q29" i="21" s="1"/>
  <c r="U25" i="17"/>
  <c r="Z25" i="17"/>
  <c r="V25" i="30"/>
  <c r="AA25" i="30"/>
  <c r="W24" i="17"/>
  <c r="AB24" i="17"/>
  <c r="G37" i="27"/>
  <c r="L37" i="27" s="1"/>
  <c r="R37" i="27" s="1"/>
  <c r="G37" i="30"/>
  <c r="L37" i="30" s="1"/>
  <c r="R37" i="30" s="1"/>
  <c r="G37" i="17"/>
  <c r="L37" i="17" s="1"/>
  <c r="R37" i="17" s="1"/>
  <c r="G37" i="24"/>
  <c r="L37" i="24" s="1"/>
  <c r="R37" i="24" s="1"/>
  <c r="G37" i="22"/>
  <c r="L37" i="22" s="1"/>
  <c r="R37" i="22" s="1"/>
  <c r="G37" i="21"/>
  <c r="L37" i="21" s="1"/>
  <c r="R37" i="21" s="1"/>
  <c r="H35" i="27"/>
  <c r="M35" i="27" s="1"/>
  <c r="S35" i="27" s="1"/>
  <c r="H35" i="30"/>
  <c r="M35" i="30" s="1"/>
  <c r="S35" i="30" s="1"/>
  <c r="H35" i="22"/>
  <c r="M35" i="22" s="1"/>
  <c r="S35" i="22" s="1"/>
  <c r="H35" i="24"/>
  <c r="M35" i="24" s="1"/>
  <c r="S35" i="24" s="1"/>
  <c r="H35" i="17"/>
  <c r="M35" i="17" s="1"/>
  <c r="S35" i="17" s="1"/>
  <c r="H35" i="21"/>
  <c r="M35" i="21" s="1"/>
  <c r="S35" i="21" s="1"/>
  <c r="AC20" i="30"/>
  <c r="AB36" i="21"/>
  <c r="AB25" i="27"/>
  <c r="W25" i="27"/>
  <c r="AB20" i="27"/>
  <c r="Y39" i="20"/>
  <c r="AI39" i="20" s="1"/>
  <c r="AN39" i="20" s="1"/>
  <c r="Y24" i="22"/>
  <c r="AA6" i="30"/>
  <c r="Z24" i="27"/>
  <c r="U24" i="27"/>
  <c r="AA25" i="27"/>
  <c r="V25" i="27"/>
  <c r="W24" i="24"/>
  <c r="AB24" i="24"/>
  <c r="Y25" i="27"/>
  <c r="T25" i="27"/>
  <c r="G29" i="27"/>
  <c r="L29" i="27" s="1"/>
  <c r="R29" i="27" s="1"/>
  <c r="G29" i="30"/>
  <c r="L29" i="30" s="1"/>
  <c r="R29" i="30" s="1"/>
  <c r="G29" i="17"/>
  <c r="L29" i="17" s="1"/>
  <c r="R29" i="17" s="1"/>
  <c r="G29" i="24"/>
  <c r="L29" i="24" s="1"/>
  <c r="R29" i="24" s="1"/>
  <c r="G29" i="22"/>
  <c r="L29" i="22" s="1"/>
  <c r="R29" i="22" s="1"/>
  <c r="G29" i="21"/>
  <c r="L29" i="21" s="1"/>
  <c r="R29" i="21" s="1"/>
  <c r="AC20" i="27"/>
  <c r="AB36" i="17"/>
  <c r="F37" i="27"/>
  <c r="K37" i="27" s="1"/>
  <c r="Q37" i="27" s="1"/>
  <c r="F37" i="30"/>
  <c r="K37" i="30" s="1"/>
  <c r="Q37" i="30" s="1"/>
  <c r="F37" i="24"/>
  <c r="K37" i="24" s="1"/>
  <c r="Q37" i="24" s="1"/>
  <c r="F37" i="17"/>
  <c r="K37" i="17" s="1"/>
  <c r="Q37" i="17" s="1"/>
  <c r="F37" i="21"/>
  <c r="K37" i="21" s="1"/>
  <c r="Q37" i="21" s="1"/>
  <c r="F37" i="22"/>
  <c r="K37" i="22" s="1"/>
  <c r="Q37" i="22" s="1"/>
  <c r="Y35" i="20"/>
  <c r="AI35" i="20" s="1"/>
  <c r="AN35" i="20" s="1"/>
  <c r="Z20" i="27"/>
  <c r="AA24" i="22"/>
  <c r="V24" i="22"/>
  <c r="Z6" i="30"/>
  <c r="Z36" i="21"/>
  <c r="AB6" i="30"/>
  <c r="AA11" i="27"/>
  <c r="Y36" i="22"/>
  <c r="X25" i="30"/>
  <c r="AC25" i="30"/>
  <c r="Z24" i="24"/>
  <c r="U24" i="24"/>
  <c r="AA36" i="17"/>
  <c r="AC36" i="24"/>
  <c r="D35" i="27"/>
  <c r="I35" i="27" s="1"/>
  <c r="O35" i="27" s="1"/>
  <c r="D35" i="24"/>
  <c r="I35" i="24" s="1"/>
  <c r="O35" i="24" s="1"/>
  <c r="D35" i="17"/>
  <c r="I35" i="17" s="1"/>
  <c r="O35" i="17" s="1"/>
  <c r="D35" i="30"/>
  <c r="I35" i="30" s="1"/>
  <c r="O35" i="30" s="1"/>
  <c r="D35" i="22"/>
  <c r="I35" i="22" s="1"/>
  <c r="O35" i="22" s="1"/>
  <c r="D35" i="21"/>
  <c r="I35" i="21" s="1"/>
  <c r="O35" i="21" s="1"/>
  <c r="AB25" i="17"/>
  <c r="W25" i="17"/>
  <c r="U24" i="21"/>
  <c r="Z24" i="21"/>
  <c r="W24" i="21"/>
  <c r="AB24" i="21"/>
  <c r="W38" i="20"/>
  <c r="AG38" i="20" s="1"/>
  <c r="AL38" i="20" s="1"/>
  <c r="Y24" i="21"/>
  <c r="Z24" i="17"/>
  <c r="U24" i="17"/>
  <c r="T25" i="30"/>
  <c r="Y25" i="30"/>
  <c r="G26" i="27"/>
  <c r="L26" i="27" s="1"/>
  <c r="R26" i="27" s="1"/>
  <c r="G26" i="30"/>
  <c r="L26" i="30" s="1"/>
  <c r="R26" i="30" s="1"/>
  <c r="G26" i="24"/>
  <c r="L26" i="24" s="1"/>
  <c r="R26" i="24" s="1"/>
  <c r="G26" i="22"/>
  <c r="L26" i="22" s="1"/>
  <c r="R26" i="22" s="1"/>
  <c r="G26" i="21"/>
  <c r="L26" i="21" s="1"/>
  <c r="R26" i="21" s="1"/>
  <c r="G26" i="17"/>
  <c r="L26" i="17" s="1"/>
  <c r="R26" i="17" s="1"/>
  <c r="Z12" i="21"/>
  <c r="AC36" i="27"/>
  <c r="Z20" i="30"/>
  <c r="AA11" i="21"/>
  <c r="X25" i="24"/>
  <c r="AC25" i="24"/>
  <c r="G17" i="27"/>
  <c r="L17" i="27" s="1"/>
  <c r="R17" i="27" s="1"/>
  <c r="G17" i="30"/>
  <c r="L17" i="30" s="1"/>
  <c r="R17" i="30" s="1"/>
  <c r="G17" i="24"/>
  <c r="L17" i="24" s="1"/>
  <c r="R17" i="24" s="1"/>
  <c r="G17" i="17"/>
  <c r="L17" i="17" s="1"/>
  <c r="R17" i="17" s="1"/>
  <c r="G17" i="22"/>
  <c r="L17" i="22" s="1"/>
  <c r="R17" i="22" s="1"/>
  <c r="G17" i="21"/>
  <c r="L17" i="21" s="1"/>
  <c r="R17" i="21" s="1"/>
  <c r="U25" i="21"/>
  <c r="Z25" i="21"/>
  <c r="D21" i="27"/>
  <c r="I21" i="27" s="1"/>
  <c r="O21" i="27" s="1"/>
  <c r="Y21" i="27" s="1"/>
  <c r="D21" i="30"/>
  <c r="I21" i="30" s="1"/>
  <c r="O21" i="30" s="1"/>
  <c r="Y21" i="30" s="1"/>
  <c r="D21" i="24"/>
  <c r="I21" i="24" s="1"/>
  <c r="O21" i="24" s="1"/>
  <c r="Y21" i="24" s="1"/>
  <c r="D21" i="17"/>
  <c r="I21" i="17" s="1"/>
  <c r="O21" i="17" s="1"/>
  <c r="Y21" i="17" s="1"/>
  <c r="D21" i="21"/>
  <c r="I21" i="21" s="1"/>
  <c r="O21" i="21" s="1"/>
  <c r="Y21" i="21" s="1"/>
  <c r="D21" i="22"/>
  <c r="I21" i="22" s="1"/>
  <c r="O21" i="22" s="1"/>
  <c r="Y21" i="22" s="1"/>
  <c r="Y24" i="17"/>
  <c r="Z25" i="22"/>
  <c r="U25" i="22"/>
  <c r="AC24" i="21"/>
  <c r="X24" i="21"/>
  <c r="U24" i="30"/>
  <c r="Z24" i="30"/>
  <c r="W24" i="30"/>
  <c r="AB24" i="30"/>
  <c r="X46" i="20"/>
  <c r="AH46" i="20" s="1"/>
  <c r="AM46" i="20" s="1"/>
  <c r="AA36" i="21"/>
  <c r="W39" i="20"/>
  <c r="AG39" i="20" s="1"/>
  <c r="AL39" i="20" s="1"/>
  <c r="AA20" i="24"/>
  <c r="Z12" i="17"/>
  <c r="Y34" i="20"/>
  <c r="AI34" i="20" s="1"/>
  <c r="AN34" i="20" s="1"/>
  <c r="AB36" i="24"/>
  <c r="D34" i="27"/>
  <c r="I34" i="27" s="1"/>
  <c r="O34" i="27" s="1"/>
  <c r="D34" i="30"/>
  <c r="I34" i="30" s="1"/>
  <c r="O34" i="30" s="1"/>
  <c r="D34" i="17"/>
  <c r="I34" i="17" s="1"/>
  <c r="O34" i="17" s="1"/>
  <c r="D34" i="24"/>
  <c r="I34" i="24" s="1"/>
  <c r="O34" i="24" s="1"/>
  <c r="D34" i="22"/>
  <c r="I34" i="22" s="1"/>
  <c r="O34" i="22" s="1"/>
  <c r="D34" i="21"/>
  <c r="I34" i="21" s="1"/>
  <c r="O34" i="21" s="1"/>
  <c r="AA46" i="20"/>
  <c r="AK46" i="20" s="1"/>
  <c r="AP46" i="20" s="1"/>
  <c r="AA39" i="20"/>
  <c r="AK39" i="20" s="1"/>
  <c r="AP39" i="20" s="1"/>
  <c r="H16" i="27"/>
  <c r="M16" i="27" s="1"/>
  <c r="S16" i="27" s="1"/>
  <c r="H16" i="30"/>
  <c r="M16" i="30" s="1"/>
  <c r="S16" i="30" s="1"/>
  <c r="H16" i="24"/>
  <c r="M16" i="24" s="1"/>
  <c r="S16" i="24" s="1"/>
  <c r="H16" i="17"/>
  <c r="M16" i="17" s="1"/>
  <c r="S16" i="17" s="1"/>
  <c r="H16" i="22"/>
  <c r="M16" i="22" s="1"/>
  <c r="S16" i="22" s="1"/>
  <c r="H16" i="21"/>
  <c r="M16" i="21" s="1"/>
  <c r="S16" i="21" s="1"/>
  <c r="V24" i="21"/>
  <c r="AA24" i="21"/>
  <c r="AA45" i="20"/>
  <c r="AK45" i="20" s="1"/>
  <c r="AP45" i="20" s="1"/>
  <c r="Z34" i="20"/>
  <c r="AJ34" i="20" s="1"/>
  <c r="AO34" i="20" s="1"/>
  <c r="Z36" i="22"/>
  <c r="AA11" i="30"/>
  <c r="Y36" i="21"/>
  <c r="AC25" i="27"/>
  <c r="X25" i="27"/>
  <c r="F14" i="24" l="1"/>
  <c r="K14" i="24" s="1"/>
  <c r="Q14" i="24" s="1"/>
  <c r="AA6" i="17"/>
  <c r="AC14" i="22"/>
  <c r="W25" i="24"/>
  <c r="X43" i="11"/>
  <c r="AH43" i="11" s="1"/>
  <c r="AM43" i="11" s="1"/>
  <c r="E18" i="21" s="1"/>
  <c r="J18" i="21" s="1"/>
  <c r="P18" i="21" s="1"/>
  <c r="D14" i="27"/>
  <c r="I14" i="27" s="1"/>
  <c r="O14" i="27" s="1"/>
  <c r="Y14" i="27" s="1"/>
  <c r="F13" i="17"/>
  <c r="K13" i="17" s="1"/>
  <c r="Q13" i="17" s="1"/>
  <c r="Z8" i="24"/>
  <c r="Z8" i="17"/>
  <c r="AC9" i="27"/>
  <c r="AC12" i="21"/>
  <c r="AK12" i="21" s="1"/>
  <c r="AO12" i="21" s="1"/>
  <c r="D14" i="17"/>
  <c r="I14" i="17" s="1"/>
  <c r="O14" i="17" s="1"/>
  <c r="Y14" i="17" s="1"/>
  <c r="F13" i="30"/>
  <c r="K13" i="30" s="1"/>
  <c r="Q13" i="30" s="1"/>
  <c r="D8" i="30"/>
  <c r="I8" i="30" s="1"/>
  <c r="O8" i="30" s="1"/>
  <c r="D8" i="24"/>
  <c r="I8" i="24" s="1"/>
  <c r="O8" i="24" s="1"/>
  <c r="D8" i="17"/>
  <c r="I8" i="17" s="1"/>
  <c r="O8" i="17" s="1"/>
  <c r="D8" i="27"/>
  <c r="I8" i="27" s="1"/>
  <c r="O8" i="27" s="1"/>
  <c r="D8" i="21"/>
  <c r="I8" i="21" s="1"/>
  <c r="O8" i="21" s="1"/>
  <c r="D8" i="22"/>
  <c r="I8" i="22" s="1"/>
  <c r="O8" i="22" s="1"/>
  <c r="Z8" i="22" s="1"/>
  <c r="AB14" i="22"/>
  <c r="AB12" i="21"/>
  <c r="E8" i="21"/>
  <c r="J8" i="21" s="1"/>
  <c r="P8" i="21" s="1"/>
  <c r="E8" i="27"/>
  <c r="J8" i="27" s="1"/>
  <c r="P8" i="27" s="1"/>
  <c r="W33" i="22"/>
  <c r="F14" i="17"/>
  <c r="K14" i="17" s="1"/>
  <c r="Q14" i="17" s="1"/>
  <c r="AA14" i="17" s="1"/>
  <c r="AB12" i="17"/>
  <c r="AA43" i="11"/>
  <c r="AK43" i="11" s="1"/>
  <c r="AP43" i="11" s="1"/>
  <c r="H18" i="24" s="1"/>
  <c r="M18" i="24" s="1"/>
  <c r="S18" i="24" s="1"/>
  <c r="Z19" i="22"/>
  <c r="F14" i="27"/>
  <c r="K14" i="27" s="1"/>
  <c r="Q14" i="27" s="1"/>
  <c r="AA14" i="27" s="1"/>
  <c r="AC12" i="17"/>
  <c r="Z6" i="22"/>
  <c r="F14" i="22"/>
  <c r="K14" i="22" s="1"/>
  <c r="Q14" i="22" s="1"/>
  <c r="AA14" i="22" s="1"/>
  <c r="AA12" i="17"/>
  <c r="AF12" i="17" s="1"/>
  <c r="AI12" i="17" s="1"/>
  <c r="Z9" i="27"/>
  <c r="F14" i="21"/>
  <c r="K14" i="21" s="1"/>
  <c r="Q14" i="21" s="1"/>
  <c r="AA14" i="21" s="1"/>
  <c r="G19" i="22"/>
  <c r="L19" i="22" s="1"/>
  <c r="R19" i="22" s="1"/>
  <c r="AB19" i="22" s="1"/>
  <c r="W35" i="11"/>
  <c r="AG35" i="11" s="1"/>
  <c r="AL35" i="11" s="1"/>
  <c r="D10" i="21" s="1"/>
  <c r="I10" i="21" s="1"/>
  <c r="O10" i="21" s="1"/>
  <c r="Y10" i="21" s="1"/>
  <c r="AA35" i="11"/>
  <c r="AK35" i="11" s="1"/>
  <c r="AP35" i="11" s="1"/>
  <c r="H10" i="21" s="1"/>
  <c r="M10" i="21" s="1"/>
  <c r="S10" i="21" s="1"/>
  <c r="Z43" i="11"/>
  <c r="AJ43" i="11" s="1"/>
  <c r="AO43" i="11" s="1"/>
  <c r="G18" i="30" s="1"/>
  <c r="L18" i="30" s="1"/>
  <c r="R18" i="30" s="1"/>
  <c r="AB14" i="21"/>
  <c r="G19" i="21"/>
  <c r="L19" i="21" s="1"/>
  <c r="R19" i="21" s="1"/>
  <c r="AB19" i="21" s="1"/>
  <c r="G19" i="17"/>
  <c r="L19" i="17" s="1"/>
  <c r="R19" i="17" s="1"/>
  <c r="G19" i="30"/>
  <c r="L19" i="30" s="1"/>
  <c r="R19" i="30" s="1"/>
  <c r="AB19" i="30" s="1"/>
  <c r="Z14" i="22"/>
  <c r="G19" i="24"/>
  <c r="L19" i="24" s="1"/>
  <c r="R19" i="24" s="1"/>
  <c r="AB19" i="24" s="1"/>
  <c r="AA9" i="27"/>
  <c r="AC14" i="30"/>
  <c r="AB12" i="30"/>
  <c r="X35" i="11"/>
  <c r="AH35" i="11" s="1"/>
  <c r="AM35" i="11" s="1"/>
  <c r="E10" i="24" s="1"/>
  <c r="J10" i="24" s="1"/>
  <c r="P10" i="24" s="1"/>
  <c r="Z14" i="30"/>
  <c r="AA9" i="24"/>
  <c r="AB19" i="27"/>
  <c r="AC14" i="21"/>
  <c r="AB14" i="17"/>
  <c r="Z19" i="27"/>
  <c r="G13" i="24"/>
  <c r="L13" i="24" s="1"/>
  <c r="R13" i="24" s="1"/>
  <c r="AB13" i="24" s="1"/>
  <c r="G13" i="27"/>
  <c r="L13" i="27" s="1"/>
  <c r="R13" i="27" s="1"/>
  <c r="G13" i="22"/>
  <c r="L13" i="22" s="1"/>
  <c r="R13" i="22" s="1"/>
  <c r="G13" i="21"/>
  <c r="L13" i="21" s="1"/>
  <c r="R13" i="21" s="1"/>
  <c r="G13" i="30"/>
  <c r="L13" i="30" s="1"/>
  <c r="R13" i="30" s="1"/>
  <c r="G13" i="17"/>
  <c r="L13" i="17" s="1"/>
  <c r="R13" i="17" s="1"/>
  <c r="AB9" i="21"/>
  <c r="W25" i="21"/>
  <c r="AD25" i="21" s="1"/>
  <c r="AE25" i="21" s="1"/>
  <c r="AP25" i="21" s="1"/>
  <c r="AB9" i="24"/>
  <c r="AC14" i="27"/>
  <c r="AB14" i="30"/>
  <c r="D13" i="24"/>
  <c r="I13" i="24" s="1"/>
  <c r="O13" i="24" s="1"/>
  <c r="Y13" i="24" s="1"/>
  <c r="D13" i="21"/>
  <c r="I13" i="21" s="1"/>
  <c r="O13" i="21" s="1"/>
  <c r="Y13" i="21" s="1"/>
  <c r="D13" i="17"/>
  <c r="I13" i="17" s="1"/>
  <c r="O13" i="17" s="1"/>
  <c r="Y13" i="17" s="1"/>
  <c r="D13" i="22"/>
  <c r="I13" i="22" s="1"/>
  <c r="O13" i="22" s="1"/>
  <c r="Y13" i="22" s="1"/>
  <c r="D13" i="27"/>
  <c r="I13" i="27" s="1"/>
  <c r="O13" i="27" s="1"/>
  <c r="Y13" i="27" s="1"/>
  <c r="D13" i="30"/>
  <c r="I13" i="30" s="1"/>
  <c r="O13" i="30" s="1"/>
  <c r="Y13" i="30" s="1"/>
  <c r="Z19" i="21"/>
  <c r="Z14" i="21"/>
  <c r="G18" i="17"/>
  <c r="L18" i="17" s="1"/>
  <c r="R18" i="17" s="1"/>
  <c r="G18" i="22"/>
  <c r="L18" i="22" s="1"/>
  <c r="R18" i="22" s="1"/>
  <c r="G18" i="21"/>
  <c r="L18" i="21" s="1"/>
  <c r="R18" i="21" s="1"/>
  <c r="AA9" i="21"/>
  <c r="Z19" i="17"/>
  <c r="AC9" i="24"/>
  <c r="AC12" i="30"/>
  <c r="AB12" i="24"/>
  <c r="AC9" i="22"/>
  <c r="H19" i="30"/>
  <c r="M19" i="30" s="1"/>
  <c r="S19" i="30" s="1"/>
  <c r="AC19" i="30" s="1"/>
  <c r="H19" i="22"/>
  <c r="M19" i="22" s="1"/>
  <c r="S19" i="22" s="1"/>
  <c r="AC19" i="22" s="1"/>
  <c r="H19" i="21"/>
  <c r="M19" i="21" s="1"/>
  <c r="S19" i="21" s="1"/>
  <c r="AC19" i="21" s="1"/>
  <c r="H19" i="17"/>
  <c r="M19" i="17" s="1"/>
  <c r="S19" i="17" s="1"/>
  <c r="AC19" i="17" s="1"/>
  <c r="H19" i="27"/>
  <c r="M19" i="27" s="1"/>
  <c r="S19" i="27" s="1"/>
  <c r="AC19" i="27" s="1"/>
  <c r="H19" i="24"/>
  <c r="M19" i="24" s="1"/>
  <c r="S19" i="24" s="1"/>
  <c r="AC19" i="24" s="1"/>
  <c r="AC14" i="17"/>
  <c r="AC13" i="27"/>
  <c r="D18" i="30"/>
  <c r="I18" i="30" s="1"/>
  <c r="O18" i="30" s="1"/>
  <c r="D18" i="17"/>
  <c r="I18" i="17" s="1"/>
  <c r="O18" i="17" s="1"/>
  <c r="D18" i="21"/>
  <c r="I18" i="21" s="1"/>
  <c r="O18" i="21" s="1"/>
  <c r="D18" i="22"/>
  <c r="I18" i="22" s="1"/>
  <c r="O18" i="22" s="1"/>
  <c r="D18" i="27"/>
  <c r="I18" i="27" s="1"/>
  <c r="O18" i="27" s="1"/>
  <c r="D18" i="24"/>
  <c r="I18" i="24" s="1"/>
  <c r="O18" i="24" s="1"/>
  <c r="E13" i="22"/>
  <c r="J13" i="22" s="1"/>
  <c r="P13" i="22" s="1"/>
  <c r="E13" i="27"/>
  <c r="J13" i="27" s="1"/>
  <c r="P13" i="27" s="1"/>
  <c r="Z13" i="27" s="1"/>
  <c r="E13" i="21"/>
  <c r="J13" i="21" s="1"/>
  <c r="P13" i="21" s="1"/>
  <c r="E13" i="30"/>
  <c r="J13" i="30" s="1"/>
  <c r="P13" i="30" s="1"/>
  <c r="E13" i="24"/>
  <c r="J13" i="24" s="1"/>
  <c r="P13" i="24" s="1"/>
  <c r="E13" i="17"/>
  <c r="J13" i="17" s="1"/>
  <c r="P13" i="17" s="1"/>
  <c r="Z9" i="24"/>
  <c r="D10" i="24"/>
  <c r="I10" i="24" s="1"/>
  <c r="O10" i="24" s="1"/>
  <c r="Y10" i="24" s="1"/>
  <c r="X33" i="22"/>
  <c r="Z9" i="21"/>
  <c r="E18" i="27"/>
  <c r="J18" i="27" s="1"/>
  <c r="P18" i="27" s="1"/>
  <c r="E18" i="22"/>
  <c r="J18" i="22" s="1"/>
  <c r="P18" i="22" s="1"/>
  <c r="E18" i="17"/>
  <c r="J18" i="17" s="1"/>
  <c r="P18" i="17" s="1"/>
  <c r="E18" i="30"/>
  <c r="J18" i="30" s="1"/>
  <c r="P18" i="30" s="1"/>
  <c r="Z14" i="17"/>
  <c r="Z14" i="24"/>
  <c r="AC9" i="21"/>
  <c r="AA12" i="30"/>
  <c r="AA9" i="22"/>
  <c r="Z12" i="30"/>
  <c r="AA12" i="24"/>
  <c r="AC12" i="24"/>
  <c r="Z12" i="24"/>
  <c r="F19" i="27"/>
  <c r="K19" i="27" s="1"/>
  <c r="Q19" i="27" s="1"/>
  <c r="AA19" i="27" s="1"/>
  <c r="F19" i="17"/>
  <c r="K19" i="17" s="1"/>
  <c r="Q19" i="17" s="1"/>
  <c r="AA19" i="17" s="1"/>
  <c r="F19" i="30"/>
  <c r="K19" i="30" s="1"/>
  <c r="Q19" i="30" s="1"/>
  <c r="AA19" i="30" s="1"/>
  <c r="F19" i="24"/>
  <c r="K19" i="24" s="1"/>
  <c r="Q19" i="24" s="1"/>
  <c r="AA19" i="24" s="1"/>
  <c r="F19" i="22"/>
  <c r="K19" i="22" s="1"/>
  <c r="Q19" i="22" s="1"/>
  <c r="AA19" i="22" s="1"/>
  <c r="F19" i="21"/>
  <c r="K19" i="21" s="1"/>
  <c r="Q19" i="21" s="1"/>
  <c r="AA19" i="21" s="1"/>
  <c r="AB19" i="17"/>
  <c r="Z19" i="24"/>
  <c r="F10" i="30"/>
  <c r="K10" i="30" s="1"/>
  <c r="Q10" i="30" s="1"/>
  <c r="F10" i="22"/>
  <c r="K10" i="22" s="1"/>
  <c r="Q10" i="22" s="1"/>
  <c r="F10" i="27"/>
  <c r="K10" i="27" s="1"/>
  <c r="Q10" i="27" s="1"/>
  <c r="F10" i="21"/>
  <c r="K10" i="21" s="1"/>
  <c r="Q10" i="21" s="1"/>
  <c r="F10" i="24"/>
  <c r="K10" i="24" s="1"/>
  <c r="Q10" i="24" s="1"/>
  <c r="F10" i="17"/>
  <c r="K10" i="17" s="1"/>
  <c r="Q10" i="17" s="1"/>
  <c r="H10" i="22"/>
  <c r="M10" i="22" s="1"/>
  <c r="S10" i="22" s="1"/>
  <c r="H10" i="30"/>
  <c r="M10" i="30" s="1"/>
  <c r="S10" i="30" s="1"/>
  <c r="AB14" i="24"/>
  <c r="AA14" i="24"/>
  <c r="AA12" i="22"/>
  <c r="AK12" i="22" s="1"/>
  <c r="AO12" i="22" s="1"/>
  <c r="Z9" i="22"/>
  <c r="AF9" i="22" s="1"/>
  <c r="AG9" i="22" s="1"/>
  <c r="Z14" i="27"/>
  <c r="AC14" i="24"/>
  <c r="AB14" i="27"/>
  <c r="Z35" i="11"/>
  <c r="AJ35" i="11" s="1"/>
  <c r="AO35" i="11" s="1"/>
  <c r="Z19" i="30"/>
  <c r="Y43" i="11"/>
  <c r="AI43" i="11" s="1"/>
  <c r="AN43" i="11" s="1"/>
  <c r="W33" i="30"/>
  <c r="AB6" i="27"/>
  <c r="AA6" i="27"/>
  <c r="W33" i="24"/>
  <c r="AC17" i="27"/>
  <c r="W33" i="27"/>
  <c r="X33" i="17"/>
  <c r="T24" i="17"/>
  <c r="AD24" i="17" s="1"/>
  <c r="AE24" i="17" s="1"/>
  <c r="T24" i="21"/>
  <c r="AD24" i="21" s="1"/>
  <c r="AE24" i="21" s="1"/>
  <c r="AA6" i="22"/>
  <c r="AF7" i="17"/>
  <c r="AJ7" i="17" s="1"/>
  <c r="AC6" i="21"/>
  <c r="AK7" i="27"/>
  <c r="AL7" i="27" s="1"/>
  <c r="T24" i="22"/>
  <c r="AD24" i="22" s="1"/>
  <c r="AE24" i="22" s="1"/>
  <c r="AC6" i="17"/>
  <c r="AC6" i="22"/>
  <c r="AP7" i="30"/>
  <c r="AS7" i="30" s="1"/>
  <c r="Z6" i="17"/>
  <c r="AB6" i="17"/>
  <c r="AB6" i="22"/>
  <c r="U33" i="30"/>
  <c r="AF7" i="27"/>
  <c r="AH7" i="27" s="1"/>
  <c r="AK20" i="22"/>
  <c r="AN20" i="22" s="1"/>
  <c r="AA6" i="21"/>
  <c r="Z6" i="21"/>
  <c r="AK7" i="17"/>
  <c r="AN7" i="17" s="1"/>
  <c r="AB17" i="27"/>
  <c r="AC6" i="24"/>
  <c r="AP7" i="27"/>
  <c r="AR7" i="27" s="1"/>
  <c r="Z6" i="27"/>
  <c r="T24" i="27"/>
  <c r="AD24" i="27" s="1"/>
  <c r="AE24" i="27" s="1"/>
  <c r="AC6" i="27"/>
  <c r="AB6" i="21"/>
  <c r="AF7" i="30"/>
  <c r="AI7" i="30" s="1"/>
  <c r="AP7" i="17"/>
  <c r="AS7" i="17" s="1"/>
  <c r="AK7" i="30"/>
  <c r="AA17" i="24"/>
  <c r="AF7" i="22"/>
  <c r="AG7" i="22" s="1"/>
  <c r="AF20" i="17"/>
  <c r="AI20" i="17" s="1"/>
  <c r="AP9" i="30"/>
  <c r="AT9" i="30" s="1"/>
  <c r="AK11" i="17"/>
  <c r="AL11" i="17" s="1"/>
  <c r="AA15" i="21"/>
  <c r="AF7" i="24"/>
  <c r="AI7" i="24" s="1"/>
  <c r="AK11" i="22"/>
  <c r="AO11" i="22" s="1"/>
  <c r="AK20" i="17"/>
  <c r="AM20" i="17" s="1"/>
  <c r="AB6" i="24"/>
  <c r="AF20" i="30"/>
  <c r="AI20" i="30" s="1"/>
  <c r="Z6" i="24"/>
  <c r="T24" i="24"/>
  <c r="AD24" i="24" s="1"/>
  <c r="AE24" i="24" s="1"/>
  <c r="U33" i="24"/>
  <c r="AA16" i="22"/>
  <c r="AA6" i="24"/>
  <c r="AK12" i="27"/>
  <c r="AM12" i="27" s="1"/>
  <c r="AC17" i="30"/>
  <c r="AA21" i="21"/>
  <c r="Z17" i="27"/>
  <c r="Z15" i="21"/>
  <c r="AF20" i="22"/>
  <c r="AJ20" i="22" s="1"/>
  <c r="AP7" i="22"/>
  <c r="AT7" i="22" s="1"/>
  <c r="AF9" i="30"/>
  <c r="AH9" i="30" s="1"/>
  <c r="AC15" i="24"/>
  <c r="Z17" i="30"/>
  <c r="AA17" i="27"/>
  <c r="AC15" i="21"/>
  <c r="AK20" i="30"/>
  <c r="AO20" i="30" s="1"/>
  <c r="Z21" i="17"/>
  <c r="Z16" i="30"/>
  <c r="AP20" i="22"/>
  <c r="AR20" i="22" s="1"/>
  <c r="AP20" i="24"/>
  <c r="AQ20" i="24" s="1"/>
  <c r="AA16" i="27"/>
  <c r="AF7" i="21"/>
  <c r="AG7" i="21" s="1"/>
  <c r="AK7" i="24"/>
  <c r="AP7" i="24"/>
  <c r="AQ7" i="24" s="1"/>
  <c r="AK11" i="21"/>
  <c r="AM11" i="21" s="1"/>
  <c r="AC16" i="30"/>
  <c r="AF11" i="27"/>
  <c r="AJ11" i="27" s="1"/>
  <c r="AK9" i="30"/>
  <c r="AM9" i="30" s="1"/>
  <c r="Z21" i="21"/>
  <c r="AC21" i="17"/>
  <c r="AA16" i="30"/>
  <c r="AP20" i="17"/>
  <c r="AT20" i="17" s="1"/>
  <c r="AC16" i="24"/>
  <c r="AF20" i="27"/>
  <c r="AI20" i="27" s="1"/>
  <c r="AC16" i="27"/>
  <c r="AB16" i="27"/>
  <c r="AB21" i="24"/>
  <c r="Z16" i="27"/>
  <c r="AK7" i="22"/>
  <c r="AP12" i="27"/>
  <c r="AT12" i="27" s="1"/>
  <c r="AF12" i="27"/>
  <c r="AH12" i="27" s="1"/>
  <c r="AP20" i="30"/>
  <c r="AR20" i="30" s="1"/>
  <c r="AF6" i="30"/>
  <c r="AH6" i="30" s="1"/>
  <c r="AK6" i="30"/>
  <c r="AN6" i="30" s="1"/>
  <c r="AK11" i="24"/>
  <c r="AO11" i="24" s="1"/>
  <c r="AF11" i="24"/>
  <c r="AI11" i="24" s="1"/>
  <c r="AP11" i="24"/>
  <c r="AT11" i="24" s="1"/>
  <c r="F33" i="17"/>
  <c r="K33" i="17" s="1"/>
  <c r="Q33" i="17" s="1"/>
  <c r="F33" i="21"/>
  <c r="K33" i="21" s="1"/>
  <c r="Q33" i="21" s="1"/>
  <c r="F33" i="27"/>
  <c r="K33" i="27" s="1"/>
  <c r="Q33" i="27" s="1"/>
  <c r="F33" i="30"/>
  <c r="K33" i="30" s="1"/>
  <c r="Q33" i="30" s="1"/>
  <c r="F33" i="24"/>
  <c r="K33" i="24" s="1"/>
  <c r="Q33" i="24" s="1"/>
  <c r="F33" i="22"/>
  <c r="K33" i="22" s="1"/>
  <c r="Q33" i="22" s="1"/>
  <c r="V33" i="22" s="1"/>
  <c r="AP11" i="17"/>
  <c r="AS11" i="17" s="1"/>
  <c r="AF11" i="17"/>
  <c r="AH11" i="17" s="1"/>
  <c r="AK20" i="21"/>
  <c r="AM20" i="21" s="1"/>
  <c r="AP20" i="21"/>
  <c r="AQ20" i="21" s="1"/>
  <c r="D33" i="27"/>
  <c r="I33" i="27" s="1"/>
  <c r="O33" i="27" s="1"/>
  <c r="D33" i="30"/>
  <c r="I33" i="30" s="1"/>
  <c r="O33" i="30" s="1"/>
  <c r="D33" i="22"/>
  <c r="I33" i="22" s="1"/>
  <c r="O33" i="22" s="1"/>
  <c r="D33" i="24"/>
  <c r="I33" i="24" s="1"/>
  <c r="O33" i="24" s="1"/>
  <c r="D33" i="21"/>
  <c r="I33" i="21" s="1"/>
  <c r="O33" i="21" s="1"/>
  <c r="D33" i="17"/>
  <c r="I33" i="17" s="1"/>
  <c r="O33" i="17" s="1"/>
  <c r="T33" i="17" s="1"/>
  <c r="AF20" i="21"/>
  <c r="AH20" i="21" s="1"/>
  <c r="AP11" i="27"/>
  <c r="AS11" i="27" s="1"/>
  <c r="AF9" i="27"/>
  <c r="AG9" i="27" s="1"/>
  <c r="AB21" i="27"/>
  <c r="AK20" i="27"/>
  <c r="AL20" i="27" s="1"/>
  <c r="Z17" i="21"/>
  <c r="AP11" i="22"/>
  <c r="AQ11" i="22" s="1"/>
  <c r="AP9" i="17"/>
  <c r="AQ9" i="17" s="1"/>
  <c r="AF20" i="24"/>
  <c r="AG20" i="24" s="1"/>
  <c r="AD24" i="30"/>
  <c r="AE24" i="30" s="1"/>
  <c r="AP24" i="30" s="1"/>
  <c r="Z17" i="17"/>
  <c r="AC15" i="30"/>
  <c r="Z15" i="30"/>
  <c r="AF11" i="30"/>
  <c r="AJ11" i="30" s="1"/>
  <c r="AF11" i="21"/>
  <c r="AH11" i="21" s="1"/>
  <c r="Z21" i="30"/>
  <c r="AC17" i="24"/>
  <c r="AA15" i="24"/>
  <c r="AC21" i="21"/>
  <c r="Z16" i="17"/>
  <c r="AB15" i="24"/>
  <c r="AA16" i="24"/>
  <c r="AC17" i="22"/>
  <c r="AK7" i="21"/>
  <c r="AB16" i="21"/>
  <c r="AC17" i="17"/>
  <c r="AB17" i="24"/>
  <c r="Z21" i="27"/>
  <c r="AB16" i="24"/>
  <c r="AA15" i="30"/>
  <c r="AA17" i="22"/>
  <c r="Z16" i="24"/>
  <c r="AB15" i="30"/>
  <c r="AC16" i="22"/>
  <c r="AB17" i="30"/>
  <c r="X33" i="30"/>
  <c r="AB16" i="30"/>
  <c r="Z17" i="24"/>
  <c r="AA15" i="27"/>
  <c r="AA17" i="17"/>
  <c r="AP7" i="21"/>
  <c r="E39" i="27"/>
  <c r="J39" i="27" s="1"/>
  <c r="P39" i="27" s="1"/>
  <c r="E39" i="30"/>
  <c r="J39" i="30" s="1"/>
  <c r="P39" i="30" s="1"/>
  <c r="E39" i="24"/>
  <c r="J39" i="24" s="1"/>
  <c r="P39" i="24" s="1"/>
  <c r="E39" i="17"/>
  <c r="J39" i="17" s="1"/>
  <c r="P39" i="17" s="1"/>
  <c r="E39" i="21"/>
  <c r="J39" i="21" s="1"/>
  <c r="P39" i="21" s="1"/>
  <c r="E39" i="22"/>
  <c r="J39" i="22" s="1"/>
  <c r="P39" i="22" s="1"/>
  <c r="G28" i="30"/>
  <c r="L28" i="30" s="1"/>
  <c r="R28" i="30" s="1"/>
  <c r="G28" i="27"/>
  <c r="L28" i="27" s="1"/>
  <c r="R28" i="27" s="1"/>
  <c r="G28" i="24"/>
  <c r="L28" i="24" s="1"/>
  <c r="R28" i="24" s="1"/>
  <c r="G28" i="17"/>
  <c r="L28" i="17" s="1"/>
  <c r="R28" i="17" s="1"/>
  <c r="G28" i="22"/>
  <c r="L28" i="22" s="1"/>
  <c r="R28" i="22" s="1"/>
  <c r="G28" i="21"/>
  <c r="L28" i="21" s="1"/>
  <c r="R28" i="21" s="1"/>
  <c r="E32" i="27"/>
  <c r="J32" i="27" s="1"/>
  <c r="P32" i="27" s="1"/>
  <c r="E32" i="30"/>
  <c r="J32" i="30" s="1"/>
  <c r="P32" i="30" s="1"/>
  <c r="E32" i="22"/>
  <c r="J32" i="22" s="1"/>
  <c r="P32" i="22" s="1"/>
  <c r="E32" i="17"/>
  <c r="J32" i="17" s="1"/>
  <c r="P32" i="17" s="1"/>
  <c r="E32" i="21"/>
  <c r="J32" i="21" s="1"/>
  <c r="P32" i="21" s="1"/>
  <c r="E32" i="24"/>
  <c r="J32" i="24" s="1"/>
  <c r="P32" i="24" s="1"/>
  <c r="G39" i="27"/>
  <c r="L39" i="27" s="1"/>
  <c r="R39" i="27" s="1"/>
  <c r="G39" i="30"/>
  <c r="L39" i="30" s="1"/>
  <c r="R39" i="30" s="1"/>
  <c r="G39" i="24"/>
  <c r="L39" i="24" s="1"/>
  <c r="R39" i="24" s="1"/>
  <c r="G39" i="22"/>
  <c r="L39" i="22" s="1"/>
  <c r="R39" i="22" s="1"/>
  <c r="G39" i="21"/>
  <c r="L39" i="21" s="1"/>
  <c r="R39" i="21" s="1"/>
  <c r="G39" i="17"/>
  <c r="L39" i="17" s="1"/>
  <c r="R39" i="17" s="1"/>
  <c r="D39" i="27"/>
  <c r="I39" i="27" s="1"/>
  <c r="O39" i="27" s="1"/>
  <c r="D39" i="30"/>
  <c r="I39" i="30" s="1"/>
  <c r="O39" i="30" s="1"/>
  <c r="D39" i="24"/>
  <c r="I39" i="24" s="1"/>
  <c r="O39" i="24" s="1"/>
  <c r="D39" i="22"/>
  <c r="I39" i="22" s="1"/>
  <c r="O39" i="22" s="1"/>
  <c r="D39" i="21"/>
  <c r="I39" i="21" s="1"/>
  <c r="O39" i="21" s="1"/>
  <c r="D39" i="17"/>
  <c r="I39" i="17" s="1"/>
  <c r="O39" i="17" s="1"/>
  <c r="H39" i="27"/>
  <c r="M39" i="27" s="1"/>
  <c r="S39" i="27" s="1"/>
  <c r="H39" i="30"/>
  <c r="M39" i="30" s="1"/>
  <c r="S39" i="30" s="1"/>
  <c r="H39" i="24"/>
  <c r="M39" i="24" s="1"/>
  <c r="S39" i="24" s="1"/>
  <c r="H39" i="17"/>
  <c r="M39" i="17" s="1"/>
  <c r="S39" i="17" s="1"/>
  <c r="H39" i="22"/>
  <c r="M39" i="22" s="1"/>
  <c r="S39" i="22" s="1"/>
  <c r="H39" i="21"/>
  <c r="M39" i="21" s="1"/>
  <c r="S39" i="21" s="1"/>
  <c r="H30" i="27"/>
  <c r="M30" i="27" s="1"/>
  <c r="S30" i="27" s="1"/>
  <c r="H30" i="30"/>
  <c r="M30" i="30" s="1"/>
  <c r="S30" i="30" s="1"/>
  <c r="H30" i="24"/>
  <c r="M30" i="24" s="1"/>
  <c r="S30" i="24" s="1"/>
  <c r="H30" i="17"/>
  <c r="M30" i="17" s="1"/>
  <c r="S30" i="17" s="1"/>
  <c r="H30" i="21"/>
  <c r="M30" i="21" s="1"/>
  <c r="S30" i="21" s="1"/>
  <c r="H30" i="22"/>
  <c r="M30" i="22" s="1"/>
  <c r="S30" i="22" s="1"/>
  <c r="F27" i="30"/>
  <c r="K27" i="30" s="1"/>
  <c r="Q27" i="30" s="1"/>
  <c r="F27" i="27"/>
  <c r="K27" i="27" s="1"/>
  <c r="Q27" i="27" s="1"/>
  <c r="F27" i="24"/>
  <c r="K27" i="24" s="1"/>
  <c r="Q27" i="24" s="1"/>
  <c r="F27" i="22"/>
  <c r="K27" i="22" s="1"/>
  <c r="Q27" i="22" s="1"/>
  <c r="F27" i="21"/>
  <c r="K27" i="21" s="1"/>
  <c r="Q27" i="21" s="1"/>
  <c r="F27" i="17"/>
  <c r="K27" i="17" s="1"/>
  <c r="Q27" i="17" s="1"/>
  <c r="D31" i="27"/>
  <c r="I31" i="27" s="1"/>
  <c r="O31" i="27" s="1"/>
  <c r="D31" i="30"/>
  <c r="I31" i="30" s="1"/>
  <c r="O31" i="30" s="1"/>
  <c r="D31" i="22"/>
  <c r="I31" i="22" s="1"/>
  <c r="O31" i="22" s="1"/>
  <c r="D31" i="17"/>
  <c r="I31" i="17" s="1"/>
  <c r="O31" i="17" s="1"/>
  <c r="D31" i="21"/>
  <c r="I31" i="21" s="1"/>
  <c r="O31" i="21" s="1"/>
  <c r="D31" i="24"/>
  <c r="I31" i="24" s="1"/>
  <c r="O31" i="24" s="1"/>
  <c r="H38" i="27"/>
  <c r="M38" i="27" s="1"/>
  <c r="S38" i="27" s="1"/>
  <c r="H38" i="30"/>
  <c r="M38" i="30" s="1"/>
  <c r="S38" i="30" s="1"/>
  <c r="H38" i="17"/>
  <c r="M38" i="17" s="1"/>
  <c r="S38" i="17" s="1"/>
  <c r="H38" i="24"/>
  <c r="M38" i="24" s="1"/>
  <c r="S38" i="24" s="1"/>
  <c r="H38" i="22"/>
  <c r="M38" i="22" s="1"/>
  <c r="S38" i="22" s="1"/>
  <c r="H38" i="21"/>
  <c r="M38" i="21" s="1"/>
  <c r="S38" i="21" s="1"/>
  <c r="F38" i="27"/>
  <c r="K38" i="27" s="1"/>
  <c r="Q38" i="27" s="1"/>
  <c r="F38" i="30"/>
  <c r="K38" i="30" s="1"/>
  <c r="Q38" i="30" s="1"/>
  <c r="F38" i="17"/>
  <c r="K38" i="17" s="1"/>
  <c r="Q38" i="17" s="1"/>
  <c r="F38" i="24"/>
  <c r="K38" i="24" s="1"/>
  <c r="Q38" i="24" s="1"/>
  <c r="F38" i="22"/>
  <c r="K38" i="22" s="1"/>
  <c r="Q38" i="22" s="1"/>
  <c r="F38" i="21"/>
  <c r="K38" i="21" s="1"/>
  <c r="Q38" i="21" s="1"/>
  <c r="X35" i="27"/>
  <c r="AC35" i="27"/>
  <c r="E27" i="27"/>
  <c r="J27" i="27" s="1"/>
  <c r="P27" i="27" s="1"/>
  <c r="E27" i="24"/>
  <c r="J27" i="24" s="1"/>
  <c r="P27" i="24" s="1"/>
  <c r="E27" i="17"/>
  <c r="J27" i="17" s="1"/>
  <c r="P27" i="17" s="1"/>
  <c r="E27" i="30"/>
  <c r="J27" i="30" s="1"/>
  <c r="P27" i="30" s="1"/>
  <c r="E27" i="22"/>
  <c r="J27" i="22" s="1"/>
  <c r="P27" i="22" s="1"/>
  <c r="E27" i="21"/>
  <c r="J27" i="21" s="1"/>
  <c r="P27" i="21" s="1"/>
  <c r="W34" i="24"/>
  <c r="AB34" i="24"/>
  <c r="V35" i="17"/>
  <c r="AA35" i="17"/>
  <c r="X26" i="17"/>
  <c r="AC26" i="17"/>
  <c r="Y34" i="24"/>
  <c r="T34" i="24"/>
  <c r="X34" i="17"/>
  <c r="AC34" i="17"/>
  <c r="AF9" i="17"/>
  <c r="AC29" i="22"/>
  <c r="X29" i="22"/>
  <c r="E28" i="27"/>
  <c r="J28" i="27" s="1"/>
  <c r="P28" i="27" s="1"/>
  <c r="E28" i="30"/>
  <c r="J28" i="30" s="1"/>
  <c r="P28" i="30" s="1"/>
  <c r="E28" i="24"/>
  <c r="J28" i="24" s="1"/>
  <c r="P28" i="24" s="1"/>
  <c r="E28" i="17"/>
  <c r="J28" i="17" s="1"/>
  <c r="P28" i="17" s="1"/>
  <c r="E28" i="22"/>
  <c r="J28" i="22" s="1"/>
  <c r="P28" i="22" s="1"/>
  <c r="E28" i="21"/>
  <c r="J28" i="21" s="1"/>
  <c r="P28" i="21" s="1"/>
  <c r="Y35" i="21"/>
  <c r="T35" i="21"/>
  <c r="D28" i="27"/>
  <c r="I28" i="27" s="1"/>
  <c r="O28" i="27" s="1"/>
  <c r="D28" i="30"/>
  <c r="I28" i="30" s="1"/>
  <c r="O28" i="30" s="1"/>
  <c r="D28" i="17"/>
  <c r="I28" i="17" s="1"/>
  <c r="O28" i="17" s="1"/>
  <c r="D28" i="24"/>
  <c r="I28" i="24" s="1"/>
  <c r="O28" i="24" s="1"/>
  <c r="D28" i="22"/>
  <c r="I28" i="22" s="1"/>
  <c r="O28" i="22" s="1"/>
  <c r="D28" i="21"/>
  <c r="I28" i="21" s="1"/>
  <c r="O28" i="21" s="1"/>
  <c r="G27" i="27"/>
  <c r="L27" i="27" s="1"/>
  <c r="R27" i="27" s="1"/>
  <c r="G27" i="30"/>
  <c r="L27" i="30" s="1"/>
  <c r="R27" i="30" s="1"/>
  <c r="G27" i="24"/>
  <c r="L27" i="24" s="1"/>
  <c r="R27" i="24" s="1"/>
  <c r="G27" i="22"/>
  <c r="L27" i="22" s="1"/>
  <c r="R27" i="22" s="1"/>
  <c r="G27" i="21"/>
  <c r="L27" i="21" s="1"/>
  <c r="R27" i="21" s="1"/>
  <c r="G27" i="17"/>
  <c r="L27" i="17" s="1"/>
  <c r="R27" i="17" s="1"/>
  <c r="X35" i="22"/>
  <c r="AC35" i="22"/>
  <c r="AB37" i="27"/>
  <c r="W37" i="27"/>
  <c r="AP12" i="17"/>
  <c r="Z37" i="30"/>
  <c r="U37" i="30"/>
  <c r="AA26" i="21"/>
  <c r="V26" i="21"/>
  <c r="AD25" i="24"/>
  <c r="AE25" i="24" s="1"/>
  <c r="D27" i="27"/>
  <c r="I27" i="27" s="1"/>
  <c r="O27" i="27" s="1"/>
  <c r="D27" i="30"/>
  <c r="I27" i="30" s="1"/>
  <c r="O27" i="30" s="1"/>
  <c r="D27" i="24"/>
  <c r="I27" i="24" s="1"/>
  <c r="O27" i="24" s="1"/>
  <c r="D27" i="21"/>
  <c r="I27" i="21" s="1"/>
  <c r="O27" i="21" s="1"/>
  <c r="D27" i="17"/>
  <c r="I27" i="17" s="1"/>
  <c r="O27" i="17" s="1"/>
  <c r="D27" i="22"/>
  <c r="I27" i="22" s="1"/>
  <c r="O27" i="22" s="1"/>
  <c r="U34" i="22"/>
  <c r="Z34" i="22"/>
  <c r="AB34" i="17"/>
  <c r="W34" i="17"/>
  <c r="Z35" i="21"/>
  <c r="U35" i="21"/>
  <c r="Y26" i="24"/>
  <c r="T26" i="24"/>
  <c r="G38" i="27"/>
  <c r="L38" i="27" s="1"/>
  <c r="R38" i="27" s="1"/>
  <c r="G38" i="30"/>
  <c r="L38" i="30" s="1"/>
  <c r="R38" i="30" s="1"/>
  <c r="G38" i="24"/>
  <c r="L38" i="24" s="1"/>
  <c r="R38" i="24" s="1"/>
  <c r="G38" i="17"/>
  <c r="L38" i="17" s="1"/>
  <c r="R38" i="17" s="1"/>
  <c r="G38" i="22"/>
  <c r="L38" i="22" s="1"/>
  <c r="R38" i="22" s="1"/>
  <c r="G38" i="21"/>
  <c r="L38" i="21" s="1"/>
  <c r="R38" i="21" s="1"/>
  <c r="X29" i="30"/>
  <c r="AC29" i="30"/>
  <c r="Z16" i="22"/>
  <c r="V34" i="22"/>
  <c r="AA34" i="22"/>
  <c r="AC37" i="17"/>
  <c r="V35" i="22"/>
  <c r="AA35" i="22"/>
  <c r="T37" i="21"/>
  <c r="Y37" i="21"/>
  <c r="AC26" i="22"/>
  <c r="X26" i="22"/>
  <c r="AA21" i="30"/>
  <c r="W35" i="30"/>
  <c r="AB35" i="30"/>
  <c r="AK11" i="27"/>
  <c r="AC16" i="17"/>
  <c r="Y34" i="21"/>
  <c r="T34" i="21"/>
  <c r="F31" i="27"/>
  <c r="K31" i="27" s="1"/>
  <c r="Q31" i="27" s="1"/>
  <c r="F31" i="30"/>
  <c r="K31" i="30" s="1"/>
  <c r="Q31" i="30" s="1"/>
  <c r="F31" i="24"/>
  <c r="K31" i="24" s="1"/>
  <c r="Q31" i="24" s="1"/>
  <c r="F31" i="17"/>
  <c r="K31" i="17" s="1"/>
  <c r="Q31" i="17" s="1"/>
  <c r="F31" i="22"/>
  <c r="K31" i="22" s="1"/>
  <c r="Q31" i="22" s="1"/>
  <c r="F31" i="21"/>
  <c r="K31" i="21" s="1"/>
  <c r="Q31" i="21" s="1"/>
  <c r="AD25" i="30"/>
  <c r="AE25" i="30" s="1"/>
  <c r="Y35" i="22"/>
  <c r="T35" i="22"/>
  <c r="AA37" i="22"/>
  <c r="V37" i="22"/>
  <c r="AD25" i="27"/>
  <c r="AE25" i="27" s="1"/>
  <c r="X35" i="30"/>
  <c r="AC35" i="30"/>
  <c r="AA29" i="21"/>
  <c r="V29" i="21"/>
  <c r="AC34" i="22"/>
  <c r="X34" i="22"/>
  <c r="E31" i="27"/>
  <c r="J31" i="27" s="1"/>
  <c r="P31" i="27" s="1"/>
  <c r="E31" i="24"/>
  <c r="J31" i="24" s="1"/>
  <c r="P31" i="24" s="1"/>
  <c r="E31" i="30"/>
  <c r="J31" i="30" s="1"/>
  <c r="P31" i="30" s="1"/>
  <c r="E31" i="22"/>
  <c r="J31" i="22" s="1"/>
  <c r="P31" i="22" s="1"/>
  <c r="E31" i="21"/>
  <c r="J31" i="21" s="1"/>
  <c r="P31" i="21" s="1"/>
  <c r="E31" i="17"/>
  <c r="J31" i="17" s="1"/>
  <c r="P31" i="17" s="1"/>
  <c r="Z21" i="24"/>
  <c r="AK9" i="17"/>
  <c r="Z37" i="27"/>
  <c r="U37" i="27"/>
  <c r="AA26" i="24"/>
  <c r="V26" i="24"/>
  <c r="U26" i="21"/>
  <c r="Z26" i="21"/>
  <c r="U33" i="21"/>
  <c r="U34" i="17"/>
  <c r="Z34" i="17"/>
  <c r="W34" i="22"/>
  <c r="AB34" i="22"/>
  <c r="U35" i="22"/>
  <c r="Z35" i="22"/>
  <c r="AB21" i="30"/>
  <c r="Y26" i="27"/>
  <c r="T26" i="27"/>
  <c r="AC17" i="21"/>
  <c r="AA17" i="21"/>
  <c r="Y29" i="21"/>
  <c r="T29" i="21"/>
  <c r="Z16" i="21"/>
  <c r="V34" i="21"/>
  <c r="AA34" i="21"/>
  <c r="AC37" i="30"/>
  <c r="AB15" i="27"/>
  <c r="V35" i="21"/>
  <c r="AA35" i="21"/>
  <c r="Y37" i="22"/>
  <c r="T37" i="22"/>
  <c r="AC26" i="21"/>
  <c r="X26" i="21"/>
  <c r="AA21" i="27"/>
  <c r="AA16" i="17"/>
  <c r="AB35" i="27"/>
  <c r="W35" i="27"/>
  <c r="T34" i="22"/>
  <c r="Y34" i="22"/>
  <c r="G30" i="27"/>
  <c r="L30" i="27" s="1"/>
  <c r="R30" i="27" s="1"/>
  <c r="G30" i="30"/>
  <c r="L30" i="30" s="1"/>
  <c r="R30" i="30" s="1"/>
  <c r="G30" i="24"/>
  <c r="L30" i="24" s="1"/>
  <c r="R30" i="24" s="1"/>
  <c r="G30" i="17"/>
  <c r="L30" i="17" s="1"/>
  <c r="R30" i="17" s="1"/>
  <c r="G30" i="21"/>
  <c r="L30" i="21" s="1"/>
  <c r="R30" i="21" s="1"/>
  <c r="G30" i="22"/>
  <c r="L30" i="22" s="1"/>
  <c r="R30" i="22" s="1"/>
  <c r="U26" i="22"/>
  <c r="Z26" i="22"/>
  <c r="Z34" i="21"/>
  <c r="U34" i="21"/>
  <c r="Y29" i="17"/>
  <c r="T29" i="17"/>
  <c r="AA37" i="17"/>
  <c r="V29" i="17"/>
  <c r="AA29" i="17"/>
  <c r="V26" i="17"/>
  <c r="AA26" i="17"/>
  <c r="Z34" i="24"/>
  <c r="U34" i="24"/>
  <c r="AK20" i="24"/>
  <c r="Y29" i="22"/>
  <c r="T29" i="22"/>
  <c r="AA34" i="24"/>
  <c r="V34" i="24"/>
  <c r="AC26" i="30"/>
  <c r="X26" i="30"/>
  <c r="T34" i="17"/>
  <c r="Y34" i="17"/>
  <c r="AK11" i="30"/>
  <c r="H31" i="27"/>
  <c r="M31" i="27" s="1"/>
  <c r="S31" i="27" s="1"/>
  <c r="H31" i="30"/>
  <c r="M31" i="30" s="1"/>
  <c r="S31" i="30" s="1"/>
  <c r="H31" i="17"/>
  <c r="M31" i="17" s="1"/>
  <c r="S31" i="17" s="1"/>
  <c r="H31" i="24"/>
  <c r="M31" i="24" s="1"/>
  <c r="S31" i="24" s="1"/>
  <c r="H31" i="21"/>
  <c r="M31" i="21" s="1"/>
  <c r="S31" i="21" s="1"/>
  <c r="H31" i="22"/>
  <c r="M31" i="22" s="1"/>
  <c r="S31" i="22" s="1"/>
  <c r="AA37" i="24"/>
  <c r="AA29" i="24"/>
  <c r="V29" i="24"/>
  <c r="AP20" i="27"/>
  <c r="V26" i="30"/>
  <c r="AA26" i="30"/>
  <c r="Z35" i="24"/>
  <c r="U35" i="24"/>
  <c r="AC29" i="21"/>
  <c r="X29" i="21"/>
  <c r="AB15" i="21"/>
  <c r="AC15" i="22"/>
  <c r="Z15" i="17"/>
  <c r="Z29" i="22"/>
  <c r="U29" i="22"/>
  <c r="W35" i="21"/>
  <c r="AB35" i="21"/>
  <c r="Y34" i="30"/>
  <c r="T34" i="30"/>
  <c r="AB17" i="22"/>
  <c r="AP11" i="30"/>
  <c r="AB26" i="24"/>
  <c r="W26" i="24"/>
  <c r="F30" i="27"/>
  <c r="K30" i="27" s="1"/>
  <c r="Q30" i="27" s="1"/>
  <c r="F30" i="30"/>
  <c r="K30" i="30" s="1"/>
  <c r="Q30" i="30" s="1"/>
  <c r="F30" i="24"/>
  <c r="K30" i="24" s="1"/>
  <c r="Q30" i="24" s="1"/>
  <c r="F30" i="22"/>
  <c r="K30" i="22" s="1"/>
  <c r="Q30" i="22" s="1"/>
  <c r="F30" i="21"/>
  <c r="K30" i="21" s="1"/>
  <c r="Q30" i="21" s="1"/>
  <c r="F30" i="17"/>
  <c r="K30" i="17" s="1"/>
  <c r="Q30" i="17" s="1"/>
  <c r="T35" i="27"/>
  <c r="Y35" i="27"/>
  <c r="AA37" i="30"/>
  <c r="W29" i="17"/>
  <c r="AB29" i="17"/>
  <c r="X35" i="21"/>
  <c r="AC35" i="21"/>
  <c r="AB37" i="24"/>
  <c r="AA29" i="30"/>
  <c r="V29" i="30"/>
  <c r="AC34" i="30"/>
  <c r="X34" i="30"/>
  <c r="X33" i="21"/>
  <c r="AF11" i="22"/>
  <c r="AP6" i="30"/>
  <c r="Z37" i="22"/>
  <c r="U37" i="22"/>
  <c r="AA26" i="27"/>
  <c r="V26" i="27"/>
  <c r="U26" i="30"/>
  <c r="Z26" i="30"/>
  <c r="F39" i="27"/>
  <c r="K39" i="27" s="1"/>
  <c r="Q39" i="27" s="1"/>
  <c r="F39" i="30"/>
  <c r="K39" i="30" s="1"/>
  <c r="Q39" i="30" s="1"/>
  <c r="F39" i="24"/>
  <c r="K39" i="24" s="1"/>
  <c r="Q39" i="24" s="1"/>
  <c r="F39" i="22"/>
  <c r="K39" i="22" s="1"/>
  <c r="Q39" i="22" s="1"/>
  <c r="F39" i="21"/>
  <c r="K39" i="21" s="1"/>
  <c r="Q39" i="21" s="1"/>
  <c r="F39" i="17"/>
  <c r="K39" i="17" s="1"/>
  <c r="Q39" i="17" s="1"/>
  <c r="AF12" i="22"/>
  <c r="Z34" i="27"/>
  <c r="U34" i="27"/>
  <c r="Z35" i="27"/>
  <c r="U35" i="27"/>
  <c r="AB16" i="17"/>
  <c r="AB21" i="21"/>
  <c r="Y26" i="21"/>
  <c r="Z17" i="22"/>
  <c r="AC29" i="17"/>
  <c r="X29" i="17"/>
  <c r="AA15" i="17"/>
  <c r="AA17" i="30"/>
  <c r="T29" i="30"/>
  <c r="Y29" i="30"/>
  <c r="AC21" i="24"/>
  <c r="AA34" i="27"/>
  <c r="V34" i="27"/>
  <c r="AB15" i="22"/>
  <c r="AC15" i="17"/>
  <c r="V35" i="30"/>
  <c r="AA35" i="30"/>
  <c r="T37" i="27"/>
  <c r="Y37" i="27"/>
  <c r="Z15" i="24"/>
  <c r="X26" i="27"/>
  <c r="AC26" i="27"/>
  <c r="U29" i="24"/>
  <c r="Z29" i="24"/>
  <c r="AA21" i="22"/>
  <c r="AB35" i="22"/>
  <c r="W35" i="22"/>
  <c r="T35" i="30"/>
  <c r="Y35" i="30"/>
  <c r="W29" i="21"/>
  <c r="AB29" i="21"/>
  <c r="X34" i="21"/>
  <c r="AC34" i="21"/>
  <c r="AC37" i="24"/>
  <c r="T37" i="17"/>
  <c r="Y37" i="17"/>
  <c r="W26" i="21"/>
  <c r="AB26" i="21"/>
  <c r="AB29" i="22"/>
  <c r="W29" i="22"/>
  <c r="U26" i="17"/>
  <c r="Z26" i="17"/>
  <c r="W34" i="30"/>
  <c r="AB34" i="30"/>
  <c r="H32" i="27"/>
  <c r="M32" i="27" s="1"/>
  <c r="S32" i="27" s="1"/>
  <c r="H32" i="30"/>
  <c r="M32" i="30" s="1"/>
  <c r="S32" i="30" s="1"/>
  <c r="H32" i="17"/>
  <c r="M32" i="17" s="1"/>
  <c r="S32" i="17" s="1"/>
  <c r="H32" i="22"/>
  <c r="M32" i="22" s="1"/>
  <c r="S32" i="22" s="1"/>
  <c r="H32" i="24"/>
  <c r="M32" i="24" s="1"/>
  <c r="S32" i="24" s="1"/>
  <c r="H32" i="21"/>
  <c r="M32" i="21" s="1"/>
  <c r="S32" i="21" s="1"/>
  <c r="Z15" i="22"/>
  <c r="W26" i="22"/>
  <c r="AB26" i="22"/>
  <c r="AB37" i="22"/>
  <c r="E38" i="27"/>
  <c r="J38" i="27" s="1"/>
  <c r="P38" i="27" s="1"/>
  <c r="E38" i="30"/>
  <c r="J38" i="30" s="1"/>
  <c r="P38" i="30" s="1"/>
  <c r="E38" i="17"/>
  <c r="J38" i="17" s="1"/>
  <c r="P38" i="17" s="1"/>
  <c r="E38" i="24"/>
  <c r="J38" i="24" s="1"/>
  <c r="P38" i="24" s="1"/>
  <c r="E38" i="21"/>
  <c r="J38" i="21" s="1"/>
  <c r="P38" i="21" s="1"/>
  <c r="E38" i="22"/>
  <c r="J38" i="22" s="1"/>
  <c r="P38" i="22" s="1"/>
  <c r="U37" i="21"/>
  <c r="Z37" i="21"/>
  <c r="Z26" i="24"/>
  <c r="U26" i="24"/>
  <c r="U34" i="30"/>
  <c r="Z34" i="30"/>
  <c r="AB16" i="22"/>
  <c r="AC21" i="22"/>
  <c r="V34" i="30"/>
  <c r="AA34" i="30"/>
  <c r="V35" i="27"/>
  <c r="AA35" i="27"/>
  <c r="T37" i="30"/>
  <c r="Y37" i="30"/>
  <c r="X26" i="24"/>
  <c r="AC26" i="24"/>
  <c r="Y34" i="27"/>
  <c r="T34" i="27"/>
  <c r="AB17" i="17"/>
  <c r="F28" i="27"/>
  <c r="K28" i="27" s="1"/>
  <c r="Q28" i="27" s="1"/>
  <c r="F28" i="30"/>
  <c r="K28" i="30" s="1"/>
  <c r="Q28" i="30" s="1"/>
  <c r="F28" i="24"/>
  <c r="K28" i="24" s="1"/>
  <c r="Q28" i="24" s="1"/>
  <c r="F28" i="17"/>
  <c r="K28" i="17" s="1"/>
  <c r="Q28" i="17" s="1"/>
  <c r="F28" i="21"/>
  <c r="K28" i="21" s="1"/>
  <c r="Q28" i="21" s="1"/>
  <c r="F28" i="22"/>
  <c r="K28" i="22" s="1"/>
  <c r="Q28" i="22" s="1"/>
  <c r="W26" i="30"/>
  <c r="AB26" i="30"/>
  <c r="AA37" i="27"/>
  <c r="V37" i="27"/>
  <c r="AB29" i="30"/>
  <c r="W29" i="30"/>
  <c r="AC35" i="17"/>
  <c r="X35" i="17"/>
  <c r="W37" i="17"/>
  <c r="AB37" i="17"/>
  <c r="V29" i="27"/>
  <c r="AA29" i="27"/>
  <c r="AC34" i="27"/>
  <c r="X34" i="27"/>
  <c r="G32" i="27"/>
  <c r="L32" i="27" s="1"/>
  <c r="R32" i="27" s="1"/>
  <c r="G32" i="30"/>
  <c r="L32" i="30" s="1"/>
  <c r="R32" i="30" s="1"/>
  <c r="G32" i="24"/>
  <c r="L32" i="24" s="1"/>
  <c r="R32" i="24" s="1"/>
  <c r="G32" i="17"/>
  <c r="L32" i="17" s="1"/>
  <c r="R32" i="17" s="1"/>
  <c r="G32" i="21"/>
  <c r="L32" i="21" s="1"/>
  <c r="R32" i="21" s="1"/>
  <c r="G32" i="22"/>
  <c r="L32" i="22" s="1"/>
  <c r="R32" i="22" s="1"/>
  <c r="U37" i="17"/>
  <c r="Z37" i="17"/>
  <c r="AP11" i="21"/>
  <c r="Z26" i="27"/>
  <c r="U26" i="27"/>
  <c r="AB21" i="22"/>
  <c r="Y26" i="30"/>
  <c r="T26" i="30"/>
  <c r="X29" i="24"/>
  <c r="AC29" i="24"/>
  <c r="T29" i="27"/>
  <c r="Y29" i="27"/>
  <c r="AC21" i="30"/>
  <c r="AC37" i="21"/>
  <c r="AB15" i="17"/>
  <c r="Z29" i="30"/>
  <c r="U29" i="30"/>
  <c r="AA21" i="24"/>
  <c r="AA16" i="21"/>
  <c r="AB35" i="17"/>
  <c r="W35" i="17"/>
  <c r="E30" i="27"/>
  <c r="J30" i="27" s="1"/>
  <c r="P30" i="27" s="1"/>
  <c r="E30" i="30"/>
  <c r="J30" i="30" s="1"/>
  <c r="P30" i="30" s="1"/>
  <c r="E30" i="24"/>
  <c r="J30" i="24" s="1"/>
  <c r="P30" i="24" s="1"/>
  <c r="E30" i="17"/>
  <c r="J30" i="17" s="1"/>
  <c r="P30" i="17" s="1"/>
  <c r="E30" i="22"/>
  <c r="J30" i="22" s="1"/>
  <c r="P30" i="22" s="1"/>
  <c r="E30" i="21"/>
  <c r="J30" i="21" s="1"/>
  <c r="P30" i="21" s="1"/>
  <c r="AB26" i="17"/>
  <c r="W26" i="17"/>
  <c r="AA37" i="21"/>
  <c r="AA29" i="22"/>
  <c r="V29" i="22"/>
  <c r="V26" i="22"/>
  <c r="AA26" i="22"/>
  <c r="U35" i="17"/>
  <c r="Z35" i="17"/>
  <c r="AA34" i="17"/>
  <c r="V34" i="17"/>
  <c r="U29" i="21"/>
  <c r="Z29" i="21"/>
  <c r="T35" i="17"/>
  <c r="Y35" i="17"/>
  <c r="AB37" i="21"/>
  <c r="Z35" i="30"/>
  <c r="U35" i="30"/>
  <c r="AD25" i="22"/>
  <c r="AE25" i="22" s="1"/>
  <c r="AC37" i="27"/>
  <c r="V35" i="24"/>
  <c r="AA35" i="24"/>
  <c r="T37" i="24"/>
  <c r="Y37" i="24"/>
  <c r="U29" i="17"/>
  <c r="Z29" i="17"/>
  <c r="AB17" i="21"/>
  <c r="T35" i="24"/>
  <c r="Y35" i="24"/>
  <c r="AB29" i="24"/>
  <c r="W29" i="24"/>
  <c r="X34" i="24"/>
  <c r="AC34" i="24"/>
  <c r="W34" i="27"/>
  <c r="AB34" i="27"/>
  <c r="Y26" i="22"/>
  <c r="AA15" i="22"/>
  <c r="T29" i="24"/>
  <c r="Y29" i="24"/>
  <c r="AC16" i="21"/>
  <c r="H28" i="27"/>
  <c r="M28" i="27" s="1"/>
  <c r="S28" i="27" s="1"/>
  <c r="H28" i="30"/>
  <c r="M28" i="30" s="1"/>
  <c r="S28" i="30" s="1"/>
  <c r="H28" i="24"/>
  <c r="M28" i="24" s="1"/>
  <c r="S28" i="24" s="1"/>
  <c r="H28" i="17"/>
  <c r="M28" i="17" s="1"/>
  <c r="S28" i="17" s="1"/>
  <c r="H28" i="21"/>
  <c r="M28" i="21" s="1"/>
  <c r="S28" i="21" s="1"/>
  <c r="H28" i="22"/>
  <c r="M28" i="22" s="1"/>
  <c r="S28" i="22" s="1"/>
  <c r="W26" i="27"/>
  <c r="AB26" i="27"/>
  <c r="F32" i="27"/>
  <c r="K32" i="27" s="1"/>
  <c r="Q32" i="27" s="1"/>
  <c r="F32" i="24"/>
  <c r="K32" i="24" s="1"/>
  <c r="Q32" i="24" s="1"/>
  <c r="F32" i="17"/>
  <c r="K32" i="17" s="1"/>
  <c r="Q32" i="17" s="1"/>
  <c r="F32" i="21"/>
  <c r="K32" i="21" s="1"/>
  <c r="Q32" i="21" s="1"/>
  <c r="F32" i="22"/>
  <c r="K32" i="22" s="1"/>
  <c r="Q32" i="22" s="1"/>
  <c r="F32" i="30"/>
  <c r="K32" i="30" s="1"/>
  <c r="Q32" i="30" s="1"/>
  <c r="D32" i="27"/>
  <c r="I32" i="27" s="1"/>
  <c r="O32" i="27" s="1"/>
  <c r="D32" i="30"/>
  <c r="I32" i="30" s="1"/>
  <c r="O32" i="30" s="1"/>
  <c r="D32" i="24"/>
  <c r="I32" i="24" s="1"/>
  <c r="O32" i="24" s="1"/>
  <c r="D32" i="17"/>
  <c r="I32" i="17" s="1"/>
  <c r="O32" i="17" s="1"/>
  <c r="D32" i="22"/>
  <c r="I32" i="22" s="1"/>
  <c r="O32" i="22" s="1"/>
  <c r="D32" i="21"/>
  <c r="I32" i="21" s="1"/>
  <c r="O32" i="21" s="1"/>
  <c r="AB29" i="27"/>
  <c r="W29" i="27"/>
  <c r="X33" i="24"/>
  <c r="X35" i="24"/>
  <c r="AC35" i="24"/>
  <c r="AB37" i="30"/>
  <c r="G31" i="27"/>
  <c r="L31" i="27" s="1"/>
  <c r="R31" i="27" s="1"/>
  <c r="G31" i="30"/>
  <c r="L31" i="30" s="1"/>
  <c r="R31" i="30" s="1"/>
  <c r="G31" i="24"/>
  <c r="L31" i="24" s="1"/>
  <c r="R31" i="24" s="1"/>
  <c r="G31" i="17"/>
  <c r="L31" i="17" s="1"/>
  <c r="R31" i="17" s="1"/>
  <c r="G31" i="22"/>
  <c r="L31" i="22" s="1"/>
  <c r="R31" i="22" s="1"/>
  <c r="G31" i="21"/>
  <c r="L31" i="21" s="1"/>
  <c r="R31" i="21" s="1"/>
  <c r="W33" i="21"/>
  <c r="U33" i="17"/>
  <c r="D30" i="27"/>
  <c r="I30" i="27" s="1"/>
  <c r="O30" i="27" s="1"/>
  <c r="D30" i="30"/>
  <c r="I30" i="30" s="1"/>
  <c r="O30" i="30" s="1"/>
  <c r="D30" i="24"/>
  <c r="I30" i="24" s="1"/>
  <c r="O30" i="24" s="1"/>
  <c r="D30" i="17"/>
  <c r="I30" i="17" s="1"/>
  <c r="O30" i="17" s="1"/>
  <c r="D30" i="21"/>
  <c r="I30" i="21" s="1"/>
  <c r="O30" i="21" s="1"/>
  <c r="D30" i="22"/>
  <c r="I30" i="22" s="1"/>
  <c r="O30" i="22" s="1"/>
  <c r="Z21" i="22"/>
  <c r="AD25" i="17"/>
  <c r="AE25" i="17" s="1"/>
  <c r="U33" i="22"/>
  <c r="Z37" i="24"/>
  <c r="U37" i="24"/>
  <c r="W34" i="21"/>
  <c r="AB34" i="21"/>
  <c r="D38" i="27"/>
  <c r="I38" i="27" s="1"/>
  <c r="O38" i="27" s="1"/>
  <c r="D38" i="30"/>
  <c r="I38" i="30" s="1"/>
  <c r="O38" i="30" s="1"/>
  <c r="D38" i="17"/>
  <c r="I38" i="17" s="1"/>
  <c r="O38" i="17" s="1"/>
  <c r="D38" i="24"/>
  <c r="I38" i="24" s="1"/>
  <c r="O38" i="24" s="1"/>
  <c r="D38" i="21"/>
  <c r="I38" i="21" s="1"/>
  <c r="O38" i="21" s="1"/>
  <c r="D38" i="22"/>
  <c r="I38" i="22" s="1"/>
  <c r="O38" i="22" s="1"/>
  <c r="AB21" i="17"/>
  <c r="T26" i="17"/>
  <c r="Y26" i="17"/>
  <c r="H27" i="27"/>
  <c r="M27" i="27" s="1"/>
  <c r="S27" i="27" s="1"/>
  <c r="H27" i="30"/>
  <c r="M27" i="30" s="1"/>
  <c r="S27" i="30" s="1"/>
  <c r="H27" i="24"/>
  <c r="M27" i="24" s="1"/>
  <c r="S27" i="24" s="1"/>
  <c r="H27" i="22"/>
  <c r="M27" i="22" s="1"/>
  <c r="S27" i="22" s="1"/>
  <c r="H27" i="17"/>
  <c r="M27" i="17" s="1"/>
  <c r="S27" i="17" s="1"/>
  <c r="H27" i="21"/>
  <c r="M27" i="21" s="1"/>
  <c r="S27" i="21" s="1"/>
  <c r="X29" i="27"/>
  <c r="AC29" i="27"/>
  <c r="AC21" i="27"/>
  <c r="AC37" i="22"/>
  <c r="AC15" i="27"/>
  <c r="Z15" i="27"/>
  <c r="Z29" i="27"/>
  <c r="U29" i="27"/>
  <c r="AA21" i="17"/>
  <c r="AB35" i="24"/>
  <c r="W35" i="24"/>
  <c r="X37" i="24" l="1"/>
  <c r="AP12" i="21"/>
  <c r="AQ12" i="21" s="1"/>
  <c r="H18" i="30"/>
  <c r="M18" i="30" s="1"/>
  <c r="S18" i="30" s="1"/>
  <c r="X36" i="30" s="1"/>
  <c r="E10" i="21"/>
  <c r="J10" i="21" s="1"/>
  <c r="P10" i="21" s="1"/>
  <c r="Z10" i="21" s="1"/>
  <c r="V37" i="17"/>
  <c r="H10" i="24"/>
  <c r="M10" i="24" s="1"/>
  <c r="S10" i="24" s="1"/>
  <c r="X28" i="24" s="1"/>
  <c r="AC13" i="21"/>
  <c r="E10" i="27"/>
  <c r="J10" i="27" s="1"/>
  <c r="P10" i="27" s="1"/>
  <c r="AF12" i="21"/>
  <c r="Y8" i="21"/>
  <c r="AB8" i="21"/>
  <c r="AC8" i="21"/>
  <c r="E10" i="17"/>
  <c r="J10" i="17" s="1"/>
  <c r="P10" i="17" s="1"/>
  <c r="U28" i="17" s="1"/>
  <c r="Y8" i="17"/>
  <c r="AB8" i="17"/>
  <c r="AC8" i="17"/>
  <c r="AA8" i="17"/>
  <c r="AA8" i="21"/>
  <c r="Y8" i="27"/>
  <c r="AC8" i="27"/>
  <c r="AA8" i="27"/>
  <c r="AB8" i="27"/>
  <c r="AK12" i="17"/>
  <c r="E18" i="24"/>
  <c r="J18" i="24" s="1"/>
  <c r="P18" i="24" s="1"/>
  <c r="U36" i="24" s="1"/>
  <c r="H18" i="21"/>
  <c r="M18" i="21" s="1"/>
  <c r="S18" i="21" s="1"/>
  <c r="E10" i="30"/>
  <c r="J10" i="30" s="1"/>
  <c r="P10" i="30" s="1"/>
  <c r="Z8" i="27"/>
  <c r="Y8" i="24"/>
  <c r="AB8" i="24"/>
  <c r="AC8" i="24"/>
  <c r="AA8" i="24"/>
  <c r="Y8" i="22"/>
  <c r="AB8" i="22"/>
  <c r="AC8" i="22"/>
  <c r="T26" i="22"/>
  <c r="T26" i="21"/>
  <c r="Z13" i="30"/>
  <c r="H18" i="17"/>
  <c r="M18" i="17" s="1"/>
  <c r="S18" i="17" s="1"/>
  <c r="X36" i="17" s="1"/>
  <c r="E10" i="22"/>
  <c r="J10" i="22" s="1"/>
  <c r="P10" i="22" s="1"/>
  <c r="AK9" i="27"/>
  <c r="AN9" i="27" s="1"/>
  <c r="Z8" i="21"/>
  <c r="Y8" i="30"/>
  <c r="AB8" i="30"/>
  <c r="AA8" i="30"/>
  <c r="AC8" i="30"/>
  <c r="Z8" i="30"/>
  <c r="AA8" i="22"/>
  <c r="W37" i="24"/>
  <c r="AP9" i="24"/>
  <c r="AQ9" i="24" s="1"/>
  <c r="X37" i="27"/>
  <c r="X37" i="30"/>
  <c r="AP12" i="24"/>
  <c r="AR12" i="24" s="1"/>
  <c r="Z13" i="17"/>
  <c r="AK9" i="21"/>
  <c r="AL9" i="21" s="1"/>
  <c r="AK19" i="27"/>
  <c r="AO19" i="27" s="1"/>
  <c r="AC10" i="21"/>
  <c r="X37" i="21"/>
  <c r="AK12" i="24"/>
  <c r="AM12" i="24" s="1"/>
  <c r="AK9" i="22"/>
  <c r="AO9" i="22" s="1"/>
  <c r="D10" i="27"/>
  <c r="I10" i="27" s="1"/>
  <c r="O10" i="27" s="1"/>
  <c r="Y10" i="27" s="1"/>
  <c r="H18" i="27"/>
  <c r="M18" i="27" s="1"/>
  <c r="S18" i="27" s="1"/>
  <c r="AC18" i="27" s="1"/>
  <c r="W37" i="22"/>
  <c r="AP9" i="22"/>
  <c r="AQ9" i="22" s="1"/>
  <c r="D10" i="30"/>
  <c r="I10" i="30" s="1"/>
  <c r="O10" i="30" s="1"/>
  <c r="Y10" i="30" s="1"/>
  <c r="H18" i="22"/>
  <c r="M18" i="22" s="1"/>
  <c r="S18" i="22" s="1"/>
  <c r="AC18" i="22" s="1"/>
  <c r="D10" i="17"/>
  <c r="I10" i="17" s="1"/>
  <c r="O10" i="17" s="1"/>
  <c r="Y10" i="17" s="1"/>
  <c r="D10" i="22"/>
  <c r="I10" i="22" s="1"/>
  <c r="O10" i="22" s="1"/>
  <c r="Y10" i="22" s="1"/>
  <c r="Z10" i="22"/>
  <c r="AP12" i="30"/>
  <c r="AS12" i="30" s="1"/>
  <c r="AP19" i="17"/>
  <c r="AS19" i="17" s="1"/>
  <c r="AA13" i="27"/>
  <c r="W37" i="30"/>
  <c r="AF9" i="21"/>
  <c r="AG9" i="21" s="1"/>
  <c r="AP9" i="27"/>
  <c r="AS9" i="27" s="1"/>
  <c r="H10" i="17"/>
  <c r="M10" i="17" s="1"/>
  <c r="S10" i="17" s="1"/>
  <c r="AC10" i="17" s="1"/>
  <c r="Z13" i="24"/>
  <c r="G18" i="27"/>
  <c r="L18" i="27" s="1"/>
  <c r="R18" i="27" s="1"/>
  <c r="W36" i="27" s="1"/>
  <c r="AF14" i="21"/>
  <c r="AJ14" i="21" s="1"/>
  <c r="AK14" i="30"/>
  <c r="AF19" i="30"/>
  <c r="AI19" i="30" s="1"/>
  <c r="G18" i="24"/>
  <c r="L18" i="24" s="1"/>
  <c r="R18" i="24" s="1"/>
  <c r="AB18" i="24" s="1"/>
  <c r="AK14" i="17"/>
  <c r="AO14" i="17" s="1"/>
  <c r="W37" i="21"/>
  <c r="H10" i="27"/>
  <c r="M10" i="27" s="1"/>
  <c r="S10" i="27" s="1"/>
  <c r="X28" i="27" s="1"/>
  <c r="V37" i="30"/>
  <c r="AP14" i="24"/>
  <c r="AS14" i="24" s="1"/>
  <c r="AF14" i="24"/>
  <c r="AJ14" i="24" s="1"/>
  <c r="AQ19" i="17"/>
  <c r="AH14" i="21"/>
  <c r="AG14" i="21"/>
  <c r="AN14" i="17"/>
  <c r="Y18" i="22"/>
  <c r="T36" i="22"/>
  <c r="AA10" i="24"/>
  <c r="U36" i="30"/>
  <c r="Z18" i="30"/>
  <c r="AA13" i="21"/>
  <c r="Y18" i="24"/>
  <c r="T36" i="24"/>
  <c r="AF19" i="17"/>
  <c r="W36" i="22"/>
  <c r="AB18" i="22"/>
  <c r="AB13" i="22"/>
  <c r="AK19" i="17"/>
  <c r="X37" i="22"/>
  <c r="V37" i="21"/>
  <c r="AK12" i="30"/>
  <c r="AO12" i="30" s="1"/>
  <c r="AF9" i="24"/>
  <c r="AJ9" i="24" s="1"/>
  <c r="AC10" i="30"/>
  <c r="AA10" i="21"/>
  <c r="AP19" i="22"/>
  <c r="AK19" i="22"/>
  <c r="AF19" i="22"/>
  <c r="AP14" i="21"/>
  <c r="Z18" i="17"/>
  <c r="U36" i="17"/>
  <c r="AA13" i="24"/>
  <c r="Y18" i="27"/>
  <c r="T36" i="27"/>
  <c r="X36" i="22"/>
  <c r="AB18" i="17"/>
  <c r="W36" i="17"/>
  <c r="AB13" i="27"/>
  <c r="Z10" i="30"/>
  <c r="AP14" i="30"/>
  <c r="AP14" i="22"/>
  <c r="AK14" i="22"/>
  <c r="AF14" i="22"/>
  <c r="AP14" i="27"/>
  <c r="AF14" i="27"/>
  <c r="AK14" i="27"/>
  <c r="Z18" i="22"/>
  <c r="U36" i="22"/>
  <c r="Y18" i="21"/>
  <c r="T36" i="21"/>
  <c r="AP19" i="30"/>
  <c r="AK19" i="30"/>
  <c r="Z10" i="24"/>
  <c r="AP12" i="22"/>
  <c r="AR12" i="22" s="1"/>
  <c r="AF12" i="24"/>
  <c r="AI12" i="24" s="1"/>
  <c r="AP9" i="21"/>
  <c r="AR9" i="21" s="1"/>
  <c r="G10" i="30"/>
  <c r="L10" i="30" s="1"/>
  <c r="R10" i="30" s="1"/>
  <c r="AB10" i="30" s="1"/>
  <c r="G10" i="27"/>
  <c r="L10" i="27" s="1"/>
  <c r="R10" i="27" s="1"/>
  <c r="G10" i="24"/>
  <c r="L10" i="24" s="1"/>
  <c r="R10" i="24" s="1"/>
  <c r="AB10" i="24" s="1"/>
  <c r="G10" i="22"/>
  <c r="L10" i="22" s="1"/>
  <c r="R10" i="22" s="1"/>
  <c r="G10" i="21"/>
  <c r="L10" i="21" s="1"/>
  <c r="R10" i="21" s="1"/>
  <c r="AB10" i="21" s="1"/>
  <c r="G10" i="17"/>
  <c r="L10" i="17" s="1"/>
  <c r="R10" i="17" s="1"/>
  <c r="AB10" i="17" s="1"/>
  <c r="AP19" i="24"/>
  <c r="AF19" i="24"/>
  <c r="AK19" i="24"/>
  <c r="Z18" i="27"/>
  <c r="U36" i="27"/>
  <c r="Z13" i="21"/>
  <c r="Y18" i="30"/>
  <c r="T36" i="30"/>
  <c r="AC18" i="21"/>
  <c r="X36" i="21"/>
  <c r="AA13" i="30"/>
  <c r="AB13" i="17"/>
  <c r="AC13" i="24"/>
  <c r="AP19" i="27"/>
  <c r="AC18" i="24"/>
  <c r="X36" i="24"/>
  <c r="F18" i="27"/>
  <c r="K18" i="27" s="1"/>
  <c r="Q18" i="27" s="1"/>
  <c r="F18" i="24"/>
  <c r="K18" i="24" s="1"/>
  <c r="Q18" i="24" s="1"/>
  <c r="F18" i="17"/>
  <c r="K18" i="17" s="1"/>
  <c r="Q18" i="17" s="1"/>
  <c r="F18" i="30"/>
  <c r="K18" i="30" s="1"/>
  <c r="Q18" i="30" s="1"/>
  <c r="F18" i="22"/>
  <c r="K18" i="22" s="1"/>
  <c r="Q18" i="22" s="1"/>
  <c r="F18" i="21"/>
  <c r="K18" i="21" s="1"/>
  <c r="Q18" i="21" s="1"/>
  <c r="AB18" i="30"/>
  <c r="W36" i="30"/>
  <c r="AF12" i="30"/>
  <c r="AG12" i="30" s="1"/>
  <c r="Z18" i="21"/>
  <c r="U36" i="21"/>
  <c r="Y18" i="17"/>
  <c r="T36" i="17"/>
  <c r="AK9" i="24"/>
  <c r="AM9" i="24" s="1"/>
  <c r="AA13" i="17"/>
  <c r="AC13" i="17"/>
  <c r="AK14" i="24"/>
  <c r="AC18" i="17"/>
  <c r="AB13" i="30"/>
  <c r="AK14" i="21"/>
  <c r="AA13" i="22"/>
  <c r="V37" i="24"/>
  <c r="AD37" i="24" s="1"/>
  <c r="AE37" i="24" s="1"/>
  <c r="X37" i="17"/>
  <c r="AD37" i="17" s="1"/>
  <c r="AE37" i="17" s="1"/>
  <c r="AN19" i="27"/>
  <c r="AC13" i="22"/>
  <c r="AF19" i="27"/>
  <c r="AA10" i="17"/>
  <c r="AF14" i="17"/>
  <c r="AP14" i="17"/>
  <c r="Z13" i="22"/>
  <c r="AC18" i="30"/>
  <c r="AB18" i="21"/>
  <c r="W36" i="21"/>
  <c r="AF19" i="21"/>
  <c r="AP19" i="21"/>
  <c r="AK19" i="21"/>
  <c r="AC13" i="30"/>
  <c r="AB13" i="21"/>
  <c r="AF14" i="30"/>
  <c r="AS7" i="27"/>
  <c r="AO20" i="22"/>
  <c r="AG7" i="17"/>
  <c r="AL11" i="22"/>
  <c r="AN11" i="22"/>
  <c r="AM11" i="22"/>
  <c r="AQ9" i="30"/>
  <c r="AS9" i="30"/>
  <c r="AR9" i="30"/>
  <c r="AR7" i="30"/>
  <c r="AP6" i="27"/>
  <c r="AQ6" i="27" s="1"/>
  <c r="AH7" i="17"/>
  <c r="AT7" i="30"/>
  <c r="AP6" i="17"/>
  <c r="AR6" i="17" s="1"/>
  <c r="AF6" i="21"/>
  <c r="AI6" i="21" s="1"/>
  <c r="AI7" i="17"/>
  <c r="AJ7" i="30"/>
  <c r="AF6" i="22"/>
  <c r="AH6" i="22" s="1"/>
  <c r="AL6" i="30"/>
  <c r="AG7" i="30"/>
  <c r="AP6" i="22"/>
  <c r="AQ6" i="22" s="1"/>
  <c r="AK24" i="30"/>
  <c r="AL24" i="30" s="1"/>
  <c r="AT20" i="24"/>
  <c r="AN11" i="17"/>
  <c r="AQ7" i="30"/>
  <c r="AH7" i="30"/>
  <c r="AF6" i="27"/>
  <c r="AH6" i="27" s="1"/>
  <c r="AK6" i="21"/>
  <c r="AN6" i="21" s="1"/>
  <c r="AP6" i="21"/>
  <c r="AR6" i="21" s="1"/>
  <c r="AK6" i="17"/>
  <c r="AM6" i="17" s="1"/>
  <c r="AF24" i="30"/>
  <c r="AI24" i="30" s="1"/>
  <c r="AJ11" i="17"/>
  <c r="AO6" i="30"/>
  <c r="AL20" i="22"/>
  <c r="AM20" i="22"/>
  <c r="AR7" i="17"/>
  <c r="AH7" i="24"/>
  <c r="AJ7" i="24"/>
  <c r="AI9" i="30"/>
  <c r="AK6" i="27"/>
  <c r="AL6" i="27" s="1"/>
  <c r="AM11" i="17"/>
  <c r="AN20" i="30"/>
  <c r="AS9" i="21"/>
  <c r="AL20" i="30"/>
  <c r="AM9" i="27"/>
  <c r="AF6" i="17"/>
  <c r="AJ6" i="17" s="1"/>
  <c r="AK6" i="22"/>
  <c r="AO6" i="22" s="1"/>
  <c r="AM7" i="27"/>
  <c r="AO7" i="27"/>
  <c r="AK6" i="24"/>
  <c r="AM6" i="24" s="1"/>
  <c r="AG7" i="27"/>
  <c r="AO9" i="30"/>
  <c r="AJ7" i="27"/>
  <c r="AF25" i="21"/>
  <c r="AJ25" i="21" s="1"/>
  <c r="AN9" i="30"/>
  <c r="AK25" i="21"/>
  <c r="AO25" i="21" s="1"/>
  <c r="AR11" i="24"/>
  <c r="AI7" i="27"/>
  <c r="AL9" i="30"/>
  <c r="AM20" i="30"/>
  <c r="AH9" i="27"/>
  <c r="AQ11" i="24"/>
  <c r="AT9" i="21"/>
  <c r="AI11" i="17"/>
  <c r="AT20" i="30"/>
  <c r="AN7" i="27"/>
  <c r="AJ20" i="17"/>
  <c r="AS11" i="24"/>
  <c r="AL12" i="22"/>
  <c r="AQ7" i="22"/>
  <c r="AP6" i="24"/>
  <c r="AR6" i="24" s="1"/>
  <c r="AO11" i="17"/>
  <c r="AT7" i="17"/>
  <c r="AG7" i="24"/>
  <c r="AG20" i="17"/>
  <c r="AI7" i="22"/>
  <c r="AT20" i="22"/>
  <c r="AH11" i="27"/>
  <c r="AO7" i="17"/>
  <c r="AJ7" i="22"/>
  <c r="AT7" i="24"/>
  <c r="AS20" i="22"/>
  <c r="AF17" i="24"/>
  <c r="AH17" i="24" s="1"/>
  <c r="AK17" i="27"/>
  <c r="AO17" i="27" s="1"/>
  <c r="AL7" i="17"/>
  <c r="AQ7" i="17"/>
  <c r="AH7" i="22"/>
  <c r="AR7" i="24"/>
  <c r="AQ20" i="22"/>
  <c r="AH20" i="22"/>
  <c r="AH20" i="17"/>
  <c r="AR7" i="22"/>
  <c r="AM7" i="17"/>
  <c r="AT7" i="27"/>
  <c r="AQ7" i="27"/>
  <c r="AS7" i="24"/>
  <c r="AS11" i="22"/>
  <c r="AS7" i="22"/>
  <c r="AR20" i="21"/>
  <c r="AL20" i="17"/>
  <c r="AK16" i="27"/>
  <c r="AN16" i="27" s="1"/>
  <c r="AG20" i="30"/>
  <c r="AN12" i="24"/>
  <c r="AK21" i="21"/>
  <c r="AO21" i="21" s="1"/>
  <c r="AO20" i="17"/>
  <c r="AJ20" i="30"/>
  <c r="AN7" i="30"/>
  <c r="AM7" i="30"/>
  <c r="AO7" i="30"/>
  <c r="AL7" i="30"/>
  <c r="AN20" i="17"/>
  <c r="AL12" i="24"/>
  <c r="AR20" i="24"/>
  <c r="AJ9" i="27"/>
  <c r="AO12" i="24"/>
  <c r="AF16" i="17"/>
  <c r="AH16" i="17" s="1"/>
  <c r="AS20" i="24"/>
  <c r="AO20" i="21"/>
  <c r="AR11" i="27"/>
  <c r="AI12" i="27"/>
  <c r="AN12" i="27"/>
  <c r="AL11" i="21"/>
  <c r="AS12" i="27"/>
  <c r="AG11" i="21"/>
  <c r="AP15" i="30"/>
  <c r="AT15" i="30" s="1"/>
  <c r="AM6" i="30"/>
  <c r="AO9" i="27"/>
  <c r="AF6" i="24"/>
  <c r="AJ6" i="24" s="1"/>
  <c r="AH20" i="30"/>
  <c r="AF16" i="24"/>
  <c r="AJ16" i="24" s="1"/>
  <c r="AP16" i="27"/>
  <c r="AR16" i="27" s="1"/>
  <c r="AK15" i="21"/>
  <c r="AM15" i="21" s="1"/>
  <c r="AG20" i="21"/>
  <c r="AO12" i="27"/>
  <c r="AP16" i="22"/>
  <c r="AQ16" i="22" s="1"/>
  <c r="AQ20" i="17"/>
  <c r="AJ20" i="21"/>
  <c r="AL12" i="27"/>
  <c r="AI11" i="21"/>
  <c r="AP15" i="27"/>
  <c r="AT15" i="27" s="1"/>
  <c r="AQ11" i="27"/>
  <c r="AJ11" i="21"/>
  <c r="AF17" i="27"/>
  <c r="AI17" i="27" s="1"/>
  <c r="AK17" i="30"/>
  <c r="AL17" i="30" s="1"/>
  <c r="AI20" i="22"/>
  <c r="AR20" i="17"/>
  <c r="AG20" i="22"/>
  <c r="AJ9" i="30"/>
  <c r="AT9" i="24"/>
  <c r="AP17" i="27"/>
  <c r="AR17" i="27" s="1"/>
  <c r="AP17" i="24"/>
  <c r="AT17" i="24" s="1"/>
  <c r="AF16" i="22"/>
  <c r="AH16" i="22" s="1"/>
  <c r="AO11" i="21"/>
  <c r="AM12" i="22"/>
  <c r="AP16" i="30"/>
  <c r="AR16" i="30" s="1"/>
  <c r="AF15" i="22"/>
  <c r="AG15" i="22" s="1"/>
  <c r="AF17" i="30"/>
  <c r="AH17" i="30" s="1"/>
  <c r="AJ20" i="27"/>
  <c r="AG9" i="30"/>
  <c r="AL11" i="24"/>
  <c r="AM12" i="21"/>
  <c r="AN12" i="22"/>
  <c r="AF16" i="27"/>
  <c r="AG16" i="27" s="1"/>
  <c r="AS20" i="21"/>
  <c r="AT11" i="17"/>
  <c r="AG20" i="27"/>
  <c r="AK17" i="21"/>
  <c r="AM17" i="21" s="1"/>
  <c r="AM11" i="24"/>
  <c r="AG11" i="27"/>
  <c r="AO7" i="24"/>
  <c r="AM7" i="24"/>
  <c r="AL7" i="24"/>
  <c r="AN7" i="24"/>
  <c r="AL12" i="21"/>
  <c r="AH7" i="21"/>
  <c r="AJ7" i="21"/>
  <c r="AI7" i="21"/>
  <c r="AF16" i="30"/>
  <c r="AI16" i="30" s="1"/>
  <c r="AG11" i="24"/>
  <c r="AM20" i="27"/>
  <c r="AN11" i="21"/>
  <c r="AR12" i="21"/>
  <c r="AQ9" i="27"/>
  <c r="AK16" i="24"/>
  <c r="AO16" i="24" s="1"/>
  <c r="AF15" i="24"/>
  <c r="AJ15" i="24" s="1"/>
  <c r="AR11" i="17"/>
  <c r="AI9" i="27"/>
  <c r="AO20" i="27"/>
  <c r="AQ12" i="27"/>
  <c r="AT12" i="21"/>
  <c r="AF15" i="30"/>
  <c r="AJ15" i="30" s="1"/>
  <c r="AJ20" i="24"/>
  <c r="AK16" i="30"/>
  <c r="AN16" i="30" s="1"/>
  <c r="AS20" i="17"/>
  <c r="AT11" i="27"/>
  <c r="AJ12" i="27"/>
  <c r="AI20" i="24"/>
  <c r="AN20" i="21"/>
  <c r="AK17" i="22"/>
  <c r="AN17" i="22" s="1"/>
  <c r="AH20" i="27"/>
  <c r="AG12" i="27"/>
  <c r="AG12" i="17"/>
  <c r="AR12" i="27"/>
  <c r="AI11" i="27"/>
  <c r="AG11" i="30"/>
  <c r="AS9" i="17"/>
  <c r="AK16" i="17"/>
  <c r="AO16" i="17" s="1"/>
  <c r="AN7" i="22"/>
  <c r="AL7" i="22"/>
  <c r="AM7" i="22"/>
  <c r="AO7" i="22"/>
  <c r="AL20" i="21"/>
  <c r="AI20" i="21"/>
  <c r="AR9" i="17"/>
  <c r="AK21" i="17"/>
  <c r="AO21" i="17" s="1"/>
  <c r="AQ11" i="17"/>
  <c r="AP15" i="21"/>
  <c r="AR15" i="21" s="1"/>
  <c r="AP16" i="24"/>
  <c r="AQ16" i="24" s="1"/>
  <c r="AF16" i="21"/>
  <c r="AJ16" i="21" s="1"/>
  <c r="AK21" i="24"/>
  <c r="AO21" i="24" s="1"/>
  <c r="AJ12" i="30"/>
  <c r="AJ12" i="17"/>
  <c r="AT9" i="17"/>
  <c r="AK17" i="24"/>
  <c r="AO17" i="24" s="1"/>
  <c r="AF17" i="17"/>
  <c r="AG17" i="17" s="1"/>
  <c r="AA33" i="22"/>
  <c r="AP15" i="22"/>
  <c r="AR15" i="22" s="1"/>
  <c r="AF21" i="22"/>
  <c r="AI21" i="22" s="1"/>
  <c r="AP16" i="17"/>
  <c r="AQ16" i="17" s="1"/>
  <c r="AD34" i="21"/>
  <c r="AE34" i="21" s="1"/>
  <c r="AF34" i="21" s="1"/>
  <c r="AR11" i="22"/>
  <c r="Y33" i="24"/>
  <c r="Z33" i="24"/>
  <c r="AC33" i="24"/>
  <c r="T33" i="24"/>
  <c r="AB33" i="24"/>
  <c r="AR9" i="22"/>
  <c r="AP17" i="30"/>
  <c r="AT17" i="30" s="1"/>
  <c r="AP21" i="22"/>
  <c r="AR21" i="22" s="1"/>
  <c r="AD29" i="21"/>
  <c r="AE29" i="21" s="1"/>
  <c r="AF29" i="21" s="1"/>
  <c r="AD26" i="24"/>
  <c r="AE26" i="24" s="1"/>
  <c r="AF26" i="24" s="1"/>
  <c r="AG11" i="17"/>
  <c r="AH20" i="24"/>
  <c r="AQ20" i="30"/>
  <c r="AH11" i="30"/>
  <c r="AT11" i="22"/>
  <c r="AS7" i="21"/>
  <c r="AR7" i="21"/>
  <c r="AQ7" i="21"/>
  <c r="AT7" i="21"/>
  <c r="AB33" i="22"/>
  <c r="AC33" i="22"/>
  <c r="Z33" i="22"/>
  <c r="Y33" i="22"/>
  <c r="T33" i="22"/>
  <c r="AD33" i="22" s="1"/>
  <c r="AE33" i="22" s="1"/>
  <c r="AA33" i="24"/>
  <c r="V33" i="24"/>
  <c r="AD35" i="17"/>
  <c r="AE35" i="17" s="1"/>
  <c r="AF35" i="17" s="1"/>
  <c r="AJ11" i="24"/>
  <c r="AK15" i="30"/>
  <c r="AO15" i="30" s="1"/>
  <c r="AK21" i="30"/>
  <c r="AO21" i="30" s="1"/>
  <c r="AS20" i="30"/>
  <c r="AI11" i="30"/>
  <c r="AC33" i="30"/>
  <c r="AB33" i="30"/>
  <c r="T33" i="30"/>
  <c r="Z33" i="30"/>
  <c r="Y33" i="30"/>
  <c r="V33" i="30"/>
  <c r="AA33" i="30"/>
  <c r="AK15" i="17"/>
  <c r="AL15" i="17" s="1"/>
  <c r="AF21" i="27"/>
  <c r="AI21" i="27" s="1"/>
  <c r="AI9" i="22"/>
  <c r="Z33" i="27"/>
  <c r="Y33" i="27"/>
  <c r="AC33" i="27"/>
  <c r="T33" i="27"/>
  <c r="AB33" i="27"/>
  <c r="AH11" i="24"/>
  <c r="AJ9" i="22"/>
  <c r="AR9" i="24"/>
  <c r="AG6" i="30"/>
  <c r="AN7" i="21"/>
  <c r="AO7" i="21"/>
  <c r="AM7" i="21"/>
  <c r="AL7" i="21"/>
  <c r="V33" i="21"/>
  <c r="AA33" i="21"/>
  <c r="AK16" i="21"/>
  <c r="AN16" i="21" s="1"/>
  <c r="AP21" i="24"/>
  <c r="AS21" i="24" s="1"/>
  <c r="AP15" i="17"/>
  <c r="AS15" i="17" s="1"/>
  <c r="AD35" i="27"/>
  <c r="AE35" i="27" s="1"/>
  <c r="AF35" i="27" s="1"/>
  <c r="AK17" i="17"/>
  <c r="AL17" i="17" s="1"/>
  <c r="AS9" i="24"/>
  <c r="AJ6" i="30"/>
  <c r="AN20" i="27"/>
  <c r="AH12" i="17"/>
  <c r="AN11" i="24"/>
  <c r="AS12" i="21"/>
  <c r="AA33" i="17"/>
  <c r="V33" i="17"/>
  <c r="AD33" i="17" s="1"/>
  <c r="AE33" i="17" s="1"/>
  <c r="Y33" i="21"/>
  <c r="AC33" i="21"/>
  <c r="T33" i="21"/>
  <c r="Z33" i="21"/>
  <c r="AB33" i="21"/>
  <c r="AK15" i="27"/>
  <c r="AM15" i="27" s="1"/>
  <c r="AT9" i="22"/>
  <c r="AI6" i="30"/>
  <c r="V33" i="27"/>
  <c r="AA33" i="27"/>
  <c r="AF15" i="21"/>
  <c r="AJ15" i="21" s="1"/>
  <c r="AP17" i="17"/>
  <c r="AS17" i="17" s="1"/>
  <c r="AP17" i="21"/>
  <c r="AQ17" i="21" s="1"/>
  <c r="AF21" i="24"/>
  <c r="AH21" i="24" s="1"/>
  <c r="AT20" i="21"/>
  <c r="AH9" i="22"/>
  <c r="AN12" i="21"/>
  <c r="AP16" i="21"/>
  <c r="AR16" i="21" s="1"/>
  <c r="AF15" i="17"/>
  <c r="AH15" i="17" s="1"/>
  <c r="AK15" i="24"/>
  <c r="AO15" i="24" s="1"/>
  <c r="AD26" i="21"/>
  <c r="AE26" i="21" s="1"/>
  <c r="AP26" i="21" s="1"/>
  <c r="AK16" i="22"/>
  <c r="AO16" i="22" s="1"/>
  <c r="Z33" i="17"/>
  <c r="AB33" i="17"/>
  <c r="AC33" i="17"/>
  <c r="Y33" i="17"/>
  <c r="T38" i="17"/>
  <c r="Y38" i="17"/>
  <c r="V32" i="22"/>
  <c r="AA32" i="22"/>
  <c r="U30" i="30"/>
  <c r="Z30" i="30"/>
  <c r="AD34" i="17"/>
  <c r="AE34" i="17" s="1"/>
  <c r="AF25" i="24"/>
  <c r="AK25" i="24"/>
  <c r="AP25" i="24"/>
  <c r="AA38" i="21"/>
  <c r="V38" i="21"/>
  <c r="T31" i="30"/>
  <c r="Y31" i="30"/>
  <c r="U39" i="22"/>
  <c r="Z39" i="22"/>
  <c r="V32" i="21"/>
  <c r="AA32" i="21"/>
  <c r="W32" i="22"/>
  <c r="AB32" i="22"/>
  <c r="V28" i="22"/>
  <c r="AA28" i="22"/>
  <c r="AN9" i="21"/>
  <c r="AT11" i="30"/>
  <c r="AR11" i="30"/>
  <c r="AQ11" i="30"/>
  <c r="AS11" i="30"/>
  <c r="Y27" i="24"/>
  <c r="T27" i="24"/>
  <c r="AB27" i="17"/>
  <c r="W27" i="17"/>
  <c r="AA38" i="22"/>
  <c r="V38" i="22"/>
  <c r="T31" i="27"/>
  <c r="Y31" i="27"/>
  <c r="Y30" i="17"/>
  <c r="T30" i="17"/>
  <c r="X27" i="22"/>
  <c r="AC27" i="22"/>
  <c r="T38" i="21"/>
  <c r="Y38" i="21"/>
  <c r="AP25" i="17"/>
  <c r="AF25" i="17"/>
  <c r="AK25" i="17"/>
  <c r="AB31" i="17"/>
  <c r="W31" i="17"/>
  <c r="Y32" i="27"/>
  <c r="T32" i="27"/>
  <c r="AC28" i="24"/>
  <c r="AK24" i="24"/>
  <c r="AP24" i="24"/>
  <c r="AF24" i="24"/>
  <c r="AD35" i="24"/>
  <c r="AE35" i="24" s="1"/>
  <c r="AF17" i="22"/>
  <c r="Z30" i="17"/>
  <c r="U30" i="17"/>
  <c r="AD29" i="27"/>
  <c r="AE29" i="27" s="1"/>
  <c r="AS12" i="22"/>
  <c r="AQ12" i="22"/>
  <c r="AS11" i="21"/>
  <c r="AT11" i="21"/>
  <c r="AQ11" i="21"/>
  <c r="AR11" i="21"/>
  <c r="W32" i="27"/>
  <c r="AB32" i="27"/>
  <c r="AF24" i="21"/>
  <c r="AP24" i="21"/>
  <c r="AK24" i="21"/>
  <c r="AA28" i="27"/>
  <c r="V28" i="27"/>
  <c r="AC32" i="21"/>
  <c r="X32" i="21"/>
  <c r="V39" i="30"/>
  <c r="AA39" i="30"/>
  <c r="AA30" i="27"/>
  <c r="V30" i="27"/>
  <c r="AC31" i="21"/>
  <c r="X31" i="21"/>
  <c r="AF17" i="21"/>
  <c r="AB30" i="21"/>
  <c r="W30" i="21"/>
  <c r="U31" i="24"/>
  <c r="Z31" i="24"/>
  <c r="V31" i="21"/>
  <c r="AA31" i="21"/>
  <c r="AP21" i="27"/>
  <c r="W38" i="24"/>
  <c r="AB38" i="24"/>
  <c r="T27" i="22"/>
  <c r="Y27" i="22"/>
  <c r="AH12" i="21"/>
  <c r="AG12" i="21"/>
  <c r="AJ12" i="21"/>
  <c r="AI12" i="21"/>
  <c r="AB27" i="27"/>
  <c r="W27" i="27"/>
  <c r="T28" i="24"/>
  <c r="Y28" i="24"/>
  <c r="AP21" i="30"/>
  <c r="AC38" i="21"/>
  <c r="X38" i="21"/>
  <c r="Y31" i="17"/>
  <c r="T31" i="17"/>
  <c r="V27" i="17"/>
  <c r="AA27" i="17"/>
  <c r="X30" i="17"/>
  <c r="AC30" i="17"/>
  <c r="X39" i="30"/>
  <c r="AC39" i="30"/>
  <c r="T39" i="22"/>
  <c r="Y39" i="22"/>
  <c r="AB39" i="30"/>
  <c r="W39" i="30"/>
  <c r="W28" i="21"/>
  <c r="AB28" i="21"/>
  <c r="AC27" i="24"/>
  <c r="X27" i="24"/>
  <c r="Y38" i="24"/>
  <c r="T38" i="24"/>
  <c r="W31" i="24"/>
  <c r="AB31" i="24"/>
  <c r="AA32" i="30"/>
  <c r="V32" i="30"/>
  <c r="AC28" i="30"/>
  <c r="X28" i="30"/>
  <c r="AK25" i="22"/>
  <c r="AP25" i="22"/>
  <c r="AF25" i="22"/>
  <c r="AP17" i="22"/>
  <c r="U30" i="24"/>
  <c r="Z30" i="24"/>
  <c r="AO12" i="17"/>
  <c r="AN12" i="17"/>
  <c r="AL12" i="17"/>
  <c r="AM12" i="17"/>
  <c r="AD34" i="27"/>
  <c r="AE34" i="27" s="1"/>
  <c r="Z38" i="22"/>
  <c r="U38" i="22"/>
  <c r="X32" i="24"/>
  <c r="AC32" i="24"/>
  <c r="V39" i="27"/>
  <c r="AA39" i="27"/>
  <c r="AC31" i="24"/>
  <c r="X31" i="24"/>
  <c r="AD29" i="17"/>
  <c r="AE29" i="17" s="1"/>
  <c r="W30" i="17"/>
  <c r="AB30" i="17"/>
  <c r="U31" i="27"/>
  <c r="Z31" i="27"/>
  <c r="AA31" i="22"/>
  <c r="V31" i="22"/>
  <c r="AK21" i="27"/>
  <c r="W38" i="30"/>
  <c r="AB38" i="30"/>
  <c r="T27" i="17"/>
  <c r="Y27" i="17"/>
  <c r="Y28" i="17"/>
  <c r="T28" i="17"/>
  <c r="AF21" i="30"/>
  <c r="U27" i="21"/>
  <c r="Z27" i="21"/>
  <c r="X38" i="22"/>
  <c r="AC38" i="22"/>
  <c r="T31" i="22"/>
  <c r="Y31" i="22"/>
  <c r="V27" i="21"/>
  <c r="AA27" i="21"/>
  <c r="AC30" i="24"/>
  <c r="X30" i="24"/>
  <c r="AC39" i="27"/>
  <c r="X39" i="27"/>
  <c r="T39" i="24"/>
  <c r="Y39" i="24"/>
  <c r="AB39" i="27"/>
  <c r="W39" i="27"/>
  <c r="AB28" i="22"/>
  <c r="T30" i="22"/>
  <c r="Y30" i="22"/>
  <c r="Z38" i="21"/>
  <c r="U38" i="21"/>
  <c r="X31" i="17"/>
  <c r="AC31" i="17"/>
  <c r="AN9" i="17"/>
  <c r="AO9" i="17"/>
  <c r="AM9" i="17"/>
  <c r="AL9" i="17"/>
  <c r="T27" i="21"/>
  <c r="Y27" i="21"/>
  <c r="Y28" i="30"/>
  <c r="T28" i="30"/>
  <c r="X38" i="24"/>
  <c r="AC38" i="24"/>
  <c r="T39" i="30"/>
  <c r="Y39" i="30"/>
  <c r="Y38" i="30"/>
  <c r="T38" i="30"/>
  <c r="Y32" i="21"/>
  <c r="T32" i="21"/>
  <c r="AG12" i="22"/>
  <c r="AJ12" i="22"/>
  <c r="AH12" i="22"/>
  <c r="AI12" i="22"/>
  <c r="X31" i="30"/>
  <c r="AC31" i="30"/>
  <c r="AB30" i="30"/>
  <c r="W30" i="30"/>
  <c r="U28" i="22"/>
  <c r="Z28" i="22"/>
  <c r="X38" i="17"/>
  <c r="AC38" i="17"/>
  <c r="T39" i="27"/>
  <c r="Y39" i="27"/>
  <c r="U39" i="21"/>
  <c r="Z39" i="21"/>
  <c r="T32" i="22"/>
  <c r="Y32" i="22"/>
  <c r="AP24" i="17"/>
  <c r="AF24" i="17"/>
  <c r="AK24" i="17"/>
  <c r="W32" i="21"/>
  <c r="AB32" i="21"/>
  <c r="V39" i="17"/>
  <c r="AA39" i="17"/>
  <c r="AA30" i="21"/>
  <c r="V30" i="21"/>
  <c r="W30" i="27"/>
  <c r="AB30" i="27"/>
  <c r="U31" i="17"/>
  <c r="Z31" i="17"/>
  <c r="Z28" i="17"/>
  <c r="U27" i="17"/>
  <c r="Z27" i="17"/>
  <c r="AA27" i="27"/>
  <c r="V27" i="27"/>
  <c r="Z32" i="17"/>
  <c r="U32" i="17"/>
  <c r="AF15" i="27"/>
  <c r="AD26" i="17"/>
  <c r="AE26" i="17" s="1"/>
  <c r="T30" i="24"/>
  <c r="Y30" i="24"/>
  <c r="Y32" i="17"/>
  <c r="T32" i="17"/>
  <c r="V32" i="24"/>
  <c r="AA32" i="24"/>
  <c r="X28" i="22"/>
  <c r="AC28" i="22"/>
  <c r="AD29" i="24"/>
  <c r="AE29" i="24" s="1"/>
  <c r="AP15" i="24"/>
  <c r="AB32" i="17"/>
  <c r="W32" i="17"/>
  <c r="V28" i="17"/>
  <c r="AA28" i="17"/>
  <c r="U38" i="30"/>
  <c r="Z38" i="30"/>
  <c r="AC32" i="27"/>
  <c r="X32" i="27"/>
  <c r="AD37" i="27"/>
  <c r="AE37" i="27" s="1"/>
  <c r="AA39" i="21"/>
  <c r="V39" i="21"/>
  <c r="AA30" i="22"/>
  <c r="V30" i="22"/>
  <c r="AP21" i="21"/>
  <c r="AL11" i="30"/>
  <c r="AN11" i="30"/>
  <c r="AO11" i="30"/>
  <c r="AM11" i="30"/>
  <c r="AD29" i="22"/>
  <c r="AE29" i="22" s="1"/>
  <c r="AD26" i="27"/>
  <c r="AE26" i="27" s="1"/>
  <c r="U31" i="21"/>
  <c r="Z31" i="21"/>
  <c r="AP25" i="27"/>
  <c r="AK25" i="27"/>
  <c r="AF25" i="27"/>
  <c r="V31" i="27"/>
  <c r="AA31" i="27"/>
  <c r="AL11" i="27"/>
  <c r="AN11" i="27"/>
  <c r="AO11" i="27"/>
  <c r="AM11" i="27"/>
  <c r="AB38" i="21"/>
  <c r="W38" i="21"/>
  <c r="T27" i="27"/>
  <c r="Y27" i="27"/>
  <c r="W27" i="22"/>
  <c r="AB27" i="22"/>
  <c r="Z28" i="24"/>
  <c r="U28" i="24"/>
  <c r="AD34" i="24"/>
  <c r="AE34" i="24" s="1"/>
  <c r="Z27" i="24"/>
  <c r="U27" i="24"/>
  <c r="AA38" i="17"/>
  <c r="V38" i="17"/>
  <c r="AC38" i="27"/>
  <c r="X38" i="27"/>
  <c r="V27" i="30"/>
  <c r="AA27" i="30"/>
  <c r="AC39" i="22"/>
  <c r="X39" i="22"/>
  <c r="AB39" i="21"/>
  <c r="W39" i="21"/>
  <c r="U32" i="22"/>
  <c r="Z32" i="22"/>
  <c r="AB28" i="30"/>
  <c r="Z39" i="24"/>
  <c r="U39" i="24"/>
  <c r="AB31" i="30"/>
  <c r="W31" i="30"/>
  <c r="AF21" i="17"/>
  <c r="AC32" i="22"/>
  <c r="X32" i="22"/>
  <c r="AB38" i="27"/>
  <c r="W38" i="27"/>
  <c r="Z28" i="21"/>
  <c r="AA27" i="22"/>
  <c r="V27" i="22"/>
  <c r="U32" i="24"/>
  <c r="Z32" i="24"/>
  <c r="X27" i="27"/>
  <c r="AC27" i="27"/>
  <c r="AB31" i="27"/>
  <c r="W31" i="27"/>
  <c r="U38" i="24"/>
  <c r="Z38" i="24"/>
  <c r="AS24" i="30"/>
  <c r="AQ24" i="30"/>
  <c r="AR24" i="30"/>
  <c r="AT24" i="30"/>
  <c r="Z27" i="30"/>
  <c r="U27" i="30"/>
  <c r="AC30" i="27"/>
  <c r="X30" i="27"/>
  <c r="AB28" i="24"/>
  <c r="T38" i="27"/>
  <c r="Y38" i="27"/>
  <c r="AA32" i="17"/>
  <c r="V32" i="17"/>
  <c r="AD26" i="30"/>
  <c r="AE26" i="30" s="1"/>
  <c r="AA28" i="21"/>
  <c r="V28" i="21"/>
  <c r="Z38" i="17"/>
  <c r="U38" i="17"/>
  <c r="AD29" i="30"/>
  <c r="AE29" i="30" s="1"/>
  <c r="AD34" i="30"/>
  <c r="AE34" i="30" s="1"/>
  <c r="X31" i="27"/>
  <c r="AC31" i="27"/>
  <c r="AR12" i="30"/>
  <c r="AD35" i="22"/>
  <c r="AE35" i="22" s="1"/>
  <c r="AB27" i="21"/>
  <c r="W27" i="21"/>
  <c r="AC38" i="30"/>
  <c r="X38" i="30"/>
  <c r="AC39" i="21"/>
  <c r="X39" i="21"/>
  <c r="AB28" i="27"/>
  <c r="AC27" i="21"/>
  <c r="X27" i="21"/>
  <c r="Y30" i="30"/>
  <c r="T30" i="30"/>
  <c r="AB31" i="21"/>
  <c r="W31" i="21"/>
  <c r="T32" i="24"/>
  <c r="Y32" i="24"/>
  <c r="V32" i="27"/>
  <c r="AA32" i="27"/>
  <c r="AC28" i="21"/>
  <c r="X28" i="21"/>
  <c r="AK15" i="22"/>
  <c r="U30" i="21"/>
  <c r="Z30" i="21"/>
  <c r="W32" i="24"/>
  <c r="AB32" i="24"/>
  <c r="AA28" i="24"/>
  <c r="V28" i="24"/>
  <c r="U38" i="27"/>
  <c r="Z38" i="27"/>
  <c r="AR25" i="21"/>
  <c r="AT25" i="21"/>
  <c r="AS25" i="21"/>
  <c r="AQ25" i="21"/>
  <c r="V39" i="22"/>
  <c r="AA39" i="22"/>
  <c r="AP24" i="27"/>
  <c r="AF24" i="27"/>
  <c r="AK24" i="27"/>
  <c r="AR6" i="30"/>
  <c r="AS6" i="30"/>
  <c r="AQ6" i="30"/>
  <c r="AT6" i="30"/>
  <c r="V30" i="24"/>
  <c r="AA30" i="24"/>
  <c r="AF21" i="21"/>
  <c r="AQ20" i="27"/>
  <c r="AT20" i="27"/>
  <c r="AS20" i="27"/>
  <c r="AR20" i="27"/>
  <c r="AK21" i="22"/>
  <c r="AD34" i="22"/>
  <c r="AE34" i="22" s="1"/>
  <c r="Z31" i="22"/>
  <c r="U31" i="22"/>
  <c r="W38" i="22"/>
  <c r="AB38" i="22"/>
  <c r="AB27" i="24"/>
  <c r="W27" i="24"/>
  <c r="T28" i="21"/>
  <c r="Y28" i="21"/>
  <c r="Z28" i="30"/>
  <c r="U28" i="30"/>
  <c r="AH9" i="17"/>
  <c r="AI9" i="17"/>
  <c r="AG9" i="17"/>
  <c r="AJ9" i="17"/>
  <c r="Z27" i="27"/>
  <c r="U27" i="27"/>
  <c r="AA38" i="30"/>
  <c r="V38" i="30"/>
  <c r="T31" i="24"/>
  <c r="Y31" i="24"/>
  <c r="AC30" i="22"/>
  <c r="X30" i="22"/>
  <c r="X39" i="17"/>
  <c r="AC39" i="17"/>
  <c r="Y39" i="17"/>
  <c r="T39" i="17"/>
  <c r="AB39" i="22"/>
  <c r="W39" i="22"/>
  <c r="U32" i="30"/>
  <c r="Z32" i="30"/>
  <c r="Z39" i="30"/>
  <c r="U39" i="30"/>
  <c r="X27" i="30"/>
  <c r="AC27" i="30"/>
  <c r="AC28" i="27"/>
  <c r="AB30" i="24"/>
  <c r="W30" i="24"/>
  <c r="AA31" i="17"/>
  <c r="V31" i="17"/>
  <c r="Z27" i="22"/>
  <c r="U27" i="22"/>
  <c r="AC30" i="30"/>
  <c r="X30" i="30"/>
  <c r="W28" i="17"/>
  <c r="AB28" i="17"/>
  <c r="T30" i="21"/>
  <c r="Y30" i="21"/>
  <c r="U30" i="27"/>
  <c r="Z30" i="27"/>
  <c r="AP21" i="17"/>
  <c r="AC32" i="17"/>
  <c r="X32" i="17"/>
  <c r="AA30" i="17"/>
  <c r="V30" i="17"/>
  <c r="V31" i="24"/>
  <c r="AA31" i="24"/>
  <c r="Y28" i="27"/>
  <c r="V27" i="24"/>
  <c r="AA27" i="24"/>
  <c r="Z32" i="21"/>
  <c r="U32" i="21"/>
  <c r="AC32" i="30"/>
  <c r="X32" i="30"/>
  <c r="AD35" i="30"/>
  <c r="AE35" i="30" s="1"/>
  <c r="V31" i="30"/>
  <c r="AA31" i="30"/>
  <c r="Y27" i="30"/>
  <c r="T27" i="30"/>
  <c r="AD35" i="21"/>
  <c r="AE35" i="21" s="1"/>
  <c r="AA38" i="24"/>
  <c r="V38" i="24"/>
  <c r="W39" i="17"/>
  <c r="AB39" i="17"/>
  <c r="U39" i="17"/>
  <c r="Z39" i="17"/>
  <c r="AC27" i="17"/>
  <c r="X27" i="17"/>
  <c r="T38" i="22"/>
  <c r="Y38" i="22"/>
  <c r="Y30" i="27"/>
  <c r="T30" i="27"/>
  <c r="AB31" i="22"/>
  <c r="W31" i="22"/>
  <c r="Y32" i="30"/>
  <c r="T32" i="30"/>
  <c r="AC28" i="17"/>
  <c r="AD26" i="22"/>
  <c r="AE26" i="22" s="1"/>
  <c r="U30" i="22"/>
  <c r="Z30" i="22"/>
  <c r="W32" i="30"/>
  <c r="AB32" i="30"/>
  <c r="AK24" i="22"/>
  <c r="AP24" i="22"/>
  <c r="AF24" i="22"/>
  <c r="AA28" i="30"/>
  <c r="V28" i="30"/>
  <c r="AA39" i="24"/>
  <c r="V39" i="24"/>
  <c r="AG11" i="22"/>
  <c r="AH11" i="22"/>
  <c r="AJ11" i="22"/>
  <c r="AI11" i="22"/>
  <c r="AA30" i="30"/>
  <c r="V30" i="30"/>
  <c r="AC31" i="22"/>
  <c r="X31" i="22"/>
  <c r="AL20" i="24"/>
  <c r="AN20" i="24"/>
  <c r="AO20" i="24"/>
  <c r="AM20" i="24"/>
  <c r="AB30" i="22"/>
  <c r="W30" i="22"/>
  <c r="Z31" i="30"/>
  <c r="U31" i="30"/>
  <c r="AF25" i="30"/>
  <c r="AK25" i="30"/>
  <c r="AP25" i="30"/>
  <c r="W38" i="17"/>
  <c r="AB38" i="17"/>
  <c r="AR12" i="17"/>
  <c r="AS12" i="17"/>
  <c r="AT12" i="17"/>
  <c r="AQ12" i="17"/>
  <c r="AB27" i="30"/>
  <c r="W27" i="30"/>
  <c r="Y28" i="22"/>
  <c r="U28" i="27"/>
  <c r="Z28" i="27"/>
  <c r="AA38" i="27"/>
  <c r="V38" i="27"/>
  <c r="T31" i="21"/>
  <c r="Y31" i="21"/>
  <c r="AC30" i="21"/>
  <c r="X30" i="21"/>
  <c r="X39" i="24"/>
  <c r="AC39" i="24"/>
  <c r="Y39" i="21"/>
  <c r="T39" i="21"/>
  <c r="AB39" i="24"/>
  <c r="W39" i="24"/>
  <c r="U32" i="27"/>
  <c r="Z32" i="27"/>
  <c r="U39" i="27"/>
  <c r="Z39" i="27"/>
  <c r="U28" i="21" l="1"/>
  <c r="AQ12" i="30"/>
  <c r="X36" i="27"/>
  <c r="AF8" i="22"/>
  <c r="AP8" i="22"/>
  <c r="AK8" i="22"/>
  <c r="AT12" i="30"/>
  <c r="AS9" i="22"/>
  <c r="AH12" i="30"/>
  <c r="AL19" i="27"/>
  <c r="AB18" i="27"/>
  <c r="AC10" i="24"/>
  <c r="AP10" i="24" s="1"/>
  <c r="AD37" i="22"/>
  <c r="AE37" i="22" s="1"/>
  <c r="AF37" i="22" s="1"/>
  <c r="Z18" i="24"/>
  <c r="AP18" i="24" s="1"/>
  <c r="AI14" i="24"/>
  <c r="AF8" i="27"/>
  <c r="AK8" i="27"/>
  <c r="AP8" i="27"/>
  <c r="AK8" i="17"/>
  <c r="AF8" i="17"/>
  <c r="AP8" i="17"/>
  <c r="AQ12" i="24"/>
  <c r="AL9" i="27"/>
  <c r="AP13" i="27"/>
  <c r="AQ13" i="27" s="1"/>
  <c r="AM19" i="27"/>
  <c r="AP8" i="30"/>
  <c r="AF8" i="30"/>
  <c r="AK8" i="30"/>
  <c r="AF8" i="21"/>
  <c r="AP8" i="21"/>
  <c r="AK8" i="21"/>
  <c r="AP10" i="21"/>
  <c r="AQ10" i="21" s="1"/>
  <c r="Z10" i="17"/>
  <c r="AK8" i="24"/>
  <c r="AP8" i="24"/>
  <c r="AF8" i="24"/>
  <c r="AQ9" i="21"/>
  <c r="AL9" i="22"/>
  <c r="AP13" i="30"/>
  <c r="AH14" i="24"/>
  <c r="AA10" i="22"/>
  <c r="AC10" i="22"/>
  <c r="T28" i="22"/>
  <c r="AT12" i="22"/>
  <c r="AM9" i="21"/>
  <c r="AR9" i="27"/>
  <c r="AG14" i="24"/>
  <c r="AR19" i="17"/>
  <c r="AC10" i="27"/>
  <c r="AJ12" i="24"/>
  <c r="AK13" i="22"/>
  <c r="AM13" i="22" s="1"/>
  <c r="AM14" i="17"/>
  <c r="AN9" i="22"/>
  <c r="AH12" i="24"/>
  <c r="AM9" i="22"/>
  <c r="Z10" i="27"/>
  <c r="AF10" i="27" s="1"/>
  <c r="AB10" i="22"/>
  <c r="AL14" i="17"/>
  <c r="AA10" i="30"/>
  <c r="AK10" i="30" s="1"/>
  <c r="X28" i="17"/>
  <c r="AD28" i="17" s="1"/>
  <c r="AE28" i="17" s="1"/>
  <c r="AO9" i="21"/>
  <c r="AG12" i="24"/>
  <c r="AT9" i="27"/>
  <c r="AK13" i="27"/>
  <c r="AO13" i="27" s="1"/>
  <c r="T28" i="27"/>
  <c r="AS12" i="24"/>
  <c r="AK13" i="21"/>
  <c r="AM13" i="21" s="1"/>
  <c r="AT12" i="24"/>
  <c r="AF13" i="17"/>
  <c r="AJ13" i="17" s="1"/>
  <c r="AB10" i="27"/>
  <c r="AA10" i="27"/>
  <c r="AN12" i="30"/>
  <c r="AL12" i="30"/>
  <c r="AM12" i="30"/>
  <c r="AG9" i="24"/>
  <c r="AI9" i="24"/>
  <c r="AI14" i="21"/>
  <c r="AH9" i="24"/>
  <c r="AD37" i="30"/>
  <c r="AE37" i="30" s="1"/>
  <c r="AP37" i="30" s="1"/>
  <c r="AD37" i="21"/>
  <c r="AE37" i="21" s="1"/>
  <c r="AF37" i="21" s="1"/>
  <c r="AH9" i="21"/>
  <c r="AI9" i="21"/>
  <c r="AH19" i="30"/>
  <c r="AJ9" i="21"/>
  <c r="AF13" i="22"/>
  <c r="AG13" i="22" s="1"/>
  <c r="AF13" i="21"/>
  <c r="AG13" i="21" s="1"/>
  <c r="AK10" i="21"/>
  <c r="AO10" i="21" s="1"/>
  <c r="AP13" i="24"/>
  <c r="AR13" i="24" s="1"/>
  <c r="AT14" i="24"/>
  <c r="AI12" i="30"/>
  <c r="AP13" i="22"/>
  <c r="AR13" i="22" s="1"/>
  <c r="W36" i="24"/>
  <c r="AK13" i="17"/>
  <c r="AO13" i="17" s="1"/>
  <c r="AR14" i="24"/>
  <c r="AG19" i="30"/>
  <c r="AF10" i="17"/>
  <c r="AJ10" i="17" s="1"/>
  <c r="AO14" i="30"/>
  <c r="AM14" i="30"/>
  <c r="AN14" i="30"/>
  <c r="AL14" i="30"/>
  <c r="W28" i="24"/>
  <c r="AD28" i="24" s="1"/>
  <c r="AE28" i="24" s="1"/>
  <c r="AP13" i="21"/>
  <c r="AR13" i="21" s="1"/>
  <c r="AQ14" i="24"/>
  <c r="AJ19" i="30"/>
  <c r="AT19" i="17"/>
  <c r="AF13" i="27"/>
  <c r="AH13" i="27" s="1"/>
  <c r="AJ13" i="21"/>
  <c r="AH10" i="17"/>
  <c r="AG10" i="17"/>
  <c r="AI10" i="17"/>
  <c r="AQ13" i="30"/>
  <c r="AS13" i="30"/>
  <c r="AT13" i="30"/>
  <c r="AR13" i="30"/>
  <c r="AQ13" i="24"/>
  <c r="AS13" i="24"/>
  <c r="AR13" i="27"/>
  <c r="AT13" i="27"/>
  <c r="AS13" i="27"/>
  <c r="AI19" i="21"/>
  <c r="AH19" i="21"/>
  <c r="AJ19" i="21"/>
  <c r="AG19" i="21"/>
  <c r="AT14" i="27"/>
  <c r="AS14" i="27"/>
  <c r="AR14" i="27"/>
  <c r="AQ14" i="27"/>
  <c r="AL9" i="24"/>
  <c r="AI19" i="27"/>
  <c r="AJ19" i="27"/>
  <c r="AG19" i="27"/>
  <c r="AH19" i="27"/>
  <c r="V36" i="22"/>
  <c r="AD36" i="22" s="1"/>
  <c r="AE36" i="22" s="1"/>
  <c r="AA18" i="22"/>
  <c r="AF18" i="22" s="1"/>
  <c r="AH19" i="24"/>
  <c r="AG19" i="24"/>
  <c r="AI19" i="24"/>
  <c r="AJ19" i="24"/>
  <c r="AM19" i="30"/>
  <c r="AN19" i="30"/>
  <c r="AO19" i="30"/>
  <c r="AL19" i="30"/>
  <c r="W28" i="27"/>
  <c r="AM19" i="21"/>
  <c r="AN19" i="21"/>
  <c r="AO19" i="21"/>
  <c r="AL19" i="21"/>
  <c r="AR14" i="17"/>
  <c r="AQ14" i="17"/>
  <c r="AS14" i="17"/>
  <c r="AT14" i="17"/>
  <c r="AF13" i="24"/>
  <c r="AO14" i="27"/>
  <c r="AN14" i="27"/>
  <c r="AL14" i="27"/>
  <c r="AM14" i="27"/>
  <c r="AT19" i="22"/>
  <c r="AR19" i="22"/>
  <c r="AQ19" i="22"/>
  <c r="AS19" i="22"/>
  <c r="AF10" i="24"/>
  <c r="AT19" i="21"/>
  <c r="AR19" i="21"/>
  <c r="AQ19" i="21"/>
  <c r="AS19" i="21"/>
  <c r="AJ14" i="17"/>
  <c r="AI14" i="17"/>
  <c r="AG14" i="17"/>
  <c r="AH14" i="17"/>
  <c r="AM14" i="21"/>
  <c r="AL14" i="21"/>
  <c r="AN14" i="21"/>
  <c r="AO14" i="21"/>
  <c r="AK13" i="24"/>
  <c r="AI14" i="27"/>
  <c r="AG14" i="27"/>
  <c r="AJ14" i="27"/>
  <c r="AH14" i="27"/>
  <c r="AF10" i="21"/>
  <c r="AS10" i="21"/>
  <c r="AI14" i="30"/>
  <c r="AJ14" i="30"/>
  <c r="AH14" i="30"/>
  <c r="AG14" i="30"/>
  <c r="AA18" i="17"/>
  <c r="AF18" i="17" s="1"/>
  <c r="V36" i="17"/>
  <c r="AD36" i="17" s="1"/>
  <c r="AE36" i="17" s="1"/>
  <c r="AS14" i="22"/>
  <c r="AT14" i="22"/>
  <c r="AQ14" i="22"/>
  <c r="AR14" i="22"/>
  <c r="AQ14" i="21"/>
  <c r="AT14" i="21"/>
  <c r="AS14" i="21"/>
  <c r="AR14" i="21"/>
  <c r="AF13" i="30"/>
  <c r="AA18" i="21"/>
  <c r="AP18" i="21" s="1"/>
  <c r="V36" i="21"/>
  <c r="AD36" i="21" s="1"/>
  <c r="AE36" i="21" s="1"/>
  <c r="AO19" i="24"/>
  <c r="AM19" i="24"/>
  <c r="AN19" i="24"/>
  <c r="AL19" i="24"/>
  <c r="AO19" i="17"/>
  <c r="AN19" i="17"/>
  <c r="AM19" i="17"/>
  <c r="AL19" i="17"/>
  <c r="AR19" i="27"/>
  <c r="AQ19" i="27"/>
  <c r="AT19" i="27"/>
  <c r="AS19" i="27"/>
  <c r="AG14" i="22"/>
  <c r="AH14" i="22"/>
  <c r="AI14" i="22"/>
  <c r="AJ14" i="22"/>
  <c r="AL13" i="27"/>
  <c r="AO9" i="24"/>
  <c r="V36" i="30"/>
  <c r="AD36" i="30" s="1"/>
  <c r="AE36" i="30" s="1"/>
  <c r="AA18" i="30"/>
  <c r="AK18" i="30" s="1"/>
  <c r="AR19" i="24"/>
  <c r="AQ19" i="24"/>
  <c r="AS19" i="24"/>
  <c r="AT19" i="24"/>
  <c r="AT19" i="30"/>
  <c r="AQ19" i="30"/>
  <c r="AR19" i="30"/>
  <c r="AS19" i="30"/>
  <c r="AM14" i="22"/>
  <c r="AN14" i="22"/>
  <c r="AL14" i="22"/>
  <c r="AO14" i="22"/>
  <c r="AH19" i="17"/>
  <c r="AJ19" i="17"/>
  <c r="AI19" i="17"/>
  <c r="AG19" i="17"/>
  <c r="W28" i="30"/>
  <c r="AD28" i="30" s="1"/>
  <c r="AE28" i="30" s="1"/>
  <c r="W28" i="22"/>
  <c r="AN9" i="24"/>
  <c r="AA18" i="24"/>
  <c r="V36" i="24"/>
  <c r="AD36" i="24" s="1"/>
  <c r="AE36" i="24" s="1"/>
  <c r="AP13" i="17"/>
  <c r="AQ14" i="30"/>
  <c r="AT14" i="30"/>
  <c r="AS14" i="30"/>
  <c r="AR14" i="30"/>
  <c r="AH19" i="22"/>
  <c r="AJ19" i="22"/>
  <c r="AG19" i="22"/>
  <c r="AI19" i="22"/>
  <c r="AK13" i="30"/>
  <c r="AM14" i="24"/>
  <c r="AO14" i="24"/>
  <c r="AL14" i="24"/>
  <c r="AN14" i="24"/>
  <c r="V36" i="27"/>
  <c r="AD36" i="27" s="1"/>
  <c r="AE36" i="27" s="1"/>
  <c r="AA18" i="27"/>
  <c r="AK18" i="27" s="1"/>
  <c r="AK10" i="17"/>
  <c r="AF10" i="30"/>
  <c r="AP10" i="30"/>
  <c r="AN19" i="22"/>
  <c r="AM19" i="22"/>
  <c r="AL19" i="22"/>
  <c r="AO19" i="22"/>
  <c r="AP10" i="17"/>
  <c r="AO6" i="21"/>
  <c r="AG6" i="27"/>
  <c r="AS6" i="17"/>
  <c r="AM6" i="21"/>
  <c r="AQ6" i="17"/>
  <c r="AT6" i="17"/>
  <c r="AL6" i="21"/>
  <c r="AL17" i="21"/>
  <c r="AI25" i="21"/>
  <c r="AG25" i="21"/>
  <c r="AL16" i="27"/>
  <c r="AH6" i="21"/>
  <c r="AN24" i="30"/>
  <c r="AO24" i="30"/>
  <c r="AO6" i="27"/>
  <c r="AG6" i="22"/>
  <c r="AN6" i="27"/>
  <c r="AI6" i="27"/>
  <c r="AJ6" i="27"/>
  <c r="AT6" i="22"/>
  <c r="AO15" i="21"/>
  <c r="AJ17" i="17"/>
  <c r="AI6" i="22"/>
  <c r="AJ6" i="22"/>
  <c r="AQ6" i="21"/>
  <c r="AM6" i="27"/>
  <c r="AS6" i="22"/>
  <c r="AJ6" i="21"/>
  <c r="AR6" i="27"/>
  <c r="AH25" i="21"/>
  <c r="AG6" i="21"/>
  <c r="AS6" i="27"/>
  <c r="AO6" i="17"/>
  <c r="AN6" i="17"/>
  <c r="AS6" i="21"/>
  <c r="AL6" i="17"/>
  <c r="AM24" i="30"/>
  <c r="AG16" i="17"/>
  <c r="AM16" i="22"/>
  <c r="AT6" i="27"/>
  <c r="AI16" i="17"/>
  <c r="AG24" i="30"/>
  <c r="AJ16" i="17"/>
  <c r="AR6" i="22"/>
  <c r="AQ6" i="24"/>
  <c r="AH21" i="22"/>
  <c r="AM16" i="27"/>
  <c r="AO16" i="27"/>
  <c r="AJ24" i="30"/>
  <c r="AL25" i="21"/>
  <c r="AI17" i="30"/>
  <c r="AH24" i="30"/>
  <c r="AL6" i="22"/>
  <c r="AT6" i="21"/>
  <c r="AJ17" i="24"/>
  <c r="AS6" i="24"/>
  <c r="AN6" i="22"/>
  <c r="AT16" i="22"/>
  <c r="AM21" i="21"/>
  <c r="AM6" i="22"/>
  <c r="AL21" i="21"/>
  <c r="AJ17" i="27"/>
  <c r="AH16" i="27"/>
  <c r="AR17" i="21"/>
  <c r="AN17" i="27"/>
  <c r="AN21" i="21"/>
  <c r="AS16" i="27"/>
  <c r="AJ16" i="27"/>
  <c r="AH16" i="24"/>
  <c r="AH15" i="24"/>
  <c r="AS17" i="24"/>
  <c r="AT6" i="24"/>
  <c r="AI16" i="27"/>
  <c r="AH6" i="17"/>
  <c r="AN6" i="24"/>
  <c r="AI17" i="24"/>
  <c r="AH15" i="21"/>
  <c r="AM25" i="21"/>
  <c r="AN17" i="30"/>
  <c r="AG6" i="17"/>
  <c r="AN25" i="21"/>
  <c r="AH15" i="30"/>
  <c r="AL15" i="21"/>
  <c r="AO16" i="21"/>
  <c r="AO6" i="24"/>
  <c r="AG17" i="24"/>
  <c r="AH17" i="27"/>
  <c r="AG17" i="27"/>
  <c r="AT16" i="24"/>
  <c r="AN15" i="21"/>
  <c r="AN21" i="24"/>
  <c r="AI6" i="17"/>
  <c r="AL6" i="24"/>
  <c r="AT17" i="17"/>
  <c r="AM17" i="27"/>
  <c r="AL16" i="17"/>
  <c r="AR15" i="30"/>
  <c r="AL17" i="27"/>
  <c r="AK34" i="21"/>
  <c r="AN34" i="21" s="1"/>
  <c r="AQ17" i="17"/>
  <c r="AH16" i="30"/>
  <c r="AJ16" i="22"/>
  <c r="AO17" i="22"/>
  <c r="AO15" i="27"/>
  <c r="AJ16" i="30"/>
  <c r="AM16" i="17"/>
  <c r="AG16" i="22"/>
  <c r="AS16" i="22"/>
  <c r="AR21" i="24"/>
  <c r="AN15" i="27"/>
  <c r="AQ15" i="30"/>
  <c r="AM21" i="17"/>
  <c r="AL17" i="24"/>
  <c r="AI15" i="21"/>
  <c r="AO17" i="30"/>
  <c r="AS15" i="30"/>
  <c r="AQ15" i="27"/>
  <c r="AL17" i="22"/>
  <c r="AH21" i="27"/>
  <c r="AI16" i="21"/>
  <c r="AS15" i="27"/>
  <c r="AG16" i="30"/>
  <c r="AM17" i="24"/>
  <c r="AI16" i="22"/>
  <c r="AM17" i="30"/>
  <c r="AR15" i="17"/>
  <c r="AR15" i="27"/>
  <c r="AM17" i="22"/>
  <c r="AG21" i="27"/>
  <c r="AM15" i="30"/>
  <c r="AL15" i="30"/>
  <c r="AR17" i="17"/>
  <c r="AN15" i="30"/>
  <c r="AN17" i="24"/>
  <c r="AR16" i="24"/>
  <c r="AN15" i="17"/>
  <c r="AI6" i="24"/>
  <c r="AR16" i="22"/>
  <c r="AN21" i="30"/>
  <c r="AQ15" i="22"/>
  <c r="AT16" i="27"/>
  <c r="AS17" i="27"/>
  <c r="AG6" i="24"/>
  <c r="AG15" i="24"/>
  <c r="AP35" i="27"/>
  <c r="AQ35" i="27" s="1"/>
  <c r="AJ17" i="30"/>
  <c r="AI16" i="24"/>
  <c r="AN17" i="21"/>
  <c r="AG17" i="30"/>
  <c r="AQ16" i="27"/>
  <c r="AG16" i="24"/>
  <c r="AH6" i="24"/>
  <c r="AO17" i="21"/>
  <c r="AS16" i="17"/>
  <c r="AT17" i="27"/>
  <c r="AL16" i="30"/>
  <c r="AM16" i="24"/>
  <c r="AN16" i="17"/>
  <c r="AQ17" i="27"/>
  <c r="AG15" i="21"/>
  <c r="AL16" i="24"/>
  <c r="AS16" i="24"/>
  <c r="AQ17" i="24"/>
  <c r="AP34" i="21"/>
  <c r="AR34" i="21" s="1"/>
  <c r="AL16" i="22"/>
  <c r="AG21" i="22"/>
  <c r="AT21" i="24"/>
  <c r="AW25" i="21"/>
  <c r="D30" i="31" s="1"/>
  <c r="AS16" i="30"/>
  <c r="AR17" i="24"/>
  <c r="AQ21" i="22"/>
  <c r="AQ16" i="30"/>
  <c r="AO16" i="30"/>
  <c r="AS21" i="22"/>
  <c r="AH15" i="22"/>
  <c r="AL15" i="27"/>
  <c r="AI15" i="22"/>
  <c r="AJ15" i="22"/>
  <c r="AT16" i="30"/>
  <c r="AP35" i="17"/>
  <c r="AR35" i="17" s="1"/>
  <c r="AM16" i="30"/>
  <c r="AN16" i="24"/>
  <c r="AT21" i="22"/>
  <c r="AJ21" i="22"/>
  <c r="AQ21" i="24"/>
  <c r="AD33" i="27"/>
  <c r="AE33" i="27" s="1"/>
  <c r="AF33" i="27" s="1"/>
  <c r="AR17" i="30"/>
  <c r="AK35" i="17"/>
  <c r="AO35" i="17" s="1"/>
  <c r="AS17" i="30"/>
  <c r="AD32" i="27"/>
  <c r="AE32" i="27" s="1"/>
  <c r="AF32" i="27" s="1"/>
  <c r="AD39" i="21"/>
  <c r="AE39" i="21" s="1"/>
  <c r="AK39" i="21" s="1"/>
  <c r="AI15" i="17"/>
  <c r="AH17" i="17"/>
  <c r="AJ21" i="24"/>
  <c r="AN17" i="17"/>
  <c r="AT15" i="17"/>
  <c r="AQ15" i="21"/>
  <c r="AG15" i="30"/>
  <c r="AK35" i="27"/>
  <c r="AM35" i="27" s="1"/>
  <c r="AT16" i="21"/>
  <c r="AM21" i="30"/>
  <c r="AG16" i="21"/>
  <c r="AL21" i="17"/>
  <c r="AS15" i="22"/>
  <c r="AD33" i="21"/>
  <c r="AE33" i="21" s="1"/>
  <c r="AP33" i="21" s="1"/>
  <c r="AI17" i="17"/>
  <c r="AG21" i="24"/>
  <c r="AQ15" i="17"/>
  <c r="AI15" i="30"/>
  <c r="AQ16" i="21"/>
  <c r="AL21" i="30"/>
  <c r="AH16" i="21"/>
  <c r="AN21" i="17"/>
  <c r="AT15" i="22"/>
  <c r="AJ15" i="17"/>
  <c r="AQ17" i="30"/>
  <c r="AL21" i="24"/>
  <c r="AD33" i="24"/>
  <c r="AE33" i="24" s="1"/>
  <c r="AK33" i="24" s="1"/>
  <c r="AG15" i="17"/>
  <c r="AT17" i="21"/>
  <c r="AO17" i="17"/>
  <c r="AI15" i="24"/>
  <c r="AS15" i="21"/>
  <c r="AS16" i="21"/>
  <c r="AM15" i="24"/>
  <c r="AM21" i="24"/>
  <c r="AJ21" i="27"/>
  <c r="AS17" i="21"/>
  <c r="AM17" i="17"/>
  <c r="AT15" i="21"/>
  <c r="AI21" i="24"/>
  <c r="AK33" i="22"/>
  <c r="AL33" i="22" s="1"/>
  <c r="AF33" i="22"/>
  <c r="AG33" i="22" s="1"/>
  <c r="AP33" i="22"/>
  <c r="AQ33" i="22" s="1"/>
  <c r="AF26" i="21"/>
  <c r="AJ26" i="21" s="1"/>
  <c r="AP29" i="21"/>
  <c r="AR29" i="21" s="1"/>
  <c r="AO15" i="17"/>
  <c r="AR16" i="17"/>
  <c r="AK26" i="21"/>
  <c r="AN26" i="21" s="1"/>
  <c r="AD39" i="27"/>
  <c r="AE39" i="27" s="1"/>
  <c r="AK39" i="27" s="1"/>
  <c r="AD39" i="22"/>
  <c r="AE39" i="22" s="1"/>
  <c r="AK39" i="22" s="1"/>
  <c r="AK29" i="21"/>
  <c r="AO29" i="21" s="1"/>
  <c r="AD38" i="17"/>
  <c r="AE38" i="17" s="1"/>
  <c r="AK38" i="17" s="1"/>
  <c r="AL15" i="24"/>
  <c r="AL16" i="21"/>
  <c r="AM15" i="17"/>
  <c r="AK26" i="24"/>
  <c r="AN26" i="24" s="1"/>
  <c r="AM16" i="21"/>
  <c r="AD38" i="27"/>
  <c r="AE38" i="27" s="1"/>
  <c r="AF38" i="27" s="1"/>
  <c r="AP26" i="24"/>
  <c r="AQ26" i="24" s="1"/>
  <c r="AD31" i="21"/>
  <c r="AE31" i="21" s="1"/>
  <c r="AK31" i="21" s="1"/>
  <c r="AD32" i="30"/>
  <c r="AE32" i="30" s="1"/>
  <c r="AK32" i="30" s="1"/>
  <c r="AT16" i="17"/>
  <c r="AN15" i="24"/>
  <c r="AN16" i="22"/>
  <c r="AW24" i="30"/>
  <c r="J29" i="31" s="1"/>
  <c r="AD33" i="30"/>
  <c r="AE33" i="30" s="1"/>
  <c r="AL24" i="22"/>
  <c r="AM24" i="22"/>
  <c r="AO24" i="22"/>
  <c r="AN24" i="22"/>
  <c r="AP37" i="27"/>
  <c r="AF37" i="27"/>
  <c r="AK37" i="27"/>
  <c r="AJ25" i="24"/>
  <c r="AI25" i="24"/>
  <c r="AH25" i="24"/>
  <c r="AG25" i="24"/>
  <c r="AJ25" i="30"/>
  <c r="AH25" i="30"/>
  <c r="AI25" i="30"/>
  <c r="AG25" i="30"/>
  <c r="AD32" i="24"/>
  <c r="AE32" i="24" s="1"/>
  <c r="AH24" i="17"/>
  <c r="AJ24" i="17"/>
  <c r="AI24" i="17"/>
  <c r="AG24" i="17"/>
  <c r="AS21" i="27"/>
  <c r="AQ21" i="27"/>
  <c r="AR21" i="27"/>
  <c r="AT21" i="27"/>
  <c r="AH24" i="22"/>
  <c r="AG24" i="22"/>
  <c r="AJ24" i="22"/>
  <c r="AI24" i="22"/>
  <c r="AF34" i="22"/>
  <c r="AP34" i="22"/>
  <c r="AK34" i="22"/>
  <c r="AJ21" i="17"/>
  <c r="AG21" i="17"/>
  <c r="AI21" i="17"/>
  <c r="AH21" i="17"/>
  <c r="AJ25" i="27"/>
  <c r="AH25" i="27"/>
  <c r="AG25" i="27"/>
  <c r="AI25" i="27"/>
  <c r="AF29" i="24"/>
  <c r="AP29" i="24"/>
  <c r="AK29" i="24"/>
  <c r="AD30" i="24"/>
  <c r="AE30" i="24" s="1"/>
  <c r="AP29" i="17"/>
  <c r="AK29" i="17"/>
  <c r="AF29" i="17"/>
  <c r="AT25" i="22"/>
  <c r="AR25" i="22"/>
  <c r="AS25" i="22"/>
  <c r="AQ25" i="22"/>
  <c r="AG29" i="21"/>
  <c r="AH29" i="21"/>
  <c r="AJ29" i="21"/>
  <c r="AI29" i="21"/>
  <c r="AM24" i="24"/>
  <c r="AL24" i="24"/>
  <c r="AO24" i="24"/>
  <c r="AN24" i="24"/>
  <c r="AI25" i="17"/>
  <c r="AH25" i="17"/>
  <c r="AG25" i="17"/>
  <c r="AJ25" i="17"/>
  <c r="AQ25" i="24"/>
  <c r="AS25" i="24"/>
  <c r="AR25" i="24"/>
  <c r="AT25" i="24"/>
  <c r="AH35" i="27"/>
  <c r="AJ35" i="27"/>
  <c r="AG35" i="27"/>
  <c r="AI35" i="27"/>
  <c r="AT25" i="30"/>
  <c r="AR25" i="30"/>
  <c r="AS25" i="30"/>
  <c r="AQ25" i="30"/>
  <c r="AS24" i="22"/>
  <c r="AR24" i="22"/>
  <c r="AQ24" i="22"/>
  <c r="AT24" i="22"/>
  <c r="AN21" i="22"/>
  <c r="AM21" i="22"/>
  <c r="AL21" i="22"/>
  <c r="AO21" i="22"/>
  <c r="AK34" i="30"/>
  <c r="AF34" i="30"/>
  <c r="AP34" i="30"/>
  <c r="AP34" i="24"/>
  <c r="AF34" i="24"/>
  <c r="AK34" i="24"/>
  <c r="AL25" i="27"/>
  <c r="AM25" i="27"/>
  <c r="AO25" i="27"/>
  <c r="AN25" i="27"/>
  <c r="AK26" i="17"/>
  <c r="AP26" i="17"/>
  <c r="AF26" i="17"/>
  <c r="AD39" i="24"/>
  <c r="AE39" i="24" s="1"/>
  <c r="AD31" i="22"/>
  <c r="AE31" i="22" s="1"/>
  <c r="AM21" i="27"/>
  <c r="AN21" i="27"/>
  <c r="AL21" i="27"/>
  <c r="AO21" i="27"/>
  <c r="AL25" i="22"/>
  <c r="AM25" i="22"/>
  <c r="AN25" i="22"/>
  <c r="AO25" i="22"/>
  <c r="AD38" i="24"/>
  <c r="AE38" i="24" s="1"/>
  <c r="AD31" i="17"/>
  <c r="AE31" i="17" s="1"/>
  <c r="AP29" i="27"/>
  <c r="AK29" i="27"/>
  <c r="AF29" i="27"/>
  <c r="AQ25" i="17"/>
  <c r="AS25" i="17"/>
  <c r="AT25" i="17"/>
  <c r="AR25" i="17"/>
  <c r="AD31" i="27"/>
  <c r="AE31" i="27" s="1"/>
  <c r="AN25" i="24"/>
  <c r="AM25" i="24"/>
  <c r="AO25" i="24"/>
  <c r="AL25" i="24"/>
  <c r="AF37" i="24"/>
  <c r="AP37" i="24"/>
  <c r="AK37" i="24"/>
  <c r="AP37" i="21"/>
  <c r="AP37" i="17"/>
  <c r="AF37" i="17"/>
  <c r="AK37" i="17"/>
  <c r="AK26" i="30"/>
  <c r="AP26" i="30"/>
  <c r="AF26" i="30"/>
  <c r="AD30" i="22"/>
  <c r="AE30" i="22" s="1"/>
  <c r="AD38" i="22"/>
  <c r="AE38" i="22" s="1"/>
  <c r="AD38" i="30"/>
  <c r="AE38" i="30" s="1"/>
  <c r="AP33" i="17"/>
  <c r="AK33" i="17"/>
  <c r="AF33" i="17"/>
  <c r="AG17" i="22"/>
  <c r="AH17" i="22"/>
  <c r="AJ17" i="22"/>
  <c r="AI17" i="22"/>
  <c r="AP35" i="21"/>
  <c r="AF35" i="21"/>
  <c r="AK35" i="21"/>
  <c r="AN24" i="27"/>
  <c r="AL24" i="27"/>
  <c r="AO24" i="27"/>
  <c r="AM24" i="27"/>
  <c r="AO15" i="22"/>
  <c r="AN15" i="22"/>
  <c r="AM15" i="22"/>
  <c r="AL15" i="22"/>
  <c r="AQ26" i="21"/>
  <c r="AR26" i="21"/>
  <c r="AT26" i="21"/>
  <c r="AS26" i="21"/>
  <c r="AP26" i="27"/>
  <c r="AK26" i="27"/>
  <c r="AF26" i="27"/>
  <c r="AT21" i="21"/>
  <c r="AS21" i="21"/>
  <c r="AR21" i="21"/>
  <c r="AQ21" i="21"/>
  <c r="AD32" i="17"/>
  <c r="AE32" i="17" s="1"/>
  <c r="AD27" i="21"/>
  <c r="AE27" i="21" s="1"/>
  <c r="AT21" i="30"/>
  <c r="AQ21" i="30"/>
  <c r="AR21" i="30"/>
  <c r="AS21" i="30"/>
  <c r="AI17" i="21"/>
  <c r="AJ17" i="21"/>
  <c r="AH17" i="21"/>
  <c r="AG17" i="21"/>
  <c r="AR24" i="21"/>
  <c r="AS24" i="21"/>
  <c r="AQ24" i="21"/>
  <c r="AT24" i="21"/>
  <c r="AF35" i="24"/>
  <c r="AK35" i="24"/>
  <c r="AP35" i="24"/>
  <c r="AD31" i="30"/>
  <c r="AE31" i="30" s="1"/>
  <c r="AH34" i="21"/>
  <c r="AG34" i="21"/>
  <c r="AI34" i="21"/>
  <c r="AJ34" i="21"/>
  <c r="AL25" i="30"/>
  <c r="AN25" i="30"/>
  <c r="AO25" i="30"/>
  <c r="AM25" i="30"/>
  <c r="AS21" i="17"/>
  <c r="AQ21" i="17"/>
  <c r="AT21" i="17"/>
  <c r="AR21" i="17"/>
  <c r="AF35" i="22"/>
  <c r="AK35" i="22"/>
  <c r="AP35" i="22"/>
  <c r="AO24" i="17"/>
  <c r="AM24" i="17"/>
  <c r="AL24" i="17"/>
  <c r="AN24" i="17"/>
  <c r="AD32" i="21"/>
  <c r="AE32" i="21" s="1"/>
  <c r="AG26" i="24"/>
  <c r="AJ26" i="24"/>
  <c r="AI26" i="24"/>
  <c r="AH26" i="24"/>
  <c r="AD38" i="21"/>
  <c r="AE38" i="21" s="1"/>
  <c r="AJ35" i="17"/>
  <c r="AI35" i="17"/>
  <c r="AG35" i="17"/>
  <c r="AH35" i="17"/>
  <c r="AT24" i="17"/>
  <c r="AS24" i="17"/>
  <c r="AR24" i="17"/>
  <c r="AQ24" i="17"/>
  <c r="AM24" i="21"/>
  <c r="AO24" i="21"/>
  <c r="AN24" i="21"/>
  <c r="AL24" i="21"/>
  <c r="AD30" i="27"/>
  <c r="AE30" i="27" s="1"/>
  <c r="AD27" i="30"/>
  <c r="AE27" i="30" s="1"/>
  <c r="AD30" i="21"/>
  <c r="AE30" i="21" s="1"/>
  <c r="AD31" i="24"/>
  <c r="AE31" i="24" s="1"/>
  <c r="AD28" i="21"/>
  <c r="AE28" i="21" s="1"/>
  <c r="AG21" i="21"/>
  <c r="AJ21" i="21"/>
  <c r="AH21" i="21"/>
  <c r="AI21" i="21"/>
  <c r="AH24" i="27"/>
  <c r="AJ24" i="27"/>
  <c r="AI24" i="27"/>
  <c r="AG24" i="27"/>
  <c r="AD30" i="30"/>
  <c r="AE30" i="30" s="1"/>
  <c r="AP37" i="22"/>
  <c r="AK37" i="22"/>
  <c r="AD32" i="22"/>
  <c r="AE32" i="22" s="1"/>
  <c r="AH21" i="30"/>
  <c r="AJ21" i="30"/>
  <c r="AI21" i="30"/>
  <c r="AG21" i="30"/>
  <c r="AD27" i="17"/>
  <c r="AE27" i="17" s="1"/>
  <c r="AQ17" i="22"/>
  <c r="AT17" i="22"/>
  <c r="AS17" i="22"/>
  <c r="AR17" i="22"/>
  <c r="AI24" i="21"/>
  <c r="AJ24" i="21"/>
  <c r="AH24" i="21"/>
  <c r="AG24" i="21"/>
  <c r="AH24" i="24"/>
  <c r="AJ24" i="24"/>
  <c r="AI24" i="24"/>
  <c r="AG24" i="24"/>
  <c r="AD27" i="24"/>
  <c r="AE27" i="24" s="1"/>
  <c r="AK34" i="17"/>
  <c r="AP34" i="17"/>
  <c r="AF34" i="17"/>
  <c r="AP29" i="30"/>
  <c r="AF29" i="30"/>
  <c r="AK29" i="30"/>
  <c r="AT25" i="27"/>
  <c r="AS25" i="27"/>
  <c r="AQ25" i="27"/>
  <c r="AR25" i="27"/>
  <c r="AJ15" i="27"/>
  <c r="AI15" i="27"/>
  <c r="AG15" i="27"/>
  <c r="AH15" i="27"/>
  <c r="AD30" i="17"/>
  <c r="AE30" i="17" s="1"/>
  <c r="AP26" i="22"/>
  <c r="AF26" i="22"/>
  <c r="AK26" i="22"/>
  <c r="AF35" i="30"/>
  <c r="AP35" i="30"/>
  <c r="AK35" i="30"/>
  <c r="AD39" i="17"/>
  <c r="AE39" i="17" s="1"/>
  <c r="AR24" i="27"/>
  <c r="AT24" i="27"/>
  <c r="AQ24" i="27"/>
  <c r="AS24" i="27"/>
  <c r="AD27" i="27"/>
  <c r="AE27" i="27" s="1"/>
  <c r="AP29" i="22"/>
  <c r="AK29" i="22"/>
  <c r="AF29" i="22"/>
  <c r="AS15" i="24"/>
  <c r="AT15" i="24"/>
  <c r="AR15" i="24"/>
  <c r="AQ15" i="24"/>
  <c r="AD39" i="30"/>
  <c r="AE39" i="30" s="1"/>
  <c r="AP34" i="27"/>
  <c r="AF34" i="27"/>
  <c r="AK34" i="27"/>
  <c r="AI25" i="22"/>
  <c r="AJ25" i="22"/>
  <c r="AH25" i="22"/>
  <c r="AG25" i="22"/>
  <c r="AD27" i="22"/>
  <c r="AE27" i="22" s="1"/>
  <c r="AT24" i="24"/>
  <c r="AR24" i="24"/>
  <c r="AS24" i="24"/>
  <c r="AQ24" i="24"/>
  <c r="AN25" i="17"/>
  <c r="AO25" i="17"/>
  <c r="AM25" i="17"/>
  <c r="AL25" i="17"/>
  <c r="AS10" i="24" l="1"/>
  <c r="AQ10" i="24"/>
  <c r="AL8" i="22"/>
  <c r="AO8" i="22"/>
  <c r="AN8" i="22"/>
  <c r="AM8" i="22"/>
  <c r="AN13" i="21"/>
  <c r="AH13" i="17"/>
  <c r="AI8" i="27"/>
  <c r="AH8" i="27"/>
  <c r="AJ8" i="27"/>
  <c r="AG8" i="27"/>
  <c r="AF18" i="24"/>
  <c r="AJ18" i="24" s="1"/>
  <c r="AK10" i="24"/>
  <c r="AO10" i="24" s="1"/>
  <c r="AM8" i="21"/>
  <c r="AN8" i="21"/>
  <c r="AO8" i="21"/>
  <c r="AL8" i="21"/>
  <c r="AM8" i="30"/>
  <c r="AN8" i="30"/>
  <c r="AL8" i="30"/>
  <c r="AO8" i="30"/>
  <c r="AL13" i="21"/>
  <c r="AI13" i="17"/>
  <c r="AT10" i="21"/>
  <c r="AR8" i="24"/>
  <c r="AQ8" i="24"/>
  <c r="AT8" i="24"/>
  <c r="AS8" i="24"/>
  <c r="AJ8" i="30"/>
  <c r="AG8" i="30"/>
  <c r="AI8" i="30"/>
  <c r="AH8" i="30"/>
  <c r="AN8" i="17"/>
  <c r="AL8" i="17"/>
  <c r="AO8" i="17"/>
  <c r="AM8" i="17"/>
  <c r="AQ8" i="17"/>
  <c r="AR8" i="17"/>
  <c r="AS8" i="17"/>
  <c r="AT8" i="17"/>
  <c r="AG8" i="24"/>
  <c r="AH8" i="24"/>
  <c r="AI8" i="24"/>
  <c r="AU26" i="24" s="1"/>
  <c r="L8" i="31" s="1"/>
  <c r="AJ8" i="24"/>
  <c r="AJ8" i="22"/>
  <c r="AH8" i="22"/>
  <c r="AI8" i="22"/>
  <c r="AG8" i="22"/>
  <c r="AF37" i="30"/>
  <c r="AK37" i="30"/>
  <c r="AO13" i="21"/>
  <c r="AT13" i="21"/>
  <c r="AG13" i="17"/>
  <c r="AR10" i="21"/>
  <c r="AD28" i="27"/>
  <c r="AE28" i="27" s="1"/>
  <c r="AK28" i="27" s="1"/>
  <c r="AP10" i="22"/>
  <c r="AT10" i="22" s="1"/>
  <c r="AM8" i="24"/>
  <c r="AN8" i="24"/>
  <c r="AO8" i="24"/>
  <c r="AL8" i="24"/>
  <c r="AQ8" i="30"/>
  <c r="AS8" i="30"/>
  <c r="AT8" i="30"/>
  <c r="AR8" i="30"/>
  <c r="AS8" i="27"/>
  <c r="AR8" i="27"/>
  <c r="AT8" i="27"/>
  <c r="AQ8" i="27"/>
  <c r="AT8" i="21"/>
  <c r="AS8" i="21"/>
  <c r="AR8" i="21"/>
  <c r="AQ8" i="21"/>
  <c r="AW26" i="21" s="1"/>
  <c r="D31" i="31" s="1"/>
  <c r="AJ8" i="21"/>
  <c r="AI8" i="21"/>
  <c r="AG8" i="21"/>
  <c r="AH8" i="21"/>
  <c r="AR8" i="22"/>
  <c r="AS8" i="22"/>
  <c r="AT8" i="22"/>
  <c r="AQ8" i="22"/>
  <c r="AG8" i="17"/>
  <c r="AJ8" i="17"/>
  <c r="AI8" i="17"/>
  <c r="AH8" i="17"/>
  <c r="AP10" i="27"/>
  <c r="AS10" i="27" s="1"/>
  <c r="AF10" i="22"/>
  <c r="AN8" i="27"/>
  <c r="AO8" i="27"/>
  <c r="AL8" i="27"/>
  <c r="AM8" i="27"/>
  <c r="AJ10" i="22"/>
  <c r="AG10" i="22"/>
  <c r="AO13" i="22"/>
  <c r="AN13" i="17"/>
  <c r="AT10" i="24"/>
  <c r="AK10" i="27"/>
  <c r="AL10" i="27" s="1"/>
  <c r="AM13" i="17"/>
  <c r="AR10" i="24"/>
  <c r="AS13" i="21"/>
  <c r="AM10" i="21"/>
  <c r="AK10" i="22"/>
  <c r="AN13" i="27"/>
  <c r="AL13" i="22"/>
  <c r="AF18" i="27"/>
  <c r="AJ18" i="27" s="1"/>
  <c r="AQ13" i="21"/>
  <c r="AN10" i="21"/>
  <c r="AI13" i="21"/>
  <c r="AD28" i="22"/>
  <c r="AE28" i="22" s="1"/>
  <c r="AP28" i="22" s="1"/>
  <c r="AH13" i="21"/>
  <c r="AK37" i="21"/>
  <c r="AO37" i="21" s="1"/>
  <c r="AM13" i="27"/>
  <c r="AN13" i="22"/>
  <c r="AP18" i="27"/>
  <c r="AH13" i="22"/>
  <c r="AL10" i="21"/>
  <c r="AL13" i="17"/>
  <c r="AJ13" i="27"/>
  <c r="AT13" i="24"/>
  <c r="AG13" i="27"/>
  <c r="AS13" i="22"/>
  <c r="AI13" i="27"/>
  <c r="AK18" i="21"/>
  <c r="AO18" i="21" s="1"/>
  <c r="AI13" i="22"/>
  <c r="AT13" i="22"/>
  <c r="AH10" i="22"/>
  <c r="AJ13" i="22"/>
  <c r="AQ13" i="22"/>
  <c r="AI10" i="22"/>
  <c r="AK36" i="30"/>
  <c r="AF36" i="30"/>
  <c r="AP36" i="30"/>
  <c r="AM18" i="27"/>
  <c r="AL18" i="27"/>
  <c r="AN18" i="27"/>
  <c r="AO18" i="27"/>
  <c r="AK36" i="27"/>
  <c r="AP36" i="27"/>
  <c r="AF36" i="27"/>
  <c r="AG18" i="22"/>
  <c r="AI18" i="22"/>
  <c r="AJ18" i="22"/>
  <c r="AH18" i="22"/>
  <c r="AF36" i="24"/>
  <c r="AK36" i="24"/>
  <c r="AP36" i="24"/>
  <c r="AP36" i="22"/>
  <c r="AK36" i="22"/>
  <c r="AF36" i="22"/>
  <c r="AR18" i="21"/>
  <c r="AQ18" i="21"/>
  <c r="AS18" i="21"/>
  <c r="AT18" i="21"/>
  <c r="AG18" i="24"/>
  <c r="AK36" i="17"/>
  <c r="AF36" i="17"/>
  <c r="AP36" i="17"/>
  <c r="AL18" i="30"/>
  <c r="AM18" i="30"/>
  <c r="AN18" i="30"/>
  <c r="AO18" i="30"/>
  <c r="AG18" i="17"/>
  <c r="AJ18" i="17"/>
  <c r="AH18" i="17"/>
  <c r="AI18" i="17"/>
  <c r="AM13" i="30"/>
  <c r="AL13" i="30"/>
  <c r="AN13" i="30"/>
  <c r="AO13" i="30"/>
  <c r="AI13" i="24"/>
  <c r="AJ13" i="24"/>
  <c r="AH13" i="24"/>
  <c r="AG13" i="24"/>
  <c r="AT18" i="24"/>
  <c r="AS18" i="24"/>
  <c r="AQ18" i="24"/>
  <c r="AR18" i="24"/>
  <c r="AH10" i="27"/>
  <c r="AG10" i="27"/>
  <c r="AJ10" i="27"/>
  <c r="AI10" i="27"/>
  <c r="AH13" i="30"/>
  <c r="AJ13" i="30"/>
  <c r="AI13" i="30"/>
  <c r="AG13" i="30"/>
  <c r="AK18" i="24"/>
  <c r="AO10" i="27"/>
  <c r="AJ10" i="24"/>
  <c r="AI10" i="24"/>
  <c r="AG10" i="24"/>
  <c r="AH10" i="24"/>
  <c r="AN10" i="24"/>
  <c r="AT13" i="17"/>
  <c r="AQ13" i="17"/>
  <c r="AR13" i="17"/>
  <c r="AS13" i="17"/>
  <c r="AH10" i="21"/>
  <c r="AG10" i="21"/>
  <c r="AI10" i="21"/>
  <c r="AJ10" i="21"/>
  <c r="AF18" i="30"/>
  <c r="AP18" i="22"/>
  <c r="AM13" i="24"/>
  <c r="AL13" i="24"/>
  <c r="AN13" i="24"/>
  <c r="AO13" i="24"/>
  <c r="AP18" i="30"/>
  <c r="AK18" i="17"/>
  <c r="AK18" i="22"/>
  <c r="AT18" i="27"/>
  <c r="AQ18" i="27"/>
  <c r="AR18" i="27"/>
  <c r="AS18" i="27"/>
  <c r="AS10" i="17"/>
  <c r="AT10" i="17"/>
  <c r="AR10" i="17"/>
  <c r="AQ10" i="17"/>
  <c r="AM10" i="17"/>
  <c r="AN10" i="17"/>
  <c r="AL10" i="17"/>
  <c r="AO10" i="17"/>
  <c r="AS10" i="22"/>
  <c r="AQ10" i="22"/>
  <c r="AR10" i="22"/>
  <c r="AP18" i="17"/>
  <c r="AF18" i="21"/>
  <c r="AS10" i="30"/>
  <c r="AT10" i="30"/>
  <c r="AQ10" i="30"/>
  <c r="AR10" i="30"/>
  <c r="AP36" i="21"/>
  <c r="AF36" i="21"/>
  <c r="AK36" i="21"/>
  <c r="AH10" i="30"/>
  <c r="AI10" i="30"/>
  <c r="AJ10" i="30"/>
  <c r="AG10" i="30"/>
  <c r="AH18" i="27"/>
  <c r="AO10" i="30"/>
  <c r="AN10" i="30"/>
  <c r="AL10" i="30"/>
  <c r="AM10" i="30"/>
  <c r="AU25" i="21"/>
  <c r="D7" i="31" s="1"/>
  <c r="AV24" i="30"/>
  <c r="AX24" i="30" s="1"/>
  <c r="AF32" i="30"/>
  <c r="AI32" i="30" s="1"/>
  <c r="AU24" i="30"/>
  <c r="J6" i="31" s="1"/>
  <c r="AM33" i="22"/>
  <c r="AT35" i="27"/>
  <c r="AV25" i="21"/>
  <c r="D19" i="31" s="1"/>
  <c r="D41" i="31" s="1"/>
  <c r="AK33" i="27"/>
  <c r="AO33" i="27" s="1"/>
  <c r="AR33" i="22"/>
  <c r="AT34" i="21"/>
  <c r="AO33" i="22"/>
  <c r="AF39" i="22"/>
  <c r="AH39" i="22" s="1"/>
  <c r="AS35" i="17"/>
  <c r="AQ34" i="21"/>
  <c r="AM35" i="17"/>
  <c r="AT35" i="17"/>
  <c r="AN35" i="17"/>
  <c r="AS34" i="21"/>
  <c r="AQ35" i="17"/>
  <c r="AL35" i="17"/>
  <c r="AU25" i="24"/>
  <c r="L7" i="31" s="1"/>
  <c r="AM34" i="21"/>
  <c r="AO34" i="21"/>
  <c r="AN33" i="22"/>
  <c r="AH33" i="22"/>
  <c r="AL34" i="21"/>
  <c r="AI33" i="22"/>
  <c r="AR35" i="27"/>
  <c r="AS35" i="27"/>
  <c r="AQ29" i="21"/>
  <c r="AV25" i="30"/>
  <c r="J19" i="31" s="1"/>
  <c r="AF33" i="24"/>
  <c r="AG33" i="24" s="1"/>
  <c r="AJ33" i="22"/>
  <c r="AK33" i="21"/>
  <c r="AO33" i="21" s="1"/>
  <c r="AG26" i="21"/>
  <c r="AU25" i="22"/>
  <c r="H7" i="31" s="1"/>
  <c r="AM29" i="21"/>
  <c r="AH26" i="21"/>
  <c r="AI26" i="21"/>
  <c r="AK32" i="27"/>
  <c r="AM32" i="27" s="1"/>
  <c r="AN29" i="21"/>
  <c r="AP39" i="22"/>
  <c r="AR39" i="22" s="1"/>
  <c r="AL29" i="21"/>
  <c r="AF33" i="21"/>
  <c r="AI33" i="21" s="1"/>
  <c r="AG33" i="27"/>
  <c r="AJ33" i="27"/>
  <c r="AH33" i="27"/>
  <c r="AI33" i="27"/>
  <c r="AP33" i="27"/>
  <c r="AP33" i="24"/>
  <c r="AP38" i="27"/>
  <c r="AS38" i="27" s="1"/>
  <c r="AW25" i="17"/>
  <c r="F30" i="31" s="1"/>
  <c r="AL26" i="24"/>
  <c r="AK38" i="27"/>
  <c r="AM38" i="27" s="1"/>
  <c r="AW24" i="24"/>
  <c r="L29" i="31" s="1"/>
  <c r="AF39" i="27"/>
  <c r="AG39" i="27" s="1"/>
  <c r="AF39" i="21"/>
  <c r="AI39" i="21" s="1"/>
  <c r="AT33" i="21"/>
  <c r="AR33" i="21"/>
  <c r="AQ33" i="21"/>
  <c r="AN33" i="24"/>
  <c r="AM33" i="24"/>
  <c r="AO33" i="24"/>
  <c r="AL33" i="24"/>
  <c r="AV24" i="24"/>
  <c r="L18" i="31" s="1"/>
  <c r="AO35" i="27"/>
  <c r="AW24" i="27"/>
  <c r="N29" i="31" s="1"/>
  <c r="AN35" i="27"/>
  <c r="AV24" i="17"/>
  <c r="F18" i="31" s="1"/>
  <c r="AT26" i="24"/>
  <c r="AV25" i="22"/>
  <c r="H19" i="31" s="1"/>
  <c r="AP32" i="27"/>
  <c r="AR32" i="27" s="1"/>
  <c r="AU25" i="30"/>
  <c r="J7" i="31" s="1"/>
  <c r="AT29" i="21"/>
  <c r="AP32" i="30"/>
  <c r="AT32" i="30" s="1"/>
  <c r="AP39" i="21"/>
  <c r="AT39" i="21" s="1"/>
  <c r="AW25" i="24"/>
  <c r="L30" i="31" s="1"/>
  <c r="AL35" i="27"/>
  <c r="AP39" i="27"/>
  <c r="AS39" i="27" s="1"/>
  <c r="AP38" i="17"/>
  <c r="AS38" i="17" s="1"/>
  <c r="AS26" i="24"/>
  <c r="AS33" i="22"/>
  <c r="AO26" i="24"/>
  <c r="AU29" i="21"/>
  <c r="D11" i="31" s="1"/>
  <c r="AF38" i="17"/>
  <c r="AI38" i="17" s="1"/>
  <c r="AR26" i="24"/>
  <c r="AT33" i="22"/>
  <c r="AU35" i="27"/>
  <c r="O9" i="31" s="1"/>
  <c r="AU25" i="17"/>
  <c r="F7" i="31" s="1"/>
  <c r="AV25" i="24"/>
  <c r="L19" i="31" s="1"/>
  <c r="AU24" i="22"/>
  <c r="H6" i="31" s="1"/>
  <c r="AW25" i="27"/>
  <c r="N30" i="31" s="1"/>
  <c r="AV25" i="17"/>
  <c r="F19" i="31" s="1"/>
  <c r="AV24" i="21"/>
  <c r="AS33" i="21"/>
  <c r="AW25" i="30"/>
  <c r="J30" i="31" s="1"/>
  <c r="AU24" i="24"/>
  <c r="L6" i="31" s="1"/>
  <c r="AS29" i="21"/>
  <c r="AV25" i="27"/>
  <c r="AU24" i="17"/>
  <c r="F6" i="31" s="1"/>
  <c r="AL26" i="21"/>
  <c r="AO26" i="21"/>
  <c r="AF31" i="21"/>
  <c r="AH31" i="21" s="1"/>
  <c r="AU24" i="21"/>
  <c r="D6" i="31" s="1"/>
  <c r="AU24" i="27"/>
  <c r="N6" i="31" s="1"/>
  <c r="AV24" i="22"/>
  <c r="H18" i="31" s="1"/>
  <c r="AM26" i="21"/>
  <c r="AP31" i="21"/>
  <c r="AQ31" i="21" s="1"/>
  <c r="AW24" i="17"/>
  <c r="F29" i="31" s="1"/>
  <c r="AU34" i="21"/>
  <c r="E8" i="31" s="1"/>
  <c r="AM26" i="24"/>
  <c r="AW24" i="22"/>
  <c r="H29" i="31" s="1"/>
  <c r="AW25" i="22"/>
  <c r="H30" i="31" s="1"/>
  <c r="AU25" i="27"/>
  <c r="N7" i="31" s="1"/>
  <c r="AP33" i="30"/>
  <c r="AF33" i="30"/>
  <c r="AK33" i="30"/>
  <c r="AU35" i="17"/>
  <c r="G9" i="31" s="1"/>
  <c r="AW24" i="21"/>
  <c r="D29" i="31" s="1"/>
  <c r="AV24" i="27"/>
  <c r="N18" i="31" s="1"/>
  <c r="AR34" i="17"/>
  <c r="AQ34" i="17"/>
  <c r="AT34" i="17"/>
  <c r="AS34" i="17"/>
  <c r="AL37" i="30"/>
  <c r="AO37" i="30"/>
  <c r="AN37" i="30"/>
  <c r="AM37" i="30"/>
  <c r="AK27" i="21"/>
  <c r="AF27" i="21"/>
  <c r="AP27" i="21"/>
  <c r="AN37" i="24"/>
  <c r="AL37" i="24"/>
  <c r="AO37" i="24"/>
  <c r="AM37" i="24"/>
  <c r="AF27" i="22"/>
  <c r="AP27" i="22"/>
  <c r="AK27" i="22"/>
  <c r="AG34" i="27"/>
  <c r="AI34" i="27"/>
  <c r="AJ34" i="27"/>
  <c r="AH34" i="27"/>
  <c r="AH29" i="22"/>
  <c r="AJ29" i="22"/>
  <c r="AG29" i="22"/>
  <c r="AI29" i="22"/>
  <c r="AH26" i="22"/>
  <c r="AG26" i="22"/>
  <c r="AI26" i="22"/>
  <c r="AJ26" i="22"/>
  <c r="AF30" i="17"/>
  <c r="AK30" i="17"/>
  <c r="AP30" i="17"/>
  <c r="AM32" i="30"/>
  <c r="AL32" i="30"/>
  <c r="AO32" i="30"/>
  <c r="AN32" i="30"/>
  <c r="AK27" i="17"/>
  <c r="AP27" i="17"/>
  <c r="AF27" i="17"/>
  <c r="AK30" i="30"/>
  <c r="AP30" i="30"/>
  <c r="AF30" i="30"/>
  <c r="AR35" i="24"/>
  <c r="AS35" i="24"/>
  <c r="AQ35" i="24"/>
  <c r="AT35" i="24"/>
  <c r="AP32" i="17"/>
  <c r="AF32" i="17"/>
  <c r="AK32" i="17"/>
  <c r="AT37" i="17"/>
  <c r="AQ37" i="17"/>
  <c r="AS37" i="17"/>
  <c r="AR37" i="17"/>
  <c r="AI37" i="21"/>
  <c r="AG37" i="21"/>
  <c r="AJ37" i="21"/>
  <c r="AH37" i="21"/>
  <c r="AM26" i="17"/>
  <c r="AN26" i="17"/>
  <c r="AO26" i="17"/>
  <c r="AL26" i="17"/>
  <c r="AQ34" i="24"/>
  <c r="AT34" i="24"/>
  <c r="AS34" i="24"/>
  <c r="AR34" i="24"/>
  <c r="AM34" i="30"/>
  <c r="AO34" i="30"/>
  <c r="AN34" i="30"/>
  <c r="AL34" i="30"/>
  <c r="AM29" i="17"/>
  <c r="AO29" i="17"/>
  <c r="AN29" i="17"/>
  <c r="AL29" i="17"/>
  <c r="AS34" i="22"/>
  <c r="AT34" i="22"/>
  <c r="AR34" i="22"/>
  <c r="AQ34" i="22"/>
  <c r="AP28" i="24"/>
  <c r="AF28" i="24"/>
  <c r="AK28" i="24"/>
  <c r="AQ34" i="27"/>
  <c r="AS34" i="27"/>
  <c r="AT34" i="27"/>
  <c r="AR34" i="27"/>
  <c r="AM29" i="22"/>
  <c r="AO29" i="22"/>
  <c r="AN29" i="22"/>
  <c r="AL29" i="22"/>
  <c r="AQ26" i="22"/>
  <c r="AR26" i="22"/>
  <c r="AT26" i="22"/>
  <c r="AS26" i="22"/>
  <c r="AL39" i="27"/>
  <c r="AN39" i="27"/>
  <c r="AM39" i="27"/>
  <c r="AO39" i="27"/>
  <c r="AJ34" i="17"/>
  <c r="AI34" i="17"/>
  <c r="AH34" i="17"/>
  <c r="AG34" i="17"/>
  <c r="AJ37" i="30"/>
  <c r="AH37" i="30"/>
  <c r="AG37" i="30"/>
  <c r="AI37" i="30"/>
  <c r="AT35" i="22"/>
  <c r="AS35" i="22"/>
  <c r="AR35" i="22"/>
  <c r="AQ35" i="22"/>
  <c r="AO35" i="24"/>
  <c r="AN35" i="24"/>
  <c r="AL35" i="24"/>
  <c r="AM35" i="24"/>
  <c r="AQ37" i="21"/>
  <c r="AT37" i="21"/>
  <c r="AS37" i="21"/>
  <c r="AR37" i="21"/>
  <c r="AQ29" i="17"/>
  <c r="AR29" i="17"/>
  <c r="AT29" i="17"/>
  <c r="AS29" i="17"/>
  <c r="AI34" i="22"/>
  <c r="AJ34" i="22"/>
  <c r="AH34" i="22"/>
  <c r="AG34" i="22"/>
  <c r="AP28" i="17"/>
  <c r="AF28" i="17"/>
  <c r="AK28" i="17"/>
  <c r="AN35" i="22"/>
  <c r="AM35" i="22"/>
  <c r="AO35" i="22"/>
  <c r="AL35" i="22"/>
  <c r="AF39" i="30"/>
  <c r="AK39" i="30"/>
  <c r="AP39" i="30"/>
  <c r="AP27" i="27"/>
  <c r="AF27" i="27"/>
  <c r="AK27" i="27"/>
  <c r="AF39" i="17"/>
  <c r="AK39" i="17"/>
  <c r="AP39" i="17"/>
  <c r="AN29" i="30"/>
  <c r="AM29" i="30"/>
  <c r="AL29" i="30"/>
  <c r="AO29" i="30"/>
  <c r="AM31" i="21"/>
  <c r="AL31" i="21"/>
  <c r="AO31" i="21"/>
  <c r="AN31" i="21"/>
  <c r="AN34" i="17"/>
  <c r="AM34" i="17"/>
  <c r="AL34" i="17"/>
  <c r="AO34" i="17"/>
  <c r="AH37" i="22"/>
  <c r="AJ37" i="22"/>
  <c r="AI37" i="22"/>
  <c r="AG37" i="22"/>
  <c r="AR37" i="30"/>
  <c r="AT37" i="30"/>
  <c r="AQ37" i="30"/>
  <c r="AS37" i="30"/>
  <c r="AK31" i="24"/>
  <c r="AF31" i="24"/>
  <c r="AP31" i="24"/>
  <c r="AK32" i="21"/>
  <c r="AF32" i="21"/>
  <c r="AP32" i="21"/>
  <c r="AJ35" i="22"/>
  <c r="AI35" i="22"/>
  <c r="AH35" i="22"/>
  <c r="AG35" i="22"/>
  <c r="AO26" i="27"/>
  <c r="AM26" i="27"/>
  <c r="AL26" i="27"/>
  <c r="AN26" i="27"/>
  <c r="AI33" i="17"/>
  <c r="AH33" i="17"/>
  <c r="AG33" i="17"/>
  <c r="AJ33" i="17"/>
  <c r="AG26" i="30"/>
  <c r="AI26" i="30"/>
  <c r="AJ26" i="30"/>
  <c r="AH26" i="30"/>
  <c r="AN39" i="21"/>
  <c r="AM39" i="21"/>
  <c r="AL39" i="21"/>
  <c r="AO39" i="21"/>
  <c r="AT37" i="24"/>
  <c r="AS37" i="24"/>
  <c r="AR37" i="24"/>
  <c r="AQ37" i="24"/>
  <c r="AO29" i="24"/>
  <c r="AN29" i="24"/>
  <c r="AL29" i="24"/>
  <c r="AM29" i="24"/>
  <c r="AJ37" i="27"/>
  <c r="AI37" i="27"/>
  <c r="AH37" i="27"/>
  <c r="AG37" i="27"/>
  <c r="AN35" i="30"/>
  <c r="AL35" i="30"/>
  <c r="AO35" i="30"/>
  <c r="AM35" i="30"/>
  <c r="AH29" i="30"/>
  <c r="AJ29" i="30"/>
  <c r="AI29" i="30"/>
  <c r="AG29" i="30"/>
  <c r="AP27" i="24"/>
  <c r="AK27" i="24"/>
  <c r="AF27" i="24"/>
  <c r="AN37" i="22"/>
  <c r="AO37" i="22"/>
  <c r="AM37" i="22"/>
  <c r="AL37" i="22"/>
  <c r="AP30" i="21"/>
  <c r="AK30" i="21"/>
  <c r="AF30" i="21"/>
  <c r="AQ26" i="27"/>
  <c r="AS26" i="27"/>
  <c r="AR26" i="27"/>
  <c r="AT26" i="27"/>
  <c r="AO33" i="17"/>
  <c r="AN33" i="17"/>
  <c r="AL33" i="17"/>
  <c r="AM33" i="17"/>
  <c r="AS26" i="30"/>
  <c r="AR26" i="30"/>
  <c r="AQ26" i="30"/>
  <c r="AT26" i="30"/>
  <c r="AH37" i="24"/>
  <c r="AG37" i="24"/>
  <c r="AI37" i="24"/>
  <c r="AJ37" i="24"/>
  <c r="AJ29" i="27"/>
  <c r="AH29" i="27"/>
  <c r="AG29" i="27"/>
  <c r="AI29" i="27"/>
  <c r="AF31" i="17"/>
  <c r="AK31" i="17"/>
  <c r="AP31" i="17"/>
  <c r="AK31" i="22"/>
  <c r="AP31" i="22"/>
  <c r="AF31" i="22"/>
  <c r="AR29" i="24"/>
  <c r="AQ29" i="24"/>
  <c r="AS29" i="24"/>
  <c r="AT29" i="24"/>
  <c r="AR37" i="27"/>
  <c r="AQ37" i="27"/>
  <c r="AT37" i="27"/>
  <c r="AS37" i="27"/>
  <c r="AP28" i="21"/>
  <c r="AK28" i="21"/>
  <c r="AF28" i="21"/>
  <c r="AG26" i="27"/>
  <c r="AI26" i="27"/>
  <c r="AJ26" i="27"/>
  <c r="AH26" i="27"/>
  <c r="AT37" i="22"/>
  <c r="AS37" i="22"/>
  <c r="AR37" i="22"/>
  <c r="AQ37" i="22"/>
  <c r="AO35" i="21"/>
  <c r="AN35" i="21"/>
  <c r="AL35" i="21"/>
  <c r="AM35" i="21"/>
  <c r="AP30" i="22"/>
  <c r="AF30" i="22"/>
  <c r="AK30" i="22"/>
  <c r="AN38" i="17"/>
  <c r="AM38" i="17"/>
  <c r="AL38" i="17"/>
  <c r="AO38" i="17"/>
  <c r="AL29" i="27"/>
  <c r="AN29" i="27"/>
  <c r="AM29" i="27"/>
  <c r="AO29" i="27"/>
  <c r="AP39" i="24"/>
  <c r="AF39" i="24"/>
  <c r="AK39" i="24"/>
  <c r="AG32" i="27"/>
  <c r="AI32" i="27"/>
  <c r="AJ32" i="27"/>
  <c r="AH32" i="27"/>
  <c r="AF27" i="30"/>
  <c r="AP27" i="30"/>
  <c r="AK27" i="30"/>
  <c r="AK38" i="30"/>
  <c r="AF38" i="30"/>
  <c r="AP38" i="30"/>
  <c r="AM37" i="17"/>
  <c r="AL37" i="17"/>
  <c r="AO37" i="17"/>
  <c r="AN37" i="17"/>
  <c r="AF31" i="27"/>
  <c r="AP31" i="27"/>
  <c r="AK31" i="27"/>
  <c r="AR29" i="27"/>
  <c r="AT29" i="27"/>
  <c r="AQ29" i="27"/>
  <c r="AS29" i="27"/>
  <c r="AJ26" i="17"/>
  <c r="AI26" i="17"/>
  <c r="AH26" i="17"/>
  <c r="AG26" i="17"/>
  <c r="AO34" i="24"/>
  <c r="AL34" i="24"/>
  <c r="AN34" i="24"/>
  <c r="AM34" i="24"/>
  <c r="AS34" i="30"/>
  <c r="AR34" i="30"/>
  <c r="AQ34" i="30"/>
  <c r="AT34" i="30"/>
  <c r="AJ38" i="27"/>
  <c r="AI38" i="27"/>
  <c r="AH38" i="27"/>
  <c r="AG38" i="27"/>
  <c r="AT29" i="22"/>
  <c r="AR29" i="22"/>
  <c r="AQ29" i="22"/>
  <c r="AS29" i="22"/>
  <c r="AN39" i="22"/>
  <c r="AM39" i="22"/>
  <c r="AL39" i="22"/>
  <c r="AO39" i="22"/>
  <c r="AJ35" i="24"/>
  <c r="AI35" i="24"/>
  <c r="AH35" i="24"/>
  <c r="AG35" i="24"/>
  <c r="AK30" i="24"/>
  <c r="AF30" i="24"/>
  <c r="AP30" i="24"/>
  <c r="AL37" i="27"/>
  <c r="AM37" i="27"/>
  <c r="AN37" i="27"/>
  <c r="AO37" i="27"/>
  <c r="AT35" i="30"/>
  <c r="AS35" i="30"/>
  <c r="AR35" i="30"/>
  <c r="AQ35" i="30"/>
  <c r="AR29" i="30"/>
  <c r="AQ29" i="30"/>
  <c r="AT29" i="30"/>
  <c r="AS29" i="30"/>
  <c r="AK32" i="22"/>
  <c r="AP32" i="22"/>
  <c r="AF32" i="22"/>
  <c r="AK38" i="21"/>
  <c r="AF38" i="21"/>
  <c r="AP38" i="21"/>
  <c r="AQ33" i="17"/>
  <c r="AS33" i="17"/>
  <c r="AR33" i="17"/>
  <c r="AT33" i="17"/>
  <c r="AM26" i="30"/>
  <c r="AO26" i="30"/>
  <c r="AL26" i="30"/>
  <c r="AN26" i="30"/>
  <c r="AK38" i="24"/>
  <c r="AF38" i="24"/>
  <c r="AP38" i="24"/>
  <c r="AJ29" i="24"/>
  <c r="AI29" i="24"/>
  <c r="AG29" i="24"/>
  <c r="AH29" i="24"/>
  <c r="AK32" i="24"/>
  <c r="AF32" i="24"/>
  <c r="AP32" i="24"/>
  <c r="AH35" i="30"/>
  <c r="AI35" i="30"/>
  <c r="AG35" i="30"/>
  <c r="AJ35" i="30"/>
  <c r="AF28" i="30"/>
  <c r="AP28" i="30"/>
  <c r="AK28" i="30"/>
  <c r="AG35" i="21"/>
  <c r="AJ35" i="21"/>
  <c r="AH35" i="21"/>
  <c r="AI35" i="21"/>
  <c r="AO34" i="27"/>
  <c r="AM34" i="27"/>
  <c r="AL34" i="27"/>
  <c r="AN34" i="27"/>
  <c r="AM26" i="22"/>
  <c r="AO26" i="22"/>
  <c r="AN26" i="22"/>
  <c r="AL26" i="22"/>
  <c r="AK30" i="27"/>
  <c r="AF30" i="27"/>
  <c r="AP30" i="27"/>
  <c r="AP31" i="30"/>
  <c r="AF31" i="30"/>
  <c r="AK31" i="30"/>
  <c r="AS35" i="21"/>
  <c r="AR35" i="21"/>
  <c r="AQ35" i="21"/>
  <c r="AT35" i="21"/>
  <c r="AP38" i="22"/>
  <c r="AK38" i="22"/>
  <c r="AF38" i="22"/>
  <c r="AG37" i="17"/>
  <c r="AI37" i="17"/>
  <c r="AH37" i="17"/>
  <c r="AJ37" i="17"/>
  <c r="AM37" i="21"/>
  <c r="AL37" i="21"/>
  <c r="AN37" i="21"/>
  <c r="AR26" i="17"/>
  <c r="AT26" i="17"/>
  <c r="AS26" i="17"/>
  <c r="AQ26" i="17"/>
  <c r="AI34" i="24"/>
  <c r="AG34" i="24"/>
  <c r="AH34" i="24"/>
  <c r="AJ34" i="24"/>
  <c r="AG34" i="30"/>
  <c r="AI34" i="30"/>
  <c r="AJ34" i="30"/>
  <c r="AH34" i="30"/>
  <c r="AH29" i="17"/>
  <c r="AG29" i="17"/>
  <c r="AJ29" i="17"/>
  <c r="AI29" i="17"/>
  <c r="AM34" i="22"/>
  <c r="AO34" i="22"/>
  <c r="AN34" i="22"/>
  <c r="AL34" i="22"/>
  <c r="AR10" i="27" l="1"/>
  <c r="AF28" i="22"/>
  <c r="AM10" i="24"/>
  <c r="AL10" i="24"/>
  <c r="AH18" i="24"/>
  <c r="AF28" i="27"/>
  <c r="AI28" i="27" s="1"/>
  <c r="AT10" i="27"/>
  <c r="AI18" i="24"/>
  <c r="AP28" i="27"/>
  <c r="AK28" i="22"/>
  <c r="AQ10" i="27"/>
  <c r="AI18" i="27"/>
  <c r="AG18" i="27"/>
  <c r="AN10" i="27"/>
  <c r="AM10" i="27"/>
  <c r="AN10" i="22"/>
  <c r="AL10" i="22"/>
  <c r="AM10" i="22"/>
  <c r="AO10" i="22"/>
  <c r="AL18" i="21"/>
  <c r="AM18" i="21"/>
  <c r="AN18" i="21"/>
  <c r="AO18" i="17"/>
  <c r="AL18" i="17"/>
  <c r="AM18" i="17"/>
  <c r="AN18" i="17"/>
  <c r="AO36" i="24"/>
  <c r="AN36" i="24"/>
  <c r="AL36" i="24"/>
  <c r="AM36" i="24"/>
  <c r="AQ36" i="17"/>
  <c r="AT36" i="17"/>
  <c r="AS36" i="17"/>
  <c r="AR36" i="17"/>
  <c r="AT18" i="17"/>
  <c r="AQ18" i="17"/>
  <c r="AR18" i="17"/>
  <c r="AS18" i="17"/>
  <c r="AH36" i="17"/>
  <c r="AI36" i="17"/>
  <c r="AG36" i="17"/>
  <c r="AJ36" i="17"/>
  <c r="AM36" i="17"/>
  <c r="AL36" i="17"/>
  <c r="AO36" i="17"/>
  <c r="AN36" i="17"/>
  <c r="AR36" i="21"/>
  <c r="AT36" i="21"/>
  <c r="AQ36" i="21"/>
  <c r="AS36" i="21"/>
  <c r="AO18" i="24"/>
  <c r="AN18" i="24"/>
  <c r="AM18" i="24"/>
  <c r="AL18" i="24"/>
  <c r="AG36" i="22"/>
  <c r="AI36" i="22"/>
  <c r="AH36" i="22"/>
  <c r="AJ36" i="22"/>
  <c r="AN36" i="22"/>
  <c r="AM36" i="22"/>
  <c r="AO36" i="22"/>
  <c r="AL36" i="22"/>
  <c r="AS36" i="30"/>
  <c r="AT36" i="30"/>
  <c r="AR36" i="30"/>
  <c r="AQ36" i="30"/>
  <c r="AN36" i="27"/>
  <c r="AM36" i="27"/>
  <c r="AO36" i="27"/>
  <c r="AL36" i="27"/>
  <c r="AQ18" i="30"/>
  <c r="AR18" i="30"/>
  <c r="AS18" i="30"/>
  <c r="AT18" i="30"/>
  <c r="AQ18" i="22"/>
  <c r="AR18" i="22"/>
  <c r="AS18" i="22"/>
  <c r="AT18" i="22"/>
  <c r="AT36" i="22"/>
  <c r="AR36" i="22"/>
  <c r="AQ36" i="22"/>
  <c r="AS36" i="22"/>
  <c r="AG36" i="27"/>
  <c r="AJ36" i="27"/>
  <c r="AH36" i="27"/>
  <c r="AI36" i="27"/>
  <c r="AJ36" i="30"/>
  <c r="AG36" i="30"/>
  <c r="AH36" i="30"/>
  <c r="AI36" i="30"/>
  <c r="AJ18" i="21"/>
  <c r="AG18" i="21"/>
  <c r="AI18" i="21"/>
  <c r="AH18" i="21"/>
  <c r="AG36" i="24"/>
  <c r="AH36" i="24"/>
  <c r="AJ36" i="24"/>
  <c r="AI36" i="24"/>
  <c r="AM36" i="21"/>
  <c r="AO36" i="21"/>
  <c r="AN36" i="21"/>
  <c r="AL36" i="21"/>
  <c r="AJ36" i="21"/>
  <c r="AG36" i="21"/>
  <c r="AH36" i="21"/>
  <c r="AI36" i="21"/>
  <c r="AL18" i="22"/>
  <c r="AM18" i="22"/>
  <c r="AN18" i="22"/>
  <c r="AO18" i="22"/>
  <c r="AI18" i="30"/>
  <c r="AH18" i="30"/>
  <c r="AG18" i="30"/>
  <c r="AJ18" i="30"/>
  <c r="AT36" i="24"/>
  <c r="AR36" i="24"/>
  <c r="AQ36" i="24"/>
  <c r="AS36" i="24"/>
  <c r="AQ36" i="27"/>
  <c r="AR36" i="27"/>
  <c r="AT36" i="27"/>
  <c r="AS36" i="27"/>
  <c r="AL36" i="30"/>
  <c r="AM36" i="30"/>
  <c r="AO36" i="30"/>
  <c r="AN36" i="30"/>
  <c r="AH32" i="30"/>
  <c r="AJ32" i="30"/>
  <c r="AG32" i="30"/>
  <c r="J18" i="31"/>
  <c r="J40" i="31" s="1"/>
  <c r="AM33" i="27"/>
  <c r="AX25" i="21"/>
  <c r="AW34" i="21"/>
  <c r="E31" i="31" s="1"/>
  <c r="AU33" i="22"/>
  <c r="I7" i="31" s="1"/>
  <c r="AN33" i="27"/>
  <c r="AL33" i="27"/>
  <c r="AJ39" i="22"/>
  <c r="AG39" i="22"/>
  <c r="AI39" i="22"/>
  <c r="AV33" i="22"/>
  <c r="I19" i="31" s="1"/>
  <c r="AW35" i="27"/>
  <c r="O32" i="31" s="1"/>
  <c r="AV35" i="17"/>
  <c r="G21" i="31" s="1"/>
  <c r="AV29" i="21"/>
  <c r="D23" i="31" s="1"/>
  <c r="AW35" i="17"/>
  <c r="G32" i="31" s="1"/>
  <c r="AV34" i="21"/>
  <c r="E20" i="31" s="1"/>
  <c r="AH33" i="21"/>
  <c r="L41" i="31"/>
  <c r="AG33" i="21"/>
  <c r="AH39" i="21"/>
  <c r="AN33" i="21"/>
  <c r="AG39" i="21"/>
  <c r="AX25" i="27"/>
  <c r="AT38" i="27"/>
  <c r="AQ38" i="27"/>
  <c r="AJ39" i="21"/>
  <c r="AW33" i="21"/>
  <c r="E30" i="31" s="1"/>
  <c r="AU26" i="21"/>
  <c r="D8" i="31" s="1"/>
  <c r="AR38" i="27"/>
  <c r="AS39" i="22"/>
  <c r="AW33" i="22"/>
  <c r="I30" i="31" s="1"/>
  <c r="AT32" i="27"/>
  <c r="AT39" i="22"/>
  <c r="AN32" i="27"/>
  <c r="AQ39" i="22"/>
  <c r="AO38" i="27"/>
  <c r="AU33" i="27"/>
  <c r="O7" i="31" s="1"/>
  <c r="AM33" i="21"/>
  <c r="AW26" i="24"/>
  <c r="L31" i="31" s="1"/>
  <c r="AX24" i="24"/>
  <c r="AI33" i="24"/>
  <c r="AN38" i="27"/>
  <c r="AH33" i="24"/>
  <c r="AJ33" i="24"/>
  <c r="AL38" i="27"/>
  <c r="AJ38" i="17"/>
  <c r="AL33" i="21"/>
  <c r="AL32" i="27"/>
  <c r="AO32" i="27"/>
  <c r="AR32" i="30"/>
  <c r="AX24" i="21"/>
  <c r="AV35" i="27"/>
  <c r="AU26" i="17"/>
  <c r="F8" i="31" s="1"/>
  <c r="AW37" i="30"/>
  <c r="K34" i="31" s="1"/>
  <c r="AS32" i="27"/>
  <c r="AW37" i="17"/>
  <c r="G34" i="31" s="1"/>
  <c r="AV26" i="24"/>
  <c r="AV34" i="27"/>
  <c r="O20" i="31" s="1"/>
  <c r="AU38" i="27"/>
  <c r="O12" i="31" s="1"/>
  <c r="AS39" i="21"/>
  <c r="AJ33" i="21"/>
  <c r="AV33" i="17"/>
  <c r="G19" i="31" s="1"/>
  <c r="AT31" i="21"/>
  <c r="AR31" i="21"/>
  <c r="AI39" i="27"/>
  <c r="AT33" i="27"/>
  <c r="AR33" i="27"/>
  <c r="AS33" i="27"/>
  <c r="AQ33" i="27"/>
  <c r="AQ39" i="21"/>
  <c r="AV39" i="22"/>
  <c r="I25" i="31" s="1"/>
  <c r="AS31" i="21"/>
  <c r="AH38" i="17"/>
  <c r="AH39" i="27"/>
  <c r="AX25" i="30"/>
  <c r="AR39" i="21"/>
  <c r="AG38" i="17"/>
  <c r="AQ32" i="27"/>
  <c r="AI31" i="21"/>
  <c r="AV29" i="17"/>
  <c r="F23" i="31" s="1"/>
  <c r="AJ39" i="27"/>
  <c r="AU29" i="22"/>
  <c r="H11" i="31" s="1"/>
  <c r="AV29" i="22"/>
  <c r="H23" i="31" s="1"/>
  <c r="AV35" i="22"/>
  <c r="I21" i="31" s="1"/>
  <c r="AX24" i="22"/>
  <c r="AQ38" i="17"/>
  <c r="AV26" i="27"/>
  <c r="N20" i="31" s="1"/>
  <c r="H41" i="31"/>
  <c r="AQ33" i="24"/>
  <c r="AS33" i="24"/>
  <c r="AR33" i="24"/>
  <c r="AT33" i="24"/>
  <c r="AQ32" i="30"/>
  <c r="AS32" i="30"/>
  <c r="AV32" i="30"/>
  <c r="AT39" i="27"/>
  <c r="AU29" i="24"/>
  <c r="L11" i="31" s="1"/>
  <c r="AU35" i="24"/>
  <c r="M9" i="31" s="1"/>
  <c r="AW35" i="24"/>
  <c r="M32" i="31" s="1"/>
  <c r="AW29" i="21"/>
  <c r="D34" i="31" s="1"/>
  <c r="AU34" i="30"/>
  <c r="K8" i="31" s="1"/>
  <c r="AV34" i="24"/>
  <c r="M20" i="31" s="1"/>
  <c r="AT38" i="17"/>
  <c r="AW29" i="17"/>
  <c r="F34" i="31" s="1"/>
  <c r="AG31" i="21"/>
  <c r="AW26" i="22"/>
  <c r="H31" i="31" s="1"/>
  <c r="AX25" i="17"/>
  <c r="AV33" i="24"/>
  <c r="AW37" i="24"/>
  <c r="M34" i="31" s="1"/>
  <c r="AU29" i="30"/>
  <c r="J11" i="31" s="1"/>
  <c r="AU34" i="24"/>
  <c r="M8" i="31" s="1"/>
  <c r="AQ39" i="27"/>
  <c r="AR39" i="27"/>
  <c r="AW37" i="27"/>
  <c r="O34" i="31" s="1"/>
  <c r="AR38" i="17"/>
  <c r="AJ31" i="21"/>
  <c r="AU34" i="27"/>
  <c r="O8" i="31" s="1"/>
  <c r="D18" i="31"/>
  <c r="AX24" i="27"/>
  <c r="AX25" i="24"/>
  <c r="AU37" i="24"/>
  <c r="M11" i="31" s="1"/>
  <c r="AV37" i="22"/>
  <c r="I23" i="31" s="1"/>
  <c r="AW29" i="27"/>
  <c r="N34" i="31" s="1"/>
  <c r="AV35" i="21"/>
  <c r="E21" i="31" s="1"/>
  <c r="AU35" i="22"/>
  <c r="I9" i="31" s="1"/>
  <c r="AX24" i="17"/>
  <c r="P30" i="31"/>
  <c r="F41" i="31"/>
  <c r="AV37" i="21"/>
  <c r="AU35" i="21"/>
  <c r="E9" i="31" s="1"/>
  <c r="AU26" i="30"/>
  <c r="J8" i="31" s="1"/>
  <c r="AV29" i="30"/>
  <c r="J23" i="31" s="1"/>
  <c r="AU34" i="22"/>
  <c r="I8" i="31" s="1"/>
  <c r="AV35" i="24"/>
  <c r="M21" i="31" s="1"/>
  <c r="AU34" i="17"/>
  <c r="G8" i="31" s="1"/>
  <c r="AU26" i="22"/>
  <c r="H8" i="31" s="1"/>
  <c r="AV34" i="22"/>
  <c r="I20" i="31" s="1"/>
  <c r="AW33" i="17"/>
  <c r="G30" i="31" s="1"/>
  <c r="AV37" i="17"/>
  <c r="AV29" i="27"/>
  <c r="N23" i="31" s="1"/>
  <c r="AV29" i="24"/>
  <c r="AO33" i="30"/>
  <c r="AM33" i="30"/>
  <c r="AL33" i="30"/>
  <c r="AN33" i="30"/>
  <c r="AU26" i="27"/>
  <c r="N8" i="31" s="1"/>
  <c r="AU29" i="17"/>
  <c r="F11" i="31" s="1"/>
  <c r="AU35" i="30"/>
  <c r="K9" i="31" s="1"/>
  <c r="AU29" i="27"/>
  <c r="N11" i="31" s="1"/>
  <c r="AW35" i="21"/>
  <c r="E32" i="31" s="1"/>
  <c r="AW37" i="21"/>
  <c r="E34" i="31" s="1"/>
  <c r="AV39" i="27"/>
  <c r="AH33" i="30"/>
  <c r="AJ33" i="30"/>
  <c r="AI33" i="30"/>
  <c r="AG33" i="30"/>
  <c r="AV26" i="22"/>
  <c r="AV26" i="30"/>
  <c r="J20" i="31" s="1"/>
  <c r="AV37" i="27"/>
  <c r="AV35" i="30"/>
  <c r="K21" i="31" s="1"/>
  <c r="AV39" i="21"/>
  <c r="AU33" i="17"/>
  <c r="G7" i="31" s="1"/>
  <c r="AW35" i="22"/>
  <c r="I32" i="31" s="1"/>
  <c r="AW34" i="22"/>
  <c r="I31" i="31" s="1"/>
  <c r="AW34" i="24"/>
  <c r="M31" i="31" s="1"/>
  <c r="AT33" i="30"/>
  <c r="AR33" i="30"/>
  <c r="AQ33" i="30"/>
  <c r="AS33" i="30"/>
  <c r="AV26" i="21"/>
  <c r="AW26" i="27"/>
  <c r="N31" i="31" s="1"/>
  <c r="AV34" i="17"/>
  <c r="G20" i="31" s="1"/>
  <c r="AW29" i="24"/>
  <c r="L34" i="31" s="1"/>
  <c r="AW34" i="17"/>
  <c r="G31" i="31" s="1"/>
  <c r="AW26" i="17"/>
  <c r="F31" i="31" s="1"/>
  <c r="AU37" i="17"/>
  <c r="G11" i="31" s="1"/>
  <c r="AW29" i="22"/>
  <c r="H34" i="31" s="1"/>
  <c r="AU32" i="27"/>
  <c r="O6" i="31" s="1"/>
  <c r="AV31" i="21"/>
  <c r="AU37" i="30"/>
  <c r="K11" i="31" s="1"/>
  <c r="AV34" i="30"/>
  <c r="K20" i="31" s="1"/>
  <c r="AV37" i="30"/>
  <c r="N19" i="31"/>
  <c r="N41" i="31" s="1"/>
  <c r="AW34" i="27"/>
  <c r="O31" i="31" s="1"/>
  <c r="AW34" i="30"/>
  <c r="K31" i="31" s="1"/>
  <c r="AW29" i="30"/>
  <c r="J34" i="31" s="1"/>
  <c r="AU37" i="21"/>
  <c r="E11" i="31" s="1"/>
  <c r="AW35" i="30"/>
  <c r="K32" i="31" s="1"/>
  <c r="AV38" i="17"/>
  <c r="G24" i="31" s="1"/>
  <c r="AW37" i="22"/>
  <c r="I34" i="31" s="1"/>
  <c r="AW26" i="30"/>
  <c r="AU37" i="27"/>
  <c r="O11" i="31" s="1"/>
  <c r="AU37" i="22"/>
  <c r="I11" i="31" s="1"/>
  <c r="AV26" i="17"/>
  <c r="F20" i="31" s="1"/>
  <c r="AV37" i="24"/>
  <c r="M23" i="31" s="1"/>
  <c r="AX25" i="22"/>
  <c r="AN30" i="24"/>
  <c r="AM30" i="24"/>
  <c r="AL30" i="24"/>
  <c r="AO30" i="24"/>
  <c r="AS38" i="30"/>
  <c r="AQ38" i="30"/>
  <c r="AR38" i="30"/>
  <c r="AT38" i="30"/>
  <c r="F40" i="31"/>
  <c r="AL31" i="30"/>
  <c r="AM31" i="30"/>
  <c r="AN31" i="30"/>
  <c r="AO31" i="30"/>
  <c r="AL31" i="27"/>
  <c r="AN31" i="27"/>
  <c r="AO31" i="27"/>
  <c r="AM31" i="27"/>
  <c r="AN27" i="30"/>
  <c r="AL27" i="30"/>
  <c r="AO27" i="30"/>
  <c r="AM27" i="30"/>
  <c r="AL31" i="22"/>
  <c r="AO31" i="22"/>
  <c r="AN31" i="22"/>
  <c r="AM31" i="22"/>
  <c r="AQ28" i="22"/>
  <c r="AT28" i="22"/>
  <c r="AR28" i="22"/>
  <c r="AS28" i="22"/>
  <c r="AS30" i="27"/>
  <c r="AQ30" i="27"/>
  <c r="AR30" i="27"/>
  <c r="AT30" i="27"/>
  <c r="AM32" i="24"/>
  <c r="AL32" i="24"/>
  <c r="AN32" i="24"/>
  <c r="AO32" i="24"/>
  <c r="AO38" i="24"/>
  <c r="AM38" i="24"/>
  <c r="AN38" i="24"/>
  <c r="AL38" i="24"/>
  <c r="AO32" i="22"/>
  <c r="AL32" i="22"/>
  <c r="AN32" i="22"/>
  <c r="AM32" i="22"/>
  <c r="AS30" i="24"/>
  <c r="AR30" i="24"/>
  <c r="AT30" i="24"/>
  <c r="AQ30" i="24"/>
  <c r="AQ28" i="21"/>
  <c r="AT28" i="21"/>
  <c r="AS28" i="21"/>
  <c r="AR28" i="21"/>
  <c r="AG31" i="17"/>
  <c r="AI31" i="17"/>
  <c r="AH31" i="17"/>
  <c r="AJ31" i="17"/>
  <c r="AM30" i="21"/>
  <c r="AL30" i="21"/>
  <c r="AO30" i="21"/>
  <c r="AN30" i="21"/>
  <c r="AO27" i="24"/>
  <c r="AN27" i="24"/>
  <c r="AM27" i="24"/>
  <c r="AL27" i="24"/>
  <c r="AL32" i="21"/>
  <c r="AN32" i="21"/>
  <c r="AO32" i="21"/>
  <c r="AM32" i="21"/>
  <c r="AN27" i="27"/>
  <c r="AM27" i="27"/>
  <c r="AO27" i="27"/>
  <c r="AL27" i="27"/>
  <c r="AI28" i="17"/>
  <c r="AJ28" i="17"/>
  <c r="AH28" i="17"/>
  <c r="AG28" i="17"/>
  <c r="AO32" i="17"/>
  <c r="AL32" i="17"/>
  <c r="AN32" i="17"/>
  <c r="AM32" i="17"/>
  <c r="AH27" i="17"/>
  <c r="AI27" i="17"/>
  <c r="AG27" i="17"/>
  <c r="AJ27" i="17"/>
  <c r="AT27" i="22"/>
  <c r="AQ27" i="22"/>
  <c r="AS27" i="22"/>
  <c r="AR27" i="22"/>
  <c r="AH27" i="21"/>
  <c r="AI27" i="21"/>
  <c r="AG27" i="21"/>
  <c r="AJ27" i="21"/>
  <c r="AI30" i="27"/>
  <c r="AJ30" i="27"/>
  <c r="AG30" i="27"/>
  <c r="AH30" i="27"/>
  <c r="AO28" i="30"/>
  <c r="AM28" i="30"/>
  <c r="AL28" i="30"/>
  <c r="AN28" i="30"/>
  <c r="AJ30" i="24"/>
  <c r="AI30" i="24"/>
  <c r="AH30" i="24"/>
  <c r="AG30" i="24"/>
  <c r="AQ30" i="21"/>
  <c r="AR30" i="21"/>
  <c r="AT30" i="21"/>
  <c r="AS30" i="21"/>
  <c r="AQ27" i="24"/>
  <c r="AR27" i="24"/>
  <c r="AS27" i="24"/>
  <c r="AT27" i="24"/>
  <c r="AT31" i="24"/>
  <c r="AS31" i="24"/>
  <c r="AR31" i="24"/>
  <c r="AQ31" i="24"/>
  <c r="AH27" i="27"/>
  <c r="AJ27" i="27"/>
  <c r="AG27" i="27"/>
  <c r="AI27" i="27"/>
  <c r="AT28" i="17"/>
  <c r="AR28" i="17"/>
  <c r="AS28" i="17"/>
  <c r="AQ28" i="17"/>
  <c r="AH32" i="17"/>
  <c r="AG32" i="17"/>
  <c r="AI32" i="17"/>
  <c r="AJ32" i="17"/>
  <c r="AS27" i="17"/>
  <c r="AR27" i="17"/>
  <c r="AQ27" i="17"/>
  <c r="AT27" i="17"/>
  <c r="AG27" i="22"/>
  <c r="AJ27" i="22"/>
  <c r="AI27" i="22"/>
  <c r="AH27" i="22"/>
  <c r="AN27" i="21"/>
  <c r="AM27" i="21"/>
  <c r="AO27" i="21"/>
  <c r="AL27" i="21"/>
  <c r="L40" i="31"/>
  <c r="AH31" i="24"/>
  <c r="AI31" i="24"/>
  <c r="AG31" i="24"/>
  <c r="AJ31" i="24"/>
  <c r="AR27" i="27"/>
  <c r="AQ27" i="27"/>
  <c r="AT27" i="27"/>
  <c r="AS27" i="27"/>
  <c r="AL28" i="24"/>
  <c r="AO28" i="24"/>
  <c r="AM28" i="24"/>
  <c r="AN28" i="24"/>
  <c r="AQ32" i="17"/>
  <c r="AS32" i="17"/>
  <c r="AR32" i="17"/>
  <c r="AT32" i="17"/>
  <c r="AL27" i="17"/>
  <c r="AO27" i="17"/>
  <c r="AN27" i="17"/>
  <c r="AM27" i="17"/>
  <c r="P29" i="31"/>
  <c r="AG28" i="30"/>
  <c r="AI28" i="30"/>
  <c r="AJ28" i="30"/>
  <c r="AH28" i="30"/>
  <c r="AR38" i="21"/>
  <c r="AT38" i="21"/>
  <c r="AS38" i="21"/>
  <c r="AQ38" i="21"/>
  <c r="AI38" i="30"/>
  <c r="AH38" i="30"/>
  <c r="AJ38" i="30"/>
  <c r="AG38" i="30"/>
  <c r="AI30" i="22"/>
  <c r="AJ30" i="22"/>
  <c r="AG30" i="22"/>
  <c r="AH30" i="22"/>
  <c r="AJ31" i="22"/>
  <c r="AI31" i="22"/>
  <c r="AG31" i="22"/>
  <c r="AH31" i="22"/>
  <c r="AL31" i="24"/>
  <c r="AO31" i="24"/>
  <c r="AM31" i="24"/>
  <c r="AN31" i="24"/>
  <c r="AT39" i="30"/>
  <c r="AR39" i="30"/>
  <c r="AQ39" i="30"/>
  <c r="AS39" i="30"/>
  <c r="AI28" i="24"/>
  <c r="AH28" i="24"/>
  <c r="AJ28" i="24"/>
  <c r="AG28" i="24"/>
  <c r="P7" i="31"/>
  <c r="AJ38" i="21"/>
  <c r="AI38" i="21"/>
  <c r="AH38" i="21"/>
  <c r="AG38" i="21"/>
  <c r="AM38" i="30"/>
  <c r="AL38" i="30"/>
  <c r="AO38" i="30"/>
  <c r="AN38" i="30"/>
  <c r="AQ30" i="22"/>
  <c r="AT30" i="22"/>
  <c r="AS30" i="22"/>
  <c r="AR30" i="22"/>
  <c r="AR31" i="22"/>
  <c r="AT31" i="22"/>
  <c r="AS31" i="22"/>
  <c r="AQ31" i="22"/>
  <c r="AL39" i="30"/>
  <c r="AN39" i="30"/>
  <c r="AO39" i="30"/>
  <c r="AM39" i="30"/>
  <c r="AO28" i="22"/>
  <c r="AN28" i="22"/>
  <c r="AM28" i="22"/>
  <c r="AL28" i="22"/>
  <c r="AQ28" i="24"/>
  <c r="AS28" i="24"/>
  <c r="AR28" i="24"/>
  <c r="AT28" i="24"/>
  <c r="J41" i="31"/>
  <c r="AM30" i="27"/>
  <c r="AO30" i="27"/>
  <c r="AL30" i="27"/>
  <c r="AN30" i="27"/>
  <c r="AL30" i="22"/>
  <c r="AO30" i="22"/>
  <c r="AN30" i="22"/>
  <c r="AM30" i="22"/>
  <c r="AL38" i="21"/>
  <c r="AO38" i="21"/>
  <c r="AN38" i="21"/>
  <c r="AM38" i="21"/>
  <c r="AS39" i="17"/>
  <c r="AR39" i="17"/>
  <c r="AQ39" i="17"/>
  <c r="AT39" i="17"/>
  <c r="AI30" i="30"/>
  <c r="AG30" i="30"/>
  <c r="AH30" i="30"/>
  <c r="AJ30" i="30"/>
  <c r="AT30" i="17"/>
  <c r="AR30" i="17"/>
  <c r="AQ30" i="17"/>
  <c r="AS30" i="17"/>
  <c r="AO38" i="22"/>
  <c r="AN38" i="22"/>
  <c r="AM38" i="22"/>
  <c r="AL38" i="22"/>
  <c r="AJ31" i="30"/>
  <c r="AH31" i="30"/>
  <c r="AG31" i="30"/>
  <c r="AI31" i="30"/>
  <c r="AT32" i="24"/>
  <c r="AS32" i="24"/>
  <c r="AR32" i="24"/>
  <c r="AQ32" i="24"/>
  <c r="AQ38" i="24"/>
  <c r="AT38" i="24"/>
  <c r="AS38" i="24"/>
  <c r="AR38" i="24"/>
  <c r="AI32" i="22"/>
  <c r="AJ32" i="22"/>
  <c r="AG32" i="22"/>
  <c r="AH32" i="22"/>
  <c r="AT31" i="27"/>
  <c r="AR31" i="27"/>
  <c r="AQ31" i="27"/>
  <c r="AS31" i="27"/>
  <c r="AT27" i="30"/>
  <c r="AR27" i="30"/>
  <c r="AS27" i="30"/>
  <c r="AQ27" i="30"/>
  <c r="AH39" i="24"/>
  <c r="AJ39" i="24"/>
  <c r="AG39" i="24"/>
  <c r="AI39" i="24"/>
  <c r="AQ28" i="27"/>
  <c r="AS28" i="27"/>
  <c r="AR28" i="27"/>
  <c r="AT28" i="27"/>
  <c r="AH28" i="21"/>
  <c r="AG28" i="21"/>
  <c r="AJ28" i="21"/>
  <c r="AI28" i="21"/>
  <c r="AQ31" i="17"/>
  <c r="AR31" i="17"/>
  <c r="AS31" i="17"/>
  <c r="AT31" i="17"/>
  <c r="AT32" i="21"/>
  <c r="AS32" i="21"/>
  <c r="AR32" i="21"/>
  <c r="AQ32" i="21"/>
  <c r="AO39" i="17"/>
  <c r="AN39" i="17"/>
  <c r="AL39" i="17"/>
  <c r="AM39" i="17"/>
  <c r="AG28" i="22"/>
  <c r="AJ28" i="22"/>
  <c r="AH28" i="22"/>
  <c r="AI28" i="22"/>
  <c r="AQ30" i="30"/>
  <c r="AS30" i="30"/>
  <c r="AR30" i="30"/>
  <c r="AT30" i="30"/>
  <c r="AN30" i="17"/>
  <c r="AM30" i="17"/>
  <c r="AL30" i="17"/>
  <c r="AO30" i="17"/>
  <c r="P6" i="31"/>
  <c r="AQ28" i="30"/>
  <c r="AT28" i="30"/>
  <c r="AS28" i="30"/>
  <c r="AR28" i="30"/>
  <c r="AI38" i="22"/>
  <c r="AJ38" i="22"/>
  <c r="AH38" i="22"/>
  <c r="AG38" i="22"/>
  <c r="AN39" i="24"/>
  <c r="AO39" i="24"/>
  <c r="AM39" i="24"/>
  <c r="AL39" i="24"/>
  <c r="AH28" i="27"/>
  <c r="AJ39" i="30"/>
  <c r="AG39" i="30"/>
  <c r="AI39" i="30"/>
  <c r="AH39" i="30"/>
  <c r="AQ38" i="22"/>
  <c r="AS38" i="22"/>
  <c r="AT38" i="22"/>
  <c r="AR38" i="22"/>
  <c r="AR31" i="30"/>
  <c r="AT31" i="30"/>
  <c r="AS31" i="30"/>
  <c r="AQ31" i="30"/>
  <c r="AI32" i="24"/>
  <c r="AH32" i="24"/>
  <c r="AG32" i="24"/>
  <c r="AJ32" i="24"/>
  <c r="AG38" i="24"/>
  <c r="AI38" i="24"/>
  <c r="AJ38" i="24"/>
  <c r="AH38" i="24"/>
  <c r="AS32" i="22"/>
  <c r="AR32" i="22"/>
  <c r="AQ32" i="22"/>
  <c r="AT32" i="22"/>
  <c r="AJ31" i="27"/>
  <c r="AH31" i="27"/>
  <c r="AI31" i="27"/>
  <c r="AG31" i="27"/>
  <c r="AH27" i="30"/>
  <c r="AI27" i="30"/>
  <c r="AJ27" i="30"/>
  <c r="AG27" i="30"/>
  <c r="AR39" i="24"/>
  <c r="AS39" i="24"/>
  <c r="AQ39" i="24"/>
  <c r="AT39" i="24"/>
  <c r="AO28" i="27"/>
  <c r="AL28" i="27"/>
  <c r="AN28" i="27"/>
  <c r="AM28" i="27"/>
  <c r="AM28" i="21"/>
  <c r="AN28" i="21"/>
  <c r="AL28" i="21"/>
  <c r="AO28" i="21"/>
  <c r="AO31" i="17"/>
  <c r="AN31" i="17"/>
  <c r="AM31" i="17"/>
  <c r="AL31" i="17"/>
  <c r="AI30" i="21"/>
  <c r="AG30" i="21"/>
  <c r="AJ30" i="21"/>
  <c r="AH30" i="21"/>
  <c r="AH27" i="24"/>
  <c r="AG27" i="24"/>
  <c r="AJ27" i="24"/>
  <c r="AI27" i="24"/>
  <c r="AJ32" i="21"/>
  <c r="AI32" i="21"/>
  <c r="AH32" i="21"/>
  <c r="AG32" i="21"/>
  <c r="AG39" i="17"/>
  <c r="AI39" i="17"/>
  <c r="AH39" i="17"/>
  <c r="AJ39" i="17"/>
  <c r="AL28" i="17"/>
  <c r="AM28" i="17"/>
  <c r="AN28" i="17"/>
  <c r="AO28" i="17"/>
  <c r="AO30" i="30"/>
  <c r="AN30" i="30"/>
  <c r="AL30" i="30"/>
  <c r="AM30" i="30"/>
  <c r="AJ30" i="17"/>
  <c r="AI30" i="17"/>
  <c r="AH30" i="17"/>
  <c r="AG30" i="17"/>
  <c r="AN27" i="22"/>
  <c r="AO27" i="22"/>
  <c r="AL27" i="22"/>
  <c r="AM27" i="22"/>
  <c r="AS27" i="21"/>
  <c r="AQ27" i="21"/>
  <c r="AR27" i="21"/>
  <c r="AT27" i="21"/>
  <c r="N40" i="31"/>
  <c r="H40" i="31"/>
  <c r="AJ28" i="27" l="1"/>
  <c r="AG28" i="27"/>
  <c r="AU36" i="21"/>
  <c r="E10" i="31" s="1"/>
  <c r="AV36" i="17"/>
  <c r="G22" i="31" s="1"/>
  <c r="AU36" i="17"/>
  <c r="G10" i="31" s="1"/>
  <c r="AW36" i="22"/>
  <c r="I33" i="31" s="1"/>
  <c r="AV36" i="21"/>
  <c r="E22" i="31" s="1"/>
  <c r="AW36" i="21"/>
  <c r="E33" i="31" s="1"/>
  <c r="AU36" i="30"/>
  <c r="K10" i="31" s="1"/>
  <c r="AU36" i="24"/>
  <c r="M10" i="31" s="1"/>
  <c r="AW36" i="24"/>
  <c r="M33" i="31" s="1"/>
  <c r="AV36" i="27"/>
  <c r="AV36" i="24"/>
  <c r="M22" i="31" s="1"/>
  <c r="M44" i="31" s="1"/>
  <c r="O22" i="31"/>
  <c r="AV36" i="30"/>
  <c r="AV36" i="22"/>
  <c r="AU36" i="22"/>
  <c r="I10" i="31" s="1"/>
  <c r="AW36" i="17"/>
  <c r="G33" i="31" s="1"/>
  <c r="AU36" i="27"/>
  <c r="O10" i="31" s="1"/>
  <c r="AW36" i="27"/>
  <c r="O33" i="31" s="1"/>
  <c r="AW36" i="30"/>
  <c r="K33" i="31" s="1"/>
  <c r="AU32" i="30"/>
  <c r="K6" i="31" s="1"/>
  <c r="P18" i="31"/>
  <c r="AV33" i="27"/>
  <c r="O19" i="31" s="1"/>
  <c r="E42" i="31"/>
  <c r="AU39" i="21"/>
  <c r="E13" i="31" s="1"/>
  <c r="AU39" i="22"/>
  <c r="I13" i="31" s="1"/>
  <c r="G43" i="31"/>
  <c r="AW39" i="22"/>
  <c r="I36" i="31" s="1"/>
  <c r="I47" i="31" s="1"/>
  <c r="D45" i="31"/>
  <c r="AX35" i="27"/>
  <c r="AV38" i="27"/>
  <c r="O24" i="31" s="1"/>
  <c r="AV33" i="21"/>
  <c r="E19" i="31" s="1"/>
  <c r="E41" i="31" s="1"/>
  <c r="AU33" i="21"/>
  <c r="E7" i="31" s="1"/>
  <c r="AV32" i="27"/>
  <c r="O18" i="31" s="1"/>
  <c r="AX34" i="21"/>
  <c r="AX35" i="17"/>
  <c r="AW38" i="27"/>
  <c r="O35" i="31" s="1"/>
  <c r="AX33" i="22"/>
  <c r="AU31" i="21"/>
  <c r="D13" i="31" s="1"/>
  <c r="AX37" i="17"/>
  <c r="AU39" i="27"/>
  <c r="O13" i="31" s="1"/>
  <c r="AX37" i="30"/>
  <c r="AU38" i="17"/>
  <c r="G12" i="31" s="1"/>
  <c r="I41" i="31"/>
  <c r="AW32" i="27"/>
  <c r="O29" i="31" s="1"/>
  <c r="AU33" i="24"/>
  <c r="M7" i="31" s="1"/>
  <c r="AW33" i="27"/>
  <c r="O30" i="31" s="1"/>
  <c r="O41" i="31" s="1"/>
  <c r="AW38" i="17"/>
  <c r="G35" i="31" s="1"/>
  <c r="G46" i="31" s="1"/>
  <c r="AU39" i="17"/>
  <c r="G13" i="31" s="1"/>
  <c r="AV28" i="27"/>
  <c r="N22" i="31" s="1"/>
  <c r="AU27" i="30"/>
  <c r="J9" i="31" s="1"/>
  <c r="AW38" i="22"/>
  <c r="I35" i="31" s="1"/>
  <c r="O21" i="31"/>
  <c r="O43" i="31" s="1"/>
  <c r="AX26" i="24"/>
  <c r="AU39" i="24"/>
  <c r="M13" i="31" s="1"/>
  <c r="I45" i="31"/>
  <c r="AX26" i="30"/>
  <c r="AX37" i="22"/>
  <c r="J45" i="31"/>
  <c r="I42" i="31"/>
  <c r="K43" i="31"/>
  <c r="L20" i="31"/>
  <c r="L42" i="31" s="1"/>
  <c r="AW27" i="24"/>
  <c r="L32" i="31" s="1"/>
  <c r="AW31" i="17"/>
  <c r="F36" i="31" s="1"/>
  <c r="AX34" i="22"/>
  <c r="K23" i="31"/>
  <c r="K45" i="31" s="1"/>
  <c r="Q8" i="31"/>
  <c r="AW32" i="21"/>
  <c r="E29" i="31" s="1"/>
  <c r="AW38" i="21"/>
  <c r="E35" i="31" s="1"/>
  <c r="AX37" i="21"/>
  <c r="AW32" i="30"/>
  <c r="K29" i="31" s="1"/>
  <c r="AW31" i="30"/>
  <c r="J36" i="31" s="1"/>
  <c r="G41" i="31"/>
  <c r="AX33" i="17"/>
  <c r="F45" i="31"/>
  <c r="AW30" i="21"/>
  <c r="D35" i="31" s="1"/>
  <c r="AX26" i="27"/>
  <c r="AW39" i="27"/>
  <c r="O36" i="31" s="1"/>
  <c r="AW27" i="17"/>
  <c r="F32" i="31" s="1"/>
  <c r="E23" i="31"/>
  <c r="E45" i="31" s="1"/>
  <c r="D25" i="31"/>
  <c r="AX29" i="21"/>
  <c r="AX34" i="30"/>
  <c r="AW39" i="21"/>
  <c r="E36" i="31" s="1"/>
  <c r="AW31" i="21"/>
  <c r="D36" i="31" s="1"/>
  <c r="AV30" i="17"/>
  <c r="F24" i="31" s="1"/>
  <c r="AX26" i="17"/>
  <c r="AU38" i="24"/>
  <c r="M12" i="31" s="1"/>
  <c r="AV39" i="24"/>
  <c r="M25" i="31" s="1"/>
  <c r="AX37" i="27"/>
  <c r="AW30" i="24"/>
  <c r="L35" i="31" s="1"/>
  <c r="M43" i="31"/>
  <c r="AX26" i="22"/>
  <c r="M45" i="31"/>
  <c r="AX29" i="24"/>
  <c r="AW33" i="24"/>
  <c r="M30" i="31" s="1"/>
  <c r="H20" i="31"/>
  <c r="H42" i="31" s="1"/>
  <c r="AW33" i="30"/>
  <c r="K30" i="31" s="1"/>
  <c r="AX29" i="27"/>
  <c r="AX35" i="24"/>
  <c r="AU31" i="24"/>
  <c r="L13" i="31" s="1"/>
  <c r="L23" i="31"/>
  <c r="L45" i="31" s="1"/>
  <c r="N45" i="31"/>
  <c r="P8" i="31"/>
  <c r="AU31" i="30"/>
  <c r="J13" i="31" s="1"/>
  <c r="G42" i="31"/>
  <c r="N42" i="31"/>
  <c r="AU38" i="21"/>
  <c r="E12" i="31" s="1"/>
  <c r="AV27" i="24"/>
  <c r="K42" i="31"/>
  <c r="AX35" i="30"/>
  <c r="Q32" i="31"/>
  <c r="Q9" i="31"/>
  <c r="AV28" i="17"/>
  <c r="F22" i="31" s="1"/>
  <c r="AU30" i="21"/>
  <c r="D12" i="31" s="1"/>
  <c r="AX29" i="17"/>
  <c r="AW27" i="27"/>
  <c r="N32" i="31" s="1"/>
  <c r="AW27" i="22"/>
  <c r="H32" i="31" s="1"/>
  <c r="AV32" i="17"/>
  <c r="G18" i="31" s="1"/>
  <c r="AX37" i="24"/>
  <c r="P34" i="31"/>
  <c r="AU33" i="30"/>
  <c r="K7" i="31" s="1"/>
  <c r="P11" i="31"/>
  <c r="M19" i="31"/>
  <c r="AV30" i="30"/>
  <c r="J24" i="31" s="1"/>
  <c r="AV39" i="30"/>
  <c r="K18" i="31"/>
  <c r="J31" i="31"/>
  <c r="P31" i="31" s="1"/>
  <c r="AW30" i="17"/>
  <c r="F35" i="31" s="1"/>
  <c r="AV38" i="30"/>
  <c r="AV31" i="24"/>
  <c r="L25" i="31" s="1"/>
  <c r="D40" i="31"/>
  <c r="P40" i="31" s="1"/>
  <c r="AW28" i="21"/>
  <c r="D33" i="31" s="1"/>
  <c r="AV32" i="22"/>
  <c r="I18" i="31" s="1"/>
  <c r="AV32" i="24"/>
  <c r="M18" i="31" s="1"/>
  <c r="E25" i="31"/>
  <c r="G23" i="31"/>
  <c r="G45" i="31" s="1"/>
  <c r="AX34" i="17"/>
  <c r="AV31" i="27"/>
  <c r="N25" i="31" s="1"/>
  <c r="AV27" i="27"/>
  <c r="N21" i="31" s="1"/>
  <c r="Q34" i="31"/>
  <c r="AW27" i="30"/>
  <c r="J32" i="31" s="1"/>
  <c r="AV27" i="21"/>
  <c r="D21" i="31" s="1"/>
  <c r="AW28" i="17"/>
  <c r="F33" i="31" s="1"/>
  <c r="AW31" i="24"/>
  <c r="L36" i="31" s="1"/>
  <c r="AV27" i="30"/>
  <c r="J21" i="31" s="1"/>
  <c r="AV27" i="22"/>
  <c r="AW39" i="24"/>
  <c r="M36" i="31" s="1"/>
  <c r="AU39" i="30"/>
  <c r="K13" i="31" s="1"/>
  <c r="AW28" i="27"/>
  <c r="N33" i="31" s="1"/>
  <c r="AU32" i="22"/>
  <c r="I6" i="31" s="1"/>
  <c r="AW32" i="24"/>
  <c r="M29" i="31" s="1"/>
  <c r="AV38" i="22"/>
  <c r="I24" i="31" s="1"/>
  <c r="AU28" i="24"/>
  <c r="L10" i="31" s="1"/>
  <c r="AU28" i="30"/>
  <c r="J10" i="31" s="1"/>
  <c r="AW38" i="30"/>
  <c r="K35" i="31" s="1"/>
  <c r="F42" i="31"/>
  <c r="Q11" i="31"/>
  <c r="AV33" i="30"/>
  <c r="AW31" i="22"/>
  <c r="H36" i="31" s="1"/>
  <c r="AV31" i="30"/>
  <c r="J25" i="31" s="1"/>
  <c r="AX29" i="30"/>
  <c r="AU32" i="24"/>
  <c r="M6" i="31" s="1"/>
  <c r="AU30" i="17"/>
  <c r="F12" i="31" s="1"/>
  <c r="AU27" i="24"/>
  <c r="L9" i="31" s="1"/>
  <c r="AU38" i="22"/>
  <c r="I12" i="31" s="1"/>
  <c r="AW30" i="30"/>
  <c r="J35" i="31" s="1"/>
  <c r="AU28" i="21"/>
  <c r="D10" i="31" s="1"/>
  <c r="AW38" i="24"/>
  <c r="M35" i="31" s="1"/>
  <c r="AX35" i="21"/>
  <c r="AV30" i="22"/>
  <c r="H24" i="31" s="1"/>
  <c r="AW28" i="24"/>
  <c r="L33" i="31" s="1"/>
  <c r="AW32" i="17"/>
  <c r="G29" i="31" s="1"/>
  <c r="O42" i="31"/>
  <c r="AU27" i="27"/>
  <c r="N9" i="31" s="1"/>
  <c r="AV28" i="30"/>
  <c r="J22" i="31" s="1"/>
  <c r="AU28" i="17"/>
  <c r="F10" i="31" s="1"/>
  <c r="AV38" i="24"/>
  <c r="I43" i="31"/>
  <c r="H45" i="31"/>
  <c r="O25" i="31"/>
  <c r="Q31" i="31"/>
  <c r="AU30" i="22"/>
  <c r="H12" i="31" s="1"/>
  <c r="AV28" i="24"/>
  <c r="AU31" i="17"/>
  <c r="F13" i="31" s="1"/>
  <c r="AW28" i="22"/>
  <c r="H33" i="31" s="1"/>
  <c r="M42" i="31"/>
  <c r="AU30" i="30"/>
  <c r="J12" i="31" s="1"/>
  <c r="AW28" i="30"/>
  <c r="J33" i="31" s="1"/>
  <c r="AV39" i="17"/>
  <c r="G25" i="31" s="1"/>
  <c r="AW31" i="27"/>
  <c r="N36" i="31" s="1"/>
  <c r="AU38" i="30"/>
  <c r="K12" i="31" s="1"/>
  <c r="AV27" i="17"/>
  <c r="AX34" i="27"/>
  <c r="AU27" i="22"/>
  <c r="H9" i="31" s="1"/>
  <c r="AU32" i="17"/>
  <c r="G6" i="31" s="1"/>
  <c r="AU30" i="27"/>
  <c r="N12" i="31" s="1"/>
  <c r="AU27" i="21"/>
  <c r="D9" i="31" s="1"/>
  <c r="AV32" i="21"/>
  <c r="AV30" i="24"/>
  <c r="L24" i="31" s="1"/>
  <c r="AX35" i="22"/>
  <c r="O23" i="31"/>
  <c r="O45" i="31" s="1"/>
  <c r="AX29" i="22"/>
  <c r="P19" i="31"/>
  <c r="D20" i="31"/>
  <c r="D42" i="31" s="1"/>
  <c r="AX26" i="21"/>
  <c r="AV31" i="17"/>
  <c r="AW32" i="22"/>
  <c r="I29" i="31" s="1"/>
  <c r="AU28" i="22"/>
  <c r="H10" i="31" s="1"/>
  <c r="AW30" i="27"/>
  <c r="N35" i="31" s="1"/>
  <c r="AX34" i="24"/>
  <c r="AW27" i="21"/>
  <c r="D32" i="31" s="1"/>
  <c r="AU32" i="21"/>
  <c r="E6" i="31" s="1"/>
  <c r="AV28" i="21"/>
  <c r="D22" i="31" s="1"/>
  <c r="AU31" i="27"/>
  <c r="N13" i="31" s="1"/>
  <c r="AU28" i="27"/>
  <c r="N10" i="31" s="1"/>
  <c r="AW39" i="17"/>
  <c r="G36" i="31" s="1"/>
  <c r="AV38" i="21"/>
  <c r="AV30" i="27"/>
  <c r="AV28" i="22"/>
  <c r="H22" i="31" s="1"/>
  <c r="AW30" i="22"/>
  <c r="H35" i="31" s="1"/>
  <c r="AW39" i="30"/>
  <c r="K36" i="31" s="1"/>
  <c r="AU31" i="22"/>
  <c r="H13" i="31" s="1"/>
  <c r="AU30" i="24"/>
  <c r="L12" i="31" s="1"/>
  <c r="AU27" i="17"/>
  <c r="F9" i="31" s="1"/>
  <c r="AV30" i="21"/>
  <c r="AV31" i="22"/>
  <c r="E43" i="31"/>
  <c r="P41" i="31"/>
  <c r="Q20" i="31"/>
  <c r="E44" i="31" l="1"/>
  <c r="Q10" i="31"/>
  <c r="AX36" i="17"/>
  <c r="Q33" i="31"/>
  <c r="AX36" i="24"/>
  <c r="AX36" i="21"/>
  <c r="O14" i="31"/>
  <c r="K22" i="31"/>
  <c r="K44" i="31" s="1"/>
  <c r="AX36" i="30"/>
  <c r="O44" i="31"/>
  <c r="I22" i="31"/>
  <c r="AX36" i="22"/>
  <c r="AX36" i="27"/>
  <c r="G44" i="31"/>
  <c r="AX39" i="22"/>
  <c r="I46" i="31"/>
  <c r="AX33" i="21"/>
  <c r="Q7" i="31"/>
  <c r="O40" i="31"/>
  <c r="AX38" i="21"/>
  <c r="O46" i="31"/>
  <c r="AX39" i="30"/>
  <c r="K25" i="31"/>
  <c r="Q25" i="31" s="1"/>
  <c r="H46" i="31"/>
  <c r="AX27" i="22"/>
  <c r="AX27" i="24"/>
  <c r="AX38" i="27"/>
  <c r="H14" i="31"/>
  <c r="Q42" i="31"/>
  <c r="M14" i="31"/>
  <c r="J42" i="31"/>
  <c r="P42" i="31" s="1"/>
  <c r="AX38" i="24"/>
  <c r="AX32" i="27"/>
  <c r="E37" i="31"/>
  <c r="AX32" i="21"/>
  <c r="AX33" i="27"/>
  <c r="Q21" i="31"/>
  <c r="O37" i="31"/>
  <c r="N44" i="31"/>
  <c r="P36" i="31"/>
  <c r="AX28" i="27"/>
  <c r="Q13" i="31"/>
  <c r="G14" i="31"/>
  <c r="Q30" i="31"/>
  <c r="AX38" i="17"/>
  <c r="AX30" i="30"/>
  <c r="E47" i="31"/>
  <c r="F44" i="31"/>
  <c r="P23" i="31"/>
  <c r="Q12" i="31"/>
  <c r="D47" i="31"/>
  <c r="J47" i="31"/>
  <c r="AX31" i="17"/>
  <c r="AX31" i="24"/>
  <c r="K40" i="31"/>
  <c r="AX32" i="17"/>
  <c r="AX31" i="30"/>
  <c r="AX31" i="22"/>
  <c r="AX30" i="27"/>
  <c r="P45" i="31"/>
  <c r="AX32" i="30"/>
  <c r="P13" i="31"/>
  <c r="E24" i="31"/>
  <c r="E46" i="31" s="1"/>
  <c r="L46" i="31"/>
  <c r="AW40" i="21"/>
  <c r="AW41" i="21" s="1"/>
  <c r="AX39" i="27"/>
  <c r="M41" i="31"/>
  <c r="AX30" i="21"/>
  <c r="AV40" i="27"/>
  <c r="AV41" i="27" s="1"/>
  <c r="O26" i="31"/>
  <c r="H25" i="31"/>
  <c r="H47" i="31" s="1"/>
  <c r="AV40" i="30"/>
  <c r="AV41" i="30" s="1"/>
  <c r="AX38" i="30"/>
  <c r="AX33" i="24"/>
  <c r="AX39" i="21"/>
  <c r="K24" i="31"/>
  <c r="H44" i="31"/>
  <c r="O47" i="31"/>
  <c r="G37" i="31"/>
  <c r="L14" i="31"/>
  <c r="J37" i="31"/>
  <c r="P35" i="31"/>
  <c r="E14" i="31"/>
  <c r="AX31" i="21"/>
  <c r="J43" i="31"/>
  <c r="AV40" i="21"/>
  <c r="AV41" i="21" s="1"/>
  <c r="Q29" i="31"/>
  <c r="K14" i="31"/>
  <c r="F14" i="31"/>
  <c r="Q35" i="31"/>
  <c r="AV40" i="22"/>
  <c r="AV41" i="22" s="1"/>
  <c r="AX27" i="30"/>
  <c r="Q43" i="31"/>
  <c r="AU40" i="22"/>
  <c r="AU41" i="22" s="1"/>
  <c r="L21" i="31"/>
  <c r="L43" i="31" s="1"/>
  <c r="H21" i="31"/>
  <c r="AX27" i="21"/>
  <c r="AX28" i="30"/>
  <c r="Q36" i="31"/>
  <c r="N37" i="31"/>
  <c r="J44" i="31"/>
  <c r="M37" i="31"/>
  <c r="P12" i="31"/>
  <c r="Q45" i="31"/>
  <c r="F37" i="31"/>
  <c r="D24" i="31"/>
  <c r="AX27" i="27"/>
  <c r="AV40" i="17"/>
  <c r="AV41" i="17" s="1"/>
  <c r="J14" i="31"/>
  <c r="G47" i="31"/>
  <c r="AV40" i="24"/>
  <c r="AV41" i="24" s="1"/>
  <c r="F46" i="31"/>
  <c r="N24" i="31"/>
  <c r="N46" i="31" s="1"/>
  <c r="Q6" i="31"/>
  <c r="AX39" i="17"/>
  <c r="I14" i="31"/>
  <c r="P33" i="31"/>
  <c r="AX30" i="17"/>
  <c r="AX28" i="22"/>
  <c r="AX33" i="30"/>
  <c r="K19" i="31"/>
  <c r="P20" i="31"/>
  <c r="Q23" i="31"/>
  <c r="E18" i="31"/>
  <c r="AX27" i="17"/>
  <c r="F25" i="31"/>
  <c r="F47" i="31" s="1"/>
  <c r="AU40" i="30"/>
  <c r="AU41" i="30" s="1"/>
  <c r="H37" i="31"/>
  <c r="M47" i="31"/>
  <c r="AX32" i="24"/>
  <c r="AU40" i="17"/>
  <c r="AU41" i="17" s="1"/>
  <c r="AX30" i="22"/>
  <c r="AU40" i="27"/>
  <c r="AU41" i="27" s="1"/>
  <c r="AX38" i="22"/>
  <c r="N14" i="31"/>
  <c r="O16" i="31" s="1"/>
  <c r="AX30" i="24"/>
  <c r="F21" i="31"/>
  <c r="I37" i="31"/>
  <c r="AX28" i="24"/>
  <c r="AW40" i="22"/>
  <c r="AW41" i="22" s="1"/>
  <c r="AW40" i="30"/>
  <c r="AW41" i="30" s="1"/>
  <c r="AW40" i="27"/>
  <c r="AW41" i="27" s="1"/>
  <c r="N47" i="31"/>
  <c r="AW40" i="17"/>
  <c r="AW41" i="17" s="1"/>
  <c r="AX39" i="24"/>
  <c r="AX28" i="21"/>
  <c r="M24" i="31"/>
  <c r="M46" i="31" s="1"/>
  <c r="L22" i="31"/>
  <c r="L44" i="31" s="1"/>
  <c r="AX31" i="27"/>
  <c r="AW40" i="24"/>
  <c r="AW41" i="24" s="1"/>
  <c r="P10" i="31"/>
  <c r="L37" i="31"/>
  <c r="AU40" i="21"/>
  <c r="AU41" i="21" s="1"/>
  <c r="AX32" i="22"/>
  <c r="K37" i="31"/>
  <c r="L47" i="31"/>
  <c r="AU40" i="24"/>
  <c r="AU41" i="24" s="1"/>
  <c r="J46" i="31"/>
  <c r="AX28" i="17"/>
  <c r="G26" i="31"/>
  <c r="G40" i="31"/>
  <c r="P9" i="31"/>
  <c r="D14" i="31"/>
  <c r="I40" i="31"/>
  <c r="I26" i="31"/>
  <c r="J26" i="31"/>
  <c r="D44" i="31"/>
  <c r="N43" i="31"/>
  <c r="M40" i="31"/>
  <c r="D43" i="31"/>
  <c r="P32" i="31"/>
  <c r="D37" i="31"/>
  <c r="I44" i="31" l="1"/>
  <c r="Q44" i="31" s="1"/>
  <c r="Q22" i="31"/>
  <c r="O48" i="31"/>
  <c r="H26" i="31"/>
  <c r="K47" i="31"/>
  <c r="Q47" i="31" s="1"/>
  <c r="F15" i="31"/>
  <c r="M16" i="31"/>
  <c r="E26" i="31"/>
  <c r="G48" i="31"/>
  <c r="P21" i="31"/>
  <c r="H15" i="31"/>
  <c r="Q24" i="31"/>
  <c r="E15" i="31"/>
  <c r="K26" i="31"/>
  <c r="K46" i="31"/>
  <c r="Q46" i="31" s="1"/>
  <c r="AX40" i="24"/>
  <c r="AX41" i="24" s="1"/>
  <c r="Q18" i="31"/>
  <c r="AX40" i="17"/>
  <c r="AX41" i="17" s="1"/>
  <c r="K16" i="31"/>
  <c r="Q14" i="31"/>
  <c r="L26" i="31"/>
  <c r="AX40" i="22"/>
  <c r="AX41" i="22" s="1"/>
  <c r="N26" i="31"/>
  <c r="I15" i="31"/>
  <c r="Q37" i="31"/>
  <c r="P24" i="31"/>
  <c r="AX40" i="30"/>
  <c r="AX41" i="30" s="1"/>
  <c r="H43" i="31"/>
  <c r="H48" i="31" s="1"/>
  <c r="E40" i="31"/>
  <c r="Q40" i="31" s="1"/>
  <c r="G15" i="31"/>
  <c r="AX40" i="27"/>
  <c r="AX41" i="27" s="1"/>
  <c r="D46" i="31"/>
  <c r="D48" i="31" s="1"/>
  <c r="F43" i="31"/>
  <c r="F48" i="31" s="1"/>
  <c r="G50" i="31" s="1"/>
  <c r="G16" i="31"/>
  <c r="M26" i="31"/>
  <c r="J48" i="31"/>
  <c r="AX40" i="21"/>
  <c r="AX41" i="21" s="1"/>
  <c r="P37" i="31"/>
  <c r="N48" i="31"/>
  <c r="P44" i="31"/>
  <c r="L48" i="31"/>
  <c r="D26" i="31"/>
  <c r="P22" i="31"/>
  <c r="I16" i="31"/>
  <c r="P47" i="31"/>
  <c r="M48" i="31"/>
  <c r="K41" i="31"/>
  <c r="Q19" i="31"/>
  <c r="P25" i="31"/>
  <c r="F26" i="31"/>
  <c r="P14" i="31"/>
  <c r="E16" i="31"/>
  <c r="D15" i="31"/>
  <c r="I48" i="31" l="1"/>
  <c r="F49" i="31" s="1"/>
  <c r="M50" i="31"/>
  <c r="O50" i="31"/>
  <c r="E49" i="31"/>
  <c r="I49" i="31"/>
  <c r="Q38" i="31"/>
  <c r="Q26" i="31"/>
  <c r="E48" i="31"/>
  <c r="E50" i="31" s="1"/>
  <c r="P26" i="31"/>
  <c r="H49" i="31"/>
  <c r="R37" i="31"/>
  <c r="P43" i="31"/>
  <c r="P46" i="31"/>
  <c r="Q41" i="31"/>
  <c r="K48" i="31"/>
  <c r="K50" i="31" s="1"/>
  <c r="P48" i="31"/>
  <c r="R14" i="31"/>
  <c r="Q15" i="31"/>
  <c r="I50" i="31" l="1"/>
  <c r="R26" i="31"/>
  <c r="Q48" i="31"/>
  <c r="Q49" i="31" s="1"/>
  <c r="D49" i="31"/>
  <c r="Q27" i="31"/>
  <c r="G49" i="31"/>
  <c r="R48" i="31" l="1"/>
</calcChain>
</file>

<file path=xl/comments1.xml><?xml version="1.0" encoding="utf-8"?>
<comments xmlns="http://schemas.openxmlformats.org/spreadsheetml/2006/main">
  <authors>
    <author>JamesW</author>
    <author>James Woodcock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JamesW:</t>
        </r>
        <r>
          <rPr>
            <sz val="9"/>
            <color indexed="81"/>
            <rFont val="Tahoma"/>
            <family val="2"/>
          </rPr>
          <t xml:space="preserve"> does not include non travel METs in calculation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JamesW:</t>
        </r>
        <r>
          <rPr>
            <sz val="9"/>
            <color indexed="81"/>
            <rFont val="Tahoma"/>
            <family val="2"/>
          </rPr>
          <t xml:space="preserve">
Does not include non travel METs in calculation
</t>
        </r>
      </text>
    </comment>
    <comment ref="B13" authorId="1">
      <text>
        <r>
          <rPr>
            <b/>
            <sz val="8"/>
            <color indexed="81"/>
            <rFont val="Tahoma"/>
            <family val="2"/>
          </rPr>
          <t>James Woodcock:</t>
        </r>
        <r>
          <rPr>
            <sz val="8"/>
            <color indexed="81"/>
            <rFont val="Tahoma"/>
            <family val="2"/>
          </rPr>
          <t xml:space="preserve">
best fit 0.25
</t>
        </r>
      </text>
    </comment>
    <comment ref="D14" authorId="1">
      <text>
        <r>
          <rPr>
            <b/>
            <sz val="8"/>
            <color indexed="81"/>
            <rFont val="Tahoma"/>
            <family val="2"/>
          </rPr>
          <t>James Woodcock:</t>
        </r>
        <r>
          <rPr>
            <sz val="8"/>
            <color indexed="81"/>
            <rFont val="Tahoma"/>
            <family val="2"/>
          </rPr>
          <t xml:space="preserve">
cycling alone
</t>
        </r>
      </text>
    </comment>
    <comment ref="B16" authorId="1">
      <text>
        <r>
          <rPr>
            <b/>
            <sz val="8"/>
            <color indexed="81"/>
            <rFont val="Tahoma"/>
            <family val="2"/>
          </rPr>
          <t>James Woodcock:</t>
        </r>
        <r>
          <rPr>
            <sz val="8"/>
            <color indexed="81"/>
            <rFont val="Tahoma"/>
            <family val="2"/>
          </rPr>
          <t xml:space="preserve">
0.375 best fit
</t>
        </r>
      </text>
    </comment>
  </commentList>
</comments>
</file>

<file path=xl/comments2.xml><?xml version="1.0" encoding="utf-8"?>
<comments xmlns="http://schemas.openxmlformats.org/spreadsheetml/2006/main">
  <authors>
    <author>Alex</author>
  </authors>
  <commentList>
    <comment ref="B168" authorId="0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The RRs are too high - I think when Teri coded Rheumatic heart disease, it was not mutually exclusive with all of the other diseases. </t>
        </r>
      </text>
    </comment>
  </commentList>
</comments>
</file>

<file path=xl/sharedStrings.xml><?xml version="1.0" encoding="utf-8"?>
<sst xmlns="http://schemas.openxmlformats.org/spreadsheetml/2006/main" count="4692" uniqueCount="317">
  <si>
    <t>age</t>
  </si>
  <si>
    <t>sex</t>
  </si>
  <si>
    <t>AF</t>
  </si>
  <si>
    <t>US</t>
  </si>
  <si>
    <t>Fresno</t>
  </si>
  <si>
    <t>Row Labels</t>
  </si>
  <si>
    <t>Grand Total</t>
  </si>
  <si>
    <t>Column Labels</t>
  </si>
  <si>
    <t>Breast Cancer</t>
  </si>
  <si>
    <t>0-4</t>
  </si>
  <si>
    <t xml:space="preserve"> 5-14</t>
  </si>
  <si>
    <t xml:space="preserve"> 15-29</t>
  </si>
  <si>
    <t xml:space="preserve"> 30-44</t>
  </si>
  <si>
    <t xml:space="preserve"> 45-59</t>
  </si>
  <si>
    <t xml:space="preserve"> 60-69</t>
  </si>
  <si>
    <t xml:space="preserve"> 70-79</t>
  </si>
  <si>
    <t xml:space="preserve"> 80+</t>
  </si>
  <si>
    <t>Total</t>
  </si>
  <si>
    <t>Colon Cancer</t>
  </si>
  <si>
    <t xml:space="preserve">Total </t>
  </si>
  <si>
    <t>Hypertensive HD</t>
  </si>
  <si>
    <t>IHD</t>
  </si>
  <si>
    <t>Stroke</t>
  </si>
  <si>
    <t>Dementia</t>
  </si>
  <si>
    <t>Sex</t>
  </si>
  <si>
    <t>Age</t>
  </si>
  <si>
    <t>yll</t>
  </si>
  <si>
    <t>yld</t>
  </si>
  <si>
    <t>daly</t>
  </si>
  <si>
    <t>population</t>
  </si>
  <si>
    <t>deaths</t>
  </si>
  <si>
    <t>Diabetes</t>
  </si>
  <si>
    <t>Depression</t>
  </si>
  <si>
    <t>Lung Cancer</t>
  </si>
  <si>
    <t xml:space="preserve">Respiratory diseases </t>
  </si>
  <si>
    <t>Number</t>
  </si>
  <si>
    <t>Both sexes</t>
  </si>
  <si>
    <t>Male</t>
  </si>
  <si>
    <t>Female</t>
  </si>
  <si>
    <t>Total population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</si>
  <si>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</si>
  <si>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</si>
  <si>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</si>
  <si>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</si>
  <si>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</si>
  <si>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</si>
  <si>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</si>
  <si>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</si>
  <si>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</si>
  <si>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</si>
  <si>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</si>
  <si>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</si>
  <si>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</si>
  <si>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</si>
  <si>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</si>
  <si>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</si>
  <si>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</si>
  <si>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</si>
  <si>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years and over</t>
  </si>
  <si>
    <t>United States</t>
  </si>
  <si>
    <t>Fresno County</t>
  </si>
  <si>
    <t>15-29</t>
  </si>
  <si>
    <t>30-44</t>
  </si>
  <si>
    <t>45-59</t>
  </si>
  <si>
    <t>60-69</t>
  </si>
  <si>
    <t>70-79</t>
  </si>
  <si>
    <t>80+</t>
  </si>
  <si>
    <t>Rheumatic HD</t>
  </si>
  <si>
    <t>Road injuries</t>
  </si>
  <si>
    <t>F = 1, M = 2</t>
  </si>
  <si>
    <t>Scenario</t>
  </si>
  <si>
    <t>walk</t>
  </si>
  <si>
    <t>m</t>
  </si>
  <si>
    <t>f</t>
  </si>
  <si>
    <t>total</t>
  </si>
  <si>
    <t xml:space="preserve">walking </t>
  </si>
  <si>
    <t>cycling</t>
  </si>
  <si>
    <t>min</t>
  </si>
  <si>
    <t>RR walking</t>
  </si>
  <si>
    <t>calculation</t>
  </si>
  <si>
    <t>mean</t>
  </si>
  <si>
    <t>RR cycling</t>
  </si>
  <si>
    <t xml:space="preserve">mean </t>
  </si>
  <si>
    <t>proportion</t>
  </si>
  <si>
    <t>F</t>
  </si>
  <si>
    <t>calcualtion</t>
  </si>
  <si>
    <t>5-14</t>
  </si>
  <si>
    <t>walking METs</t>
  </si>
  <si>
    <t>cycling METs</t>
  </si>
  <si>
    <t>total METs</t>
  </si>
  <si>
    <t>male</t>
  </si>
  <si>
    <t>female</t>
  </si>
  <si>
    <t>Ratio of walking and cycling times to women aged 15-29</t>
  </si>
  <si>
    <t>Baseline (0)</t>
  </si>
  <si>
    <t>Walking time</t>
  </si>
  <si>
    <t>Cycling time</t>
  </si>
  <si>
    <t>Scenario A</t>
  </si>
  <si>
    <t>Scenario B</t>
  </si>
  <si>
    <t>Scenario C</t>
  </si>
  <si>
    <t>Baseline</t>
  </si>
  <si>
    <t>Scenario D</t>
  </si>
  <si>
    <t>agecat</t>
  </si>
  <si>
    <t>mode</t>
  </si>
  <si>
    <t>Auto driver</t>
  </si>
  <si>
    <t>Auto passenger</t>
  </si>
  <si>
    <t>Bike</t>
  </si>
  <si>
    <t>Bus and express bus</t>
  </si>
  <si>
    <t>Commuter rail</t>
  </si>
  <si>
    <t>Ferry</t>
  </si>
  <si>
    <t>Heavy rail</t>
  </si>
  <si>
    <t>Light rail</t>
  </si>
  <si>
    <t>Other non-motorized</t>
  </si>
  <si>
    <t>Private transit</t>
  </si>
  <si>
    <t>Walk</t>
  </si>
  <si>
    <t>travel distance (mi, total)</t>
  </si>
  <si>
    <t>travel time (min, total)</t>
  </si>
  <si>
    <t>travel distance (mi, per capita)</t>
  </si>
  <si>
    <t>travel time (min, per capita)</t>
  </si>
  <si>
    <t>California totals</t>
  </si>
  <si>
    <t>Coefficient of variation</t>
  </si>
  <si>
    <t>Gender</t>
  </si>
  <si>
    <t>Population</t>
  </si>
  <si>
    <t>Year</t>
  </si>
  <si>
    <t>Sum of Population</t>
  </si>
  <si>
    <t>CountyName</t>
  </si>
  <si>
    <t>Walking and cycling times (minutes per capita)</t>
  </si>
  <si>
    <t>Fresno population by age-sex-occupation category, 2007 - 2011 American Community Survey PUMS estimates</t>
  </si>
  <si>
    <t>Statewide mean non-transport METS/day by age-sex-occupation category from the 2005 CHIS</t>
  </si>
  <si>
    <t>Unemployed</t>
  </si>
  <si>
    <t>Not codeable</t>
  </si>
  <si>
    <t>Proportion employed in each occupation by age-sex category</t>
  </si>
  <si>
    <t>Occupation category</t>
  </si>
  <si>
    <t>Can I distribute the uncodeables proportionally across the other categories? Err?</t>
  </si>
  <si>
    <t>Looking into the occupation data in ACS - it seems like they impute occupation data</t>
  </si>
  <si>
    <t>but it's not clear that these are available in the PUMS data - they might only have them</t>
  </si>
  <si>
    <t>in the summary statistics.</t>
  </si>
  <si>
    <t>M</t>
  </si>
  <si>
    <t>distance</t>
  </si>
  <si>
    <t>time</t>
  </si>
  <si>
    <t>distance/ca</t>
  </si>
  <si>
    <t>time/ca</t>
  </si>
  <si>
    <t>Eight county San Joaquin Valley totals, 2010-2012 California Household Travel Survey data</t>
  </si>
  <si>
    <t>Walking and cycling distances (miles per capita)</t>
  </si>
  <si>
    <t>Ratio of walking and cycling distances to women aged 15-29</t>
  </si>
  <si>
    <t>relative wk dist</t>
  </si>
  <si>
    <t>relative cyc dist</t>
  </si>
  <si>
    <t>Key parameters</t>
  </si>
  <si>
    <t>Population mean walking time (min/week)</t>
  </si>
  <si>
    <t>Population mean cycling time (min/week)</t>
  </si>
  <si>
    <t>Population mean active travel time(min/week)</t>
  </si>
  <si>
    <t>Coefficient of variation for active travel time</t>
  </si>
  <si>
    <t>Population mean walking distance (mi/week)</t>
  </si>
  <si>
    <t>Population mean cycling distance (mi/week)</t>
  </si>
  <si>
    <t>Population mean active travel distance (mi/week)</t>
  </si>
  <si>
    <t>overall</t>
  </si>
  <si>
    <t>total active travel time</t>
  </si>
  <si>
    <t>minutes</t>
  </si>
  <si>
    <t>Baseline active travel distributions (alll figures are per week)</t>
  </si>
  <si>
    <t>walking</t>
  </si>
  <si>
    <t>log value</t>
  </si>
  <si>
    <t>log mean</t>
  </si>
  <si>
    <t>log sd</t>
  </si>
  <si>
    <t>total walking time (minutes)</t>
  </si>
  <si>
    <t>total cycling time (minutes)</t>
  </si>
  <si>
    <t>sd</t>
  </si>
  <si>
    <t>totals</t>
  </si>
  <si>
    <t>time (min)</t>
  </si>
  <si>
    <t>distance (mi)</t>
  </si>
  <si>
    <t>speed (mph)</t>
  </si>
  <si>
    <t>men</t>
  </si>
  <si>
    <t>women</t>
  </si>
  <si>
    <t>scenario</t>
  </si>
  <si>
    <t>baseline</t>
  </si>
  <si>
    <t>RR compared with baseline</t>
  </si>
  <si>
    <t>YLL per group</t>
  </si>
  <si>
    <t>YLD per group</t>
  </si>
  <si>
    <t>∆ Burden</t>
  </si>
  <si>
    <t>RR 1 MET</t>
  </si>
  <si>
    <t>∆ Deaths</t>
  </si>
  <si>
    <t>∆YLL</t>
  </si>
  <si>
    <t>∆ YLD</t>
  </si>
  <si>
    <t>DALYs</t>
  </si>
  <si>
    <t>travel exposure</t>
  </si>
  <si>
    <t xml:space="preserve">total exposure </t>
  </si>
  <si>
    <t>CVD</t>
  </si>
  <si>
    <t>CVD cubic splines</t>
  </si>
  <si>
    <t>&gt;29</t>
  </si>
  <si>
    <t>RR</t>
  </si>
  <si>
    <t xml:space="preserve">exposure </t>
  </si>
  <si>
    <t>breast cancer</t>
  </si>
  <si>
    <t>colon cancer</t>
  </si>
  <si>
    <t>dementia</t>
  </si>
  <si>
    <t>depression</t>
  </si>
  <si>
    <t>diabetes</t>
  </si>
  <si>
    <t xml:space="preserve">all-cause mortality Woodcock </t>
  </si>
  <si>
    <t>all-cause mortality cycling Anderson</t>
  </si>
  <si>
    <t>all-cause mortality walking: HEAT</t>
  </si>
  <si>
    <t>all-cause mortality Woodcock walking alone</t>
  </si>
  <si>
    <t>disease</t>
  </si>
  <si>
    <r>
      <t xml:space="preserve">source: </t>
    </r>
    <r>
      <rPr>
        <sz val="10"/>
        <color theme="1"/>
        <rFont val="Arial"/>
        <family val="2"/>
      </rPr>
      <t>Woodcock et al. 2009</t>
    </r>
  </si>
  <si>
    <t>References</t>
  </si>
  <si>
    <t>Woodcock, J., Edwards, P., Tonne, C., Armstrong, B.G., Ashiru, O., Banister, D., Beevers, S., Chalabi, Z., Chowdhury, Z., Cohen, A., Franco, O.H., Haines, A., Hickman, R., Lindsay, G., Mittal, I., Mohan, D., Tiwari, G., Woodward, A., Roberts, I., 2009. Public health benefits of strategies to reduce greenhouse-gas emissions: Urban land transport. The Lancet 374(9705), 1930-1943.</t>
  </si>
  <si>
    <t>NB: Grey shaded diseases are not considered in the Fresno HIA study.</t>
  </si>
  <si>
    <t>RR normalized to 1 MET exposure</t>
  </si>
  <si>
    <t>RR, considering exposure</t>
  </si>
  <si>
    <t>deaths per group</t>
  </si>
  <si>
    <t>new burden</t>
  </si>
  <si>
    <t>ratio of RR relative to quintile 1</t>
  </si>
  <si>
    <t>Person travel time, speeds, and distance</t>
  </si>
  <si>
    <t>Scenarios</t>
  </si>
  <si>
    <t>A</t>
  </si>
  <si>
    <t>B</t>
  </si>
  <si>
    <t>C</t>
  </si>
  <si>
    <t>D</t>
  </si>
  <si>
    <t>User-chosen scenario active travel distributions (alll figures are per week)</t>
  </si>
  <si>
    <t>Processed Global Burden of Disease data (population data for Fresno and the US are from the 2010 US Census)</t>
  </si>
  <si>
    <t>est</t>
  </si>
  <si>
    <t>error</t>
  </si>
  <si>
    <t>%</t>
  </si>
  <si>
    <t>DUCs (2011 5 year ACS data)</t>
  </si>
  <si>
    <t>Breast cancer relative risk and DALY calculations</t>
  </si>
  <si>
    <t>Colon cancer relative risk and DALY calculations</t>
  </si>
  <si>
    <t>Ischemic heart disease relative risk and DALY calculations</t>
  </si>
  <si>
    <t>Dementia relative risk and DALY calculations</t>
  </si>
  <si>
    <t>Diabetes relative risk and DALY calculations</t>
  </si>
  <si>
    <t>Depression relative risk and DALY calculations</t>
  </si>
  <si>
    <t>Deaths</t>
  </si>
  <si>
    <t>YLL</t>
  </si>
  <si>
    <t>YLD</t>
  </si>
  <si>
    <t>Physical activity-related disease totals</t>
  </si>
  <si>
    <t>YLDs</t>
  </si>
  <si>
    <t>YLLs</t>
  </si>
  <si>
    <t>Sheet color key</t>
  </si>
  <si>
    <t>Instructions</t>
  </si>
  <si>
    <t>Cell color key</t>
  </si>
  <si>
    <t xml:space="preserve">The modelling tool is implemented in Excel 2010 (Microsoft). No rights to Excel are implied in this licence. </t>
  </si>
  <si>
    <t>The modelling tool is free software: you can redistribute it and/or modify</t>
  </si>
  <si>
    <t>it under the terms of the GNU General Public License as published by</t>
  </si>
  <si>
    <t>the Free Software Foundation, either version 3 of the License, or</t>
  </si>
  <si>
    <t>(at your option) any later version.</t>
  </si>
  <si>
    <t>This program is distributed in the hope that it will be useful,</t>
  </si>
  <si>
    <t>but WITHOUT ANY WARRANTY; without even the implied warranty of</t>
  </si>
  <si>
    <t>MERCHANTABILITY or FITNESS FOR A PARTICULAR PURPOSE.  See the</t>
  </si>
  <si>
    <t>GNU General Public License for more details.</t>
  </si>
  <si>
    <t>You should have received a copy of the GNU General Public License</t>
  </si>
  <si>
    <t>Fresno County Comparative Risk Assessment Modeling Tool</t>
  </si>
  <si>
    <t>Based on the Integrated Transport &amp; Health Impact Model (ITHIM) developed by Dr. James Woodcock</t>
  </si>
  <si>
    <t>This spreadsheet model estimates the health impacts of transport scenarios in Fresno County, California</t>
  </si>
  <si>
    <t>User input</t>
  </si>
  <si>
    <t>Results</t>
  </si>
  <si>
    <t>Intermediate calculations; no user intervention required</t>
  </si>
  <si>
    <t>Intermediate results; no user intervention required</t>
  </si>
  <si>
    <t>Input data used in all intermediate calculations</t>
  </si>
  <si>
    <t>This tool was designed to assess the health benefits of transportation plans that facilitate increases</t>
  </si>
  <si>
    <t>It is currently calibrated to analyze the transportation-land use scenarios developed for the 2014 Sustainable</t>
  </si>
  <si>
    <t>disability-adjusted life years (DALYs).</t>
  </si>
  <si>
    <t xml:space="preserve">and applied to the San Francisco Bay Area by Dr. Neil Maizlish. See Maizlish et al. (2013) and </t>
  </si>
  <si>
    <t>Woodcock et al. (2009).</t>
  </si>
  <si>
    <t>Maizlish, N., Woodcock, J., Co, S., Ostro, B., Fanai, A., Fairley, D., 2013. Health cobenefits and transportation-related reductions in greenhouse gas emissions in the San Francisco Bay Area. American Journal of Public Health 103(4), 703-709.</t>
  </si>
  <si>
    <t>Analyses of different scenarios and regions are possible. Full, step-by-step instructions</t>
  </si>
  <si>
    <t>for doing so are located on the project's GitHub page: https://github.com/aakarner/fresno-hia.</t>
  </si>
  <si>
    <t>Calculated from the same sheet</t>
  </si>
  <si>
    <t>Directly entered input assumption</t>
  </si>
  <si>
    <t>Calculated or taken from another sheet</t>
  </si>
  <si>
    <t>Miscellaneous highlight; see comments</t>
  </si>
  <si>
    <t>transport physical activity quintile</t>
  </si>
  <si>
    <t>The GitHub page also includes all scripts necessary for processing the raw input data used in this tool.</t>
  </si>
  <si>
    <t xml:space="preserve">    Copyright © 2013 Alex Karner (alex.karner@gmail.com)</t>
  </si>
  <si>
    <t>California</t>
  </si>
  <si>
    <t>Weighted mean METs by age-sex category</t>
  </si>
  <si>
    <t>Non-travel METs (overall age-sex specific median values from the 2005 CHIS)</t>
  </si>
  <si>
    <t>Age-standardized death rates relative to the US population (per 100,000)</t>
  </si>
  <si>
    <t>MET hours</t>
  </si>
  <si>
    <t>Transit</t>
  </si>
  <si>
    <t>If the number of per capita trips increases by 20%, does it follow that the time spent traveling increases by 20%?</t>
  </si>
  <si>
    <t>Walking distance</t>
  </si>
  <si>
    <t>Cycling distance</t>
  </si>
  <si>
    <t>MET</t>
  </si>
  <si>
    <t>walking MET hours</t>
  </si>
  <si>
    <t>cycling MET hours</t>
  </si>
  <si>
    <t>total MET hours</t>
  </si>
  <si>
    <t>Total Trips</t>
  </si>
  <si>
    <t>Yes, if we assume the same distribution of trip length, but that doesn't seem to be the case in FCOG's modeling</t>
  </si>
  <si>
    <t>Population override (used to approximate small area health effects)</t>
  </si>
  <si>
    <t>Countywide population</t>
  </si>
  <si>
    <t>Lanare</t>
  </si>
  <si>
    <t>Laton</t>
  </si>
  <si>
    <t>Riverdale</t>
  </si>
  <si>
    <t>West Fresno</t>
  </si>
  <si>
    <t>bike</t>
  </si>
  <si>
    <t>Time (min/day)</t>
  </si>
  <si>
    <t>Speed (mph)</t>
  </si>
  <si>
    <t>Distance (mi/day)</t>
  </si>
  <si>
    <t>Representative DUC population</t>
  </si>
  <si>
    <t>DUCs</t>
  </si>
  <si>
    <t>RR to the US population</t>
  </si>
  <si>
    <t>Changes in health outcomes due to changes in physical activity</t>
  </si>
  <si>
    <t>Scenario: Baseline - Riverdale, Future - West Fresno</t>
  </si>
  <si>
    <t>Region - 2305</t>
  </si>
  <si>
    <t>along with this program. If not, see: http://www.gnu.org/licenses/</t>
  </si>
  <si>
    <t>Select and paste one set of the values below (the brown-highlighted area) into the cells above to simulate health outcomes for each geographic area</t>
  </si>
  <si>
    <t>Communities Strategy and its four alternative scenarios in Fresno County and some disadvantaged unincorporated communities (DUCs).</t>
  </si>
  <si>
    <t>Burden of Disease database. Cell J5 of that sheet (highlighted yellow) can be toggled between DUCs and Fresno.</t>
  </si>
  <si>
    <t>Select Fresno if interested in county-level results and DUCs if interested in DUC-specific results.</t>
  </si>
  <si>
    <t>In order to compare the health benefits of each, the user has to follow these steps:</t>
  </si>
  <si>
    <t>1. Select the geography of interest: Fresno County, or DUC.</t>
  </si>
  <si>
    <t>Each geography uses different population and disease burden estimtaes contained on the "GBDUS" worksheet that contains data from the Global</t>
  </si>
  <si>
    <t>2. Select the appropriate non-motorized travel estimates.</t>
  </si>
  <si>
    <t>3. Select the scenario of interest.</t>
  </si>
  <si>
    <t>in the amount of non-motorized transportation undertaken by the population in Fresno County, California.</t>
  </si>
  <si>
    <t>Estimates of non-motorized travel derived from Fresno COG's travel demand modeling are contained in the "Inputs" worksheet.</t>
  </si>
  <si>
    <t>The default estimates are for the entire region (i.e. Fresno County). To perform DUC-level analysis, and paste the travel</t>
  </si>
  <si>
    <t>Main input cells</t>
  </si>
  <si>
    <t>estimates for the DUC of interest (contained in row 16 and below) and paste them into the "Main input cells" (rows 6-11).</t>
  </si>
  <si>
    <t>Finally, cell I5 on the "Inputs" sheet changes the selected scenario (A-D) as defined by Fresno COG's modeling.</t>
  </si>
  <si>
    <t>4. View results.</t>
  </si>
  <si>
    <t>All results are contained in the "Health results" worksheet - years of life lost (YLLs), years living with disability (YLD),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</si>
</sst>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0_-;\-* #,##0.0000_-;_-* &quot;-&quot;??_-;_-@_-"/>
    <numFmt numFmtId="167" formatCode="0.0"/>
    <numFmt numFmtId="168" formatCode="0.0%"/>
    <numFmt numFmtId="169" formatCode="0.0000"/>
    <numFmt numFmtId="170" formatCode="[&gt;0.5]#,##0;[&lt;-0.5]\-#,##0;\-"/>
    <numFmt numFmtId="171" formatCode="0.000"/>
    <numFmt numFmtId="172" formatCode="0.0000000"/>
    <numFmt numFmtId="173" formatCode="0.00000"/>
  </numFmts>
  <fonts count="2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2222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i/>
      <sz val="12"/>
      <name val="Times New Roman"/>
      <family val="1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Arial"/>
      <family val="2"/>
    </font>
    <font>
      <i/>
      <u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8" fillId="2" borderId="1" applyNumberFormat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0" fontId="10" fillId="0" borderId="0">
      <alignment horizontal="left"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12" fillId="0" borderId="0" applyFill="0" applyBorder="0" applyAlignment="0" applyProtection="0"/>
    <xf numFmtId="0" fontId="4" fillId="0" borderId="0"/>
    <xf numFmtId="0" fontId="13" fillId="0" borderId="0"/>
    <xf numFmtId="9" fontId="1" fillId="0" borderId="0" applyFont="0" applyFill="0" applyBorder="0" applyAlignment="0" applyProtection="0"/>
  </cellStyleXfs>
  <cellXfs count="6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2" applyFont="1" applyFill="1" applyBorder="1"/>
    <xf numFmtId="0" fontId="1" fillId="0" borderId="0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0" applyFont="1"/>
    <xf numFmtId="0" fontId="0" fillId="0" borderId="0" xfId="2" applyFont="1" applyFill="1" applyBorder="1"/>
    <xf numFmtId="0" fontId="1" fillId="0" borderId="0" xfId="3" applyFont="1"/>
    <xf numFmtId="0" fontId="1" fillId="0" borderId="0" xfId="2" applyFont="1"/>
    <xf numFmtId="0" fontId="0" fillId="0" borderId="0" xfId="0" applyFont="1" applyFill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3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 wrapText="1" indent="1"/>
    </xf>
    <xf numFmtId="3" fontId="0" fillId="0" borderId="0" xfId="0" applyNumberFormat="1" applyFont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2" applyFont="1" applyFill="1" applyBorder="1"/>
    <xf numFmtId="0" fontId="1" fillId="4" borderId="0" xfId="2" applyFont="1" applyFill="1" applyBorder="1" applyAlignment="1">
      <alignment horizontal="center"/>
    </xf>
    <xf numFmtId="3" fontId="0" fillId="4" borderId="0" xfId="0" applyNumberFormat="1" applyFont="1" applyFill="1"/>
    <xf numFmtId="0" fontId="0" fillId="4" borderId="0" xfId="0" applyFill="1"/>
    <xf numFmtId="0" fontId="0" fillId="4" borderId="0" xfId="0" applyNumberFormat="1" applyFill="1"/>
    <xf numFmtId="166" fontId="0" fillId="0" borderId="0" xfId="0" applyNumberFormat="1" applyFont="1"/>
    <xf numFmtId="167" fontId="0" fillId="5" borderId="0" xfId="0" applyNumberFormat="1" applyFont="1" applyFill="1"/>
    <xf numFmtId="0" fontId="0" fillId="5" borderId="0" xfId="0" applyFont="1" applyFill="1"/>
    <xf numFmtId="3" fontId="0" fillId="6" borderId="0" xfId="0" applyNumberFormat="1" applyFont="1" applyFill="1"/>
    <xf numFmtId="0" fontId="0" fillId="6" borderId="0" xfId="0" applyFill="1"/>
    <xf numFmtId="0" fontId="0" fillId="6" borderId="0" xfId="0" applyFont="1" applyFill="1"/>
    <xf numFmtId="0" fontId="0" fillId="6" borderId="0" xfId="0" applyNumberFormat="1" applyFill="1"/>
    <xf numFmtId="167" fontId="0" fillId="4" borderId="0" xfId="0" applyNumberFormat="1" applyFont="1" applyFill="1"/>
    <xf numFmtId="0" fontId="4" fillId="0" borderId="0" xfId="4" applyFont="1"/>
    <xf numFmtId="2" fontId="4" fillId="0" borderId="0" xfId="4" applyNumberFormat="1" applyFont="1" applyFill="1" applyBorder="1"/>
    <xf numFmtId="0" fontId="4" fillId="0" borderId="0" xfId="4" applyFont="1" applyBorder="1"/>
    <xf numFmtId="0" fontId="4" fillId="0" borderId="0" xfId="4" applyFont="1" applyFill="1"/>
    <xf numFmtId="1" fontId="4" fillId="0" borderId="0" xfId="4" applyNumberFormat="1" applyFont="1"/>
    <xf numFmtId="167" fontId="4" fillId="0" borderId="0" xfId="4" applyNumberFormat="1" applyFont="1"/>
    <xf numFmtId="0" fontId="4" fillId="0" borderId="0" xfId="4" applyFont="1" applyFill="1" applyBorder="1"/>
    <xf numFmtId="169" fontId="4" fillId="0" borderId="0" xfId="4" applyNumberFormat="1" applyFont="1" applyFill="1" applyBorder="1"/>
    <xf numFmtId="0" fontId="4" fillId="0" borderId="8" xfId="4" applyFont="1" applyFill="1" applyBorder="1" applyAlignment="1">
      <alignment horizontal="center"/>
    </xf>
    <xf numFmtId="0" fontId="4" fillId="0" borderId="0" xfId="4" applyFont="1" applyFill="1" applyBorder="1" applyAlignment="1">
      <alignment horizontal="center"/>
    </xf>
    <xf numFmtId="0" fontId="4" fillId="0" borderId="0" xfId="4" applyFont="1" applyAlignment="1">
      <alignment horizontal="center"/>
    </xf>
    <xf numFmtId="1" fontId="4" fillId="0" borderId="0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0" fontId="4" fillId="0" borderId="0" xfId="4" applyFont="1" applyAlignment="1">
      <alignment horizontal="center" wrapText="1"/>
    </xf>
    <xf numFmtId="1" fontId="4" fillId="0" borderId="0" xfId="4" applyNumberFormat="1" applyFont="1" applyAlignment="1">
      <alignment horizontal="center"/>
    </xf>
    <xf numFmtId="9" fontId="4" fillId="0" borderId="0" xfId="6" applyFont="1" applyAlignment="1">
      <alignment horizontal="center"/>
    </xf>
    <xf numFmtId="2" fontId="4" fillId="0" borderId="0" xfId="4" applyNumberFormat="1" applyFont="1" applyFill="1" applyBorder="1" applyAlignment="1">
      <alignment horizontal="center"/>
    </xf>
    <xf numFmtId="171" fontId="4" fillId="0" borderId="0" xfId="4" applyNumberFormat="1" applyFont="1"/>
    <xf numFmtId="169" fontId="4" fillId="0" borderId="0" xfId="4" applyNumberFormat="1" applyFont="1"/>
    <xf numFmtId="2" fontId="4" fillId="0" borderId="0" xfId="4" applyNumberFormat="1" applyFont="1"/>
    <xf numFmtId="9" fontId="4" fillId="0" borderId="0" xfId="4" applyNumberFormat="1" applyFont="1" applyFill="1" applyBorder="1" applyAlignment="1">
      <alignment horizontal="center"/>
    </xf>
    <xf numFmtId="0" fontId="2" fillId="0" borderId="0" xfId="4" applyFont="1" applyFill="1" applyBorder="1" applyAlignment="1">
      <alignment horizontal="center" vertical="center" wrapText="1"/>
    </xf>
    <xf numFmtId="0" fontId="16" fillId="0" borderId="0" xfId="4" applyFont="1" applyFill="1" applyBorder="1" applyAlignment="1">
      <alignment horizontal="center"/>
    </xf>
    <xf numFmtId="167" fontId="1" fillId="0" borderId="0" xfId="4" applyNumberFormat="1" applyFont="1" applyFill="1" applyBorder="1" applyAlignment="1">
      <alignment horizontal="center"/>
    </xf>
    <xf numFmtId="9" fontId="1" fillId="0" borderId="0" xfId="6" applyNumberFormat="1" applyFont="1" applyFill="1" applyBorder="1" applyAlignment="1">
      <alignment horizontal="center"/>
    </xf>
    <xf numFmtId="0" fontId="16" fillId="0" borderId="0" xfId="4" applyFont="1"/>
    <xf numFmtId="0" fontId="4" fillId="0" borderId="4" xfId="4" applyFont="1" applyBorder="1" applyAlignment="1">
      <alignment horizontal="center"/>
    </xf>
    <xf numFmtId="0" fontId="4" fillId="0" borderId="0" xfId="4" applyFont="1" applyBorder="1" applyAlignment="1">
      <alignment horizontal="center" vertical="center"/>
    </xf>
    <xf numFmtId="171" fontId="4" fillId="0" borderId="0" xfId="4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4" fillId="0" borderId="4" xfId="4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4" fillId="0" borderId="7" xfId="4" applyFont="1" applyFill="1" applyBorder="1" applyAlignment="1">
      <alignment horizontal="center"/>
    </xf>
    <xf numFmtId="0" fontId="14" fillId="0" borderId="0" xfId="4" applyFont="1" applyFill="1" applyBorder="1" applyAlignment="1">
      <alignment vertical="center" wrapText="1"/>
    </xf>
    <xf numFmtId="0" fontId="4" fillId="3" borderId="0" xfId="4" applyFont="1" applyFill="1"/>
    <xf numFmtId="0" fontId="4" fillId="3" borderId="0" xfId="4" applyFont="1" applyFill="1" applyBorder="1" applyAlignment="1">
      <alignment horizontal="center"/>
    </xf>
    <xf numFmtId="171" fontId="4" fillId="3" borderId="0" xfId="4" applyNumberFormat="1" applyFont="1" applyFill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7" fillId="0" borderId="0" xfId="0" applyFont="1"/>
    <xf numFmtId="0" fontId="0" fillId="0" borderId="4" xfId="0" applyBorder="1"/>
    <xf numFmtId="0" fontId="0" fillId="0" borderId="8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3" borderId="3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/>
    <xf numFmtId="0" fontId="2" fillId="0" borderId="6" xfId="0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7" borderId="0" xfId="0" applyFill="1"/>
    <xf numFmtId="167" fontId="4" fillId="0" borderId="0" xfId="6" applyNumberFormat="1" applyFont="1" applyFill="1" applyBorder="1" applyAlignment="1">
      <alignment horizontal="center"/>
    </xf>
    <xf numFmtId="0" fontId="2" fillId="0" borderId="0" xfId="4" applyFont="1" applyFill="1" applyBorder="1" applyAlignment="1">
      <alignment horizontal="center" vertical="center" wrapText="1"/>
    </xf>
    <xf numFmtId="167" fontId="1" fillId="0" borderId="0" xfId="4" applyNumberFormat="1" applyFont="1" applyFill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/>
    </xf>
    <xf numFmtId="0" fontId="2" fillId="0" borderId="8" xfId="4" applyFont="1" applyFill="1" applyBorder="1" applyAlignment="1">
      <alignment horizontal="center" vertical="center" wrapText="1"/>
    </xf>
    <xf numFmtId="167" fontId="4" fillId="0" borderId="4" xfId="4" applyNumberFormat="1" applyFont="1" applyFill="1" applyBorder="1" applyAlignment="1">
      <alignment horizontal="center"/>
    </xf>
    <xf numFmtId="2" fontId="4" fillId="0" borderId="4" xfId="4" applyNumberFormat="1" applyFont="1" applyFill="1" applyBorder="1" applyAlignment="1">
      <alignment horizontal="center"/>
    </xf>
    <xf numFmtId="167" fontId="1" fillId="0" borderId="4" xfId="4" applyNumberFormat="1" applyFont="1" applyFill="1" applyBorder="1" applyAlignment="1">
      <alignment horizontal="center"/>
    </xf>
    <xf numFmtId="0" fontId="16" fillId="0" borderId="8" xfId="4" applyFont="1" applyFill="1" applyBorder="1" applyAlignment="1">
      <alignment horizontal="center"/>
    </xf>
    <xf numFmtId="0" fontId="16" fillId="0" borderId="7" xfId="4" applyFont="1" applyFill="1" applyBorder="1" applyAlignment="1">
      <alignment horizontal="center"/>
    </xf>
    <xf numFmtId="167" fontId="1" fillId="0" borderId="4" xfId="4" applyNumberFormat="1" applyFont="1" applyFill="1" applyBorder="1" applyAlignment="1">
      <alignment horizontal="center" vertical="center" wrapText="1"/>
    </xf>
    <xf numFmtId="167" fontId="4" fillId="3" borderId="0" xfId="6" applyNumberFormat="1" applyFont="1" applyFill="1" applyBorder="1" applyAlignment="1">
      <alignment horizontal="center"/>
    </xf>
    <xf numFmtId="167" fontId="1" fillId="3" borderId="0" xfId="4" applyNumberFormat="1" applyFont="1" applyFill="1" applyBorder="1" applyAlignment="1">
      <alignment horizontal="center" vertical="center" wrapText="1"/>
    </xf>
    <xf numFmtId="49" fontId="4" fillId="0" borderId="0" xfId="4" applyNumberFormat="1" applyFont="1" applyFill="1" applyBorder="1" applyAlignment="1">
      <alignment horizontal="center"/>
    </xf>
    <xf numFmtId="0" fontId="4" fillId="0" borderId="8" xfId="4" applyFont="1" applyFill="1" applyBorder="1" applyAlignment="1">
      <alignment horizontal="center"/>
    </xf>
    <xf numFmtId="0" fontId="18" fillId="0" borderId="0" xfId="4" applyFont="1"/>
    <xf numFmtId="0" fontId="2" fillId="0" borderId="0" xfId="4" applyFont="1" applyFill="1" applyBorder="1" applyAlignment="1"/>
    <xf numFmtId="9" fontId="1" fillId="0" borderId="0" xfId="6" applyNumberFormat="1" applyFont="1" applyFill="1" applyBorder="1" applyAlignment="1"/>
    <xf numFmtId="0" fontId="4" fillId="0" borderId="0" xfId="4" applyFont="1" applyFill="1" applyBorder="1" applyAlignment="1"/>
    <xf numFmtId="0" fontId="4" fillId="0" borderId="0" xfId="4" applyFont="1" applyAlignment="1"/>
    <xf numFmtId="167" fontId="1" fillId="0" borderId="3" xfId="4" applyNumberFormat="1" applyFont="1" applyFill="1" applyBorder="1" applyAlignment="1">
      <alignment horizontal="center" vertical="center" wrapText="1"/>
    </xf>
    <xf numFmtId="0" fontId="4" fillId="0" borderId="0" xfId="4" applyFont="1" applyFill="1" applyAlignment="1">
      <alignment horizontal="center"/>
    </xf>
    <xf numFmtId="0" fontId="18" fillId="0" borderId="0" xfId="4" applyFont="1" applyAlignment="1">
      <alignment horizontal="left"/>
    </xf>
    <xf numFmtId="0" fontId="4" fillId="0" borderId="0" xfId="4" applyFont="1" applyAlignment="1">
      <alignment horizontal="left"/>
    </xf>
    <xf numFmtId="0" fontId="4" fillId="0" borderId="0" xfId="4" applyFont="1" applyBorder="1" applyAlignment="1">
      <alignment horizontal="center"/>
    </xf>
    <xf numFmtId="0" fontId="16" fillId="0" borderId="0" xfId="4" applyFont="1" applyAlignment="1">
      <alignment horizontal="left"/>
    </xf>
    <xf numFmtId="2" fontId="4" fillId="0" borderId="0" xfId="4" applyNumberFormat="1" applyFont="1" applyBorder="1" applyAlignment="1">
      <alignment horizontal="center"/>
    </xf>
    <xf numFmtId="1" fontId="4" fillId="0" borderId="3" xfId="4" applyNumberFormat="1" applyFont="1" applyFill="1" applyBorder="1" applyAlignment="1">
      <alignment horizontal="center"/>
    </xf>
    <xf numFmtId="1" fontId="4" fillId="0" borderId="2" xfId="4" applyNumberFormat="1" applyFont="1" applyFill="1" applyBorder="1" applyAlignment="1">
      <alignment horizontal="center"/>
    </xf>
    <xf numFmtId="0" fontId="16" fillId="0" borderId="0" xfId="4" applyFont="1" applyAlignment="1">
      <alignment horizontal="center"/>
    </xf>
    <xf numFmtId="49" fontId="16" fillId="0" borderId="0" xfId="4" applyNumberFormat="1" applyFont="1" applyFill="1" applyBorder="1" applyAlignment="1">
      <alignment horizontal="center"/>
    </xf>
    <xf numFmtId="0" fontId="4" fillId="0" borderId="0" xfId="4" applyFont="1" applyBorder="1" applyAlignment="1">
      <alignment horizontal="center" wrapText="1"/>
    </xf>
    <xf numFmtId="167" fontId="4" fillId="0" borderId="8" xfId="4" applyNumberFormat="1" applyFont="1" applyFill="1" applyBorder="1" applyAlignment="1">
      <alignment horizontal="center"/>
    </xf>
    <xf numFmtId="167" fontId="4" fillId="0" borderId="7" xfId="4" applyNumberFormat="1" applyFont="1" applyFill="1" applyBorder="1" applyAlignment="1">
      <alignment horizontal="center"/>
    </xf>
    <xf numFmtId="2" fontId="4" fillId="0" borderId="8" xfId="4" applyNumberFormat="1" applyFont="1" applyFill="1" applyBorder="1" applyAlignment="1">
      <alignment horizontal="center"/>
    </xf>
    <xf numFmtId="9" fontId="1" fillId="0" borderId="4" xfId="6" applyFont="1" applyFill="1" applyBorder="1" applyAlignment="1">
      <alignment horizontal="center"/>
    </xf>
    <xf numFmtId="9" fontId="1" fillId="0" borderId="7" xfId="6" applyFont="1" applyFill="1" applyBorder="1" applyAlignment="1">
      <alignment horizontal="center"/>
    </xf>
    <xf numFmtId="49" fontId="4" fillId="0" borderId="4" xfId="4" applyNumberFormat="1" applyFont="1" applyFill="1" applyBorder="1" applyAlignment="1">
      <alignment horizontal="center"/>
    </xf>
    <xf numFmtId="1" fontId="4" fillId="0" borderId="4" xfId="4" applyNumberFormat="1" applyFont="1" applyFill="1" applyBorder="1" applyAlignment="1">
      <alignment horizontal="center"/>
    </xf>
    <xf numFmtId="2" fontId="4" fillId="0" borderId="7" xfId="4" applyNumberFormat="1" applyFont="1" applyFill="1" applyBorder="1" applyAlignment="1">
      <alignment horizontal="center"/>
    </xf>
    <xf numFmtId="1" fontId="4" fillId="0" borderId="8" xfId="4" applyNumberFormat="1" applyFont="1" applyFill="1" applyBorder="1" applyAlignment="1">
      <alignment horizontal="center"/>
    </xf>
    <xf numFmtId="1" fontId="4" fillId="0" borderId="7" xfId="4" applyNumberFormat="1" applyFont="1" applyFill="1" applyBorder="1" applyAlignment="1">
      <alignment horizontal="center"/>
    </xf>
    <xf numFmtId="2" fontId="4" fillId="0" borderId="3" xfId="4" applyNumberFormat="1" applyFont="1" applyFill="1" applyBorder="1" applyAlignment="1">
      <alignment horizontal="center"/>
    </xf>
    <xf numFmtId="0" fontId="17" fillId="0" borderId="0" xfId="4" applyFont="1" applyFill="1" applyBorder="1" applyAlignment="1">
      <alignment vertical="center" wrapText="1"/>
    </xf>
    <xf numFmtId="0" fontId="17" fillId="0" borderId="0" xfId="4" applyFont="1" applyFill="1" applyBorder="1" applyAlignment="1">
      <alignment vertical="center"/>
    </xf>
    <xf numFmtId="0" fontId="1" fillId="0" borderId="0" xfId="4" applyFont="1" applyFill="1" applyBorder="1" applyAlignment="1">
      <alignment vertical="center"/>
    </xf>
    <xf numFmtId="0" fontId="17" fillId="0" borderId="4" xfId="4" applyFont="1" applyFill="1" applyBorder="1" applyAlignment="1">
      <alignment vertical="center"/>
    </xf>
    <xf numFmtId="1" fontId="4" fillId="0" borderId="14" xfId="4" applyNumberFormat="1" applyFont="1" applyFill="1" applyBorder="1" applyAlignment="1">
      <alignment horizontal="center"/>
    </xf>
    <xf numFmtId="0" fontId="4" fillId="0" borderId="0" xfId="4" applyFont="1" applyBorder="1" applyAlignment="1">
      <alignment horizontal="left"/>
    </xf>
    <xf numFmtId="0" fontId="4" fillId="0" borderId="0" xfId="4" applyFont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4" fillId="0" borderId="8" xfId="4" applyFont="1" applyBorder="1" applyAlignment="1">
      <alignment horizontal="center"/>
    </xf>
    <xf numFmtId="0" fontId="4" fillId="7" borderId="8" xfId="4" applyFont="1" applyFill="1" applyBorder="1" applyAlignment="1">
      <alignment horizontal="center"/>
    </xf>
    <xf numFmtId="167" fontId="4" fillId="0" borderId="0" xfId="4" applyNumberFormat="1" applyFont="1" applyBorder="1" applyAlignment="1">
      <alignment horizontal="center"/>
    </xf>
    <xf numFmtId="1" fontId="4" fillId="7" borderId="0" xfId="4" applyNumberFormat="1" applyFont="1" applyFill="1" applyBorder="1" applyAlignment="1">
      <alignment horizontal="center"/>
    </xf>
    <xf numFmtId="2" fontId="4" fillId="0" borderId="8" xfId="4" applyNumberFormat="1" applyFont="1" applyBorder="1" applyAlignment="1">
      <alignment horizontal="center"/>
    </xf>
    <xf numFmtId="167" fontId="4" fillId="0" borderId="8" xfId="4" applyNumberFormat="1" applyFont="1" applyBorder="1" applyAlignment="1">
      <alignment horizontal="center"/>
    </xf>
    <xf numFmtId="167" fontId="16" fillId="0" borderId="0" xfId="4" applyNumberFormat="1" applyFont="1" applyFill="1" applyBorder="1" applyAlignment="1">
      <alignment horizontal="center"/>
    </xf>
    <xf numFmtId="171" fontId="4" fillId="0" borderId="0" xfId="4" applyNumberFormat="1" applyFont="1" applyFill="1"/>
    <xf numFmtId="167" fontId="4" fillId="0" borderId="0" xfId="4" applyNumberFormat="1" applyFont="1" applyFill="1"/>
    <xf numFmtId="171" fontId="4" fillId="0" borderId="0" xfId="4" applyNumberFormat="1" applyFont="1" applyFill="1" applyBorder="1"/>
    <xf numFmtId="169" fontId="4" fillId="0" borderId="0" xfId="4" applyNumberFormat="1" applyFont="1" applyFill="1"/>
    <xf numFmtId="171" fontId="4" fillId="0" borderId="0" xfId="4" applyNumberFormat="1" applyFont="1" applyBorder="1" applyAlignment="1">
      <alignment horizontal="center"/>
    </xf>
    <xf numFmtId="167" fontId="4" fillId="9" borderId="0" xfId="4" applyNumberFormat="1" applyFont="1" applyFill="1" applyBorder="1" applyAlignment="1">
      <alignment horizontal="center"/>
    </xf>
    <xf numFmtId="2" fontId="4" fillId="9" borderId="0" xfId="4" applyNumberFormat="1" applyFont="1" applyFill="1" applyBorder="1" applyAlignment="1">
      <alignment horizontal="center"/>
    </xf>
    <xf numFmtId="171" fontId="4" fillId="0" borderId="8" xfId="4" applyNumberFormat="1" applyFont="1" applyBorder="1" applyAlignment="1">
      <alignment horizontal="center"/>
    </xf>
    <xf numFmtId="167" fontId="4" fillId="9" borderId="4" xfId="4" applyNumberFormat="1" applyFont="1" applyFill="1" applyBorder="1" applyAlignment="1">
      <alignment horizontal="center"/>
    </xf>
    <xf numFmtId="171" fontId="4" fillId="0" borderId="4" xfId="4" applyNumberFormat="1" applyFont="1" applyBorder="1" applyAlignment="1">
      <alignment horizontal="center"/>
    </xf>
    <xf numFmtId="171" fontId="4" fillId="0" borderId="7" xfId="4" applyNumberFormat="1" applyFont="1" applyBorder="1" applyAlignment="1">
      <alignment horizontal="center"/>
    </xf>
    <xf numFmtId="167" fontId="4" fillId="9" borderId="3" xfId="4" applyNumberFormat="1" applyFont="1" applyFill="1" applyBorder="1" applyAlignment="1">
      <alignment horizontal="center"/>
    </xf>
    <xf numFmtId="2" fontId="4" fillId="0" borderId="4" xfId="4" applyNumberFormat="1" applyFont="1" applyBorder="1" applyAlignment="1">
      <alignment horizontal="center"/>
    </xf>
    <xf numFmtId="167" fontId="4" fillId="0" borderId="4" xfId="4" applyNumberFormat="1" applyFont="1" applyBorder="1" applyAlignment="1">
      <alignment horizontal="center"/>
    </xf>
    <xf numFmtId="167" fontId="4" fillId="0" borderId="7" xfId="4" applyNumberFormat="1" applyFont="1" applyBorder="1" applyAlignment="1">
      <alignment horizontal="center"/>
    </xf>
    <xf numFmtId="2" fontId="4" fillId="0" borderId="7" xfId="4" applyNumberFormat="1" applyFont="1" applyBorder="1" applyAlignment="1">
      <alignment horizontal="center"/>
    </xf>
    <xf numFmtId="0" fontId="4" fillId="0" borderId="2" xfId="4" applyFont="1" applyFill="1" applyBorder="1" applyAlignment="1">
      <alignment horizontal="center"/>
    </xf>
    <xf numFmtId="0" fontId="4" fillId="0" borderId="14" xfId="4" applyFont="1" applyFill="1" applyBorder="1" applyAlignment="1">
      <alignment horizontal="center"/>
    </xf>
    <xf numFmtId="2" fontId="4" fillId="0" borderId="14" xfId="4" applyNumberFormat="1" applyFont="1" applyFill="1" applyBorder="1" applyAlignment="1">
      <alignment horizontal="center"/>
    </xf>
    <xf numFmtId="2" fontId="4" fillId="0" borderId="0" xfId="6" applyNumberFormat="1" applyFont="1" applyFill="1" applyBorder="1" applyAlignment="1">
      <alignment horizontal="center"/>
    </xf>
    <xf numFmtId="1" fontId="4" fillId="0" borderId="0" xfId="4" applyNumberFormat="1" applyFont="1" applyFill="1" applyBorder="1" applyAlignment="1">
      <alignment horizontal="center" vertical="center"/>
    </xf>
    <xf numFmtId="1" fontId="4" fillId="0" borderId="8" xfId="4" applyNumberFormat="1" applyFont="1" applyFill="1" applyBorder="1" applyAlignment="1">
      <alignment horizontal="center" vertical="center"/>
    </xf>
    <xf numFmtId="167" fontId="4" fillId="0" borderId="0" xfId="4" applyNumberFormat="1" applyFont="1" applyFill="1" applyBorder="1" applyAlignment="1">
      <alignment horizontal="center" vertical="center"/>
    </xf>
    <xf numFmtId="167" fontId="4" fillId="0" borderId="8" xfId="4" applyNumberFormat="1" applyFont="1" applyFill="1" applyBorder="1" applyAlignment="1">
      <alignment horizontal="center" vertical="center"/>
    </xf>
    <xf numFmtId="2" fontId="4" fillId="0" borderId="0" xfId="4" applyNumberFormat="1" applyFont="1" applyFill="1" applyBorder="1" applyAlignment="1">
      <alignment horizontal="center" vertical="center"/>
    </xf>
    <xf numFmtId="2" fontId="4" fillId="0" borderId="8" xfId="4" applyNumberFormat="1" applyFont="1" applyFill="1" applyBorder="1" applyAlignment="1">
      <alignment horizontal="center" vertical="center"/>
    </xf>
    <xf numFmtId="167" fontId="4" fillId="0" borderId="3" xfId="4" applyNumberFormat="1" applyFont="1" applyFill="1" applyBorder="1" applyAlignment="1">
      <alignment horizontal="center" vertical="center"/>
    </xf>
    <xf numFmtId="167" fontId="4" fillId="0" borderId="4" xfId="4" applyNumberFormat="1" applyFont="1" applyFill="1" applyBorder="1" applyAlignment="1">
      <alignment horizontal="center" vertical="center"/>
    </xf>
    <xf numFmtId="167" fontId="4" fillId="0" borderId="7" xfId="4" applyNumberFormat="1" applyFont="1" applyFill="1" applyBorder="1" applyAlignment="1">
      <alignment horizontal="center" vertical="center"/>
    </xf>
    <xf numFmtId="2" fontId="4" fillId="0" borderId="4" xfId="4" applyNumberFormat="1" applyFont="1" applyFill="1" applyBorder="1" applyAlignment="1">
      <alignment horizontal="center" vertical="center"/>
    </xf>
    <xf numFmtId="2" fontId="4" fillId="0" borderId="7" xfId="4" applyNumberFormat="1" applyFont="1" applyFill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1" fillId="8" borderId="0" xfId="2" applyFont="1" applyFill="1" applyAlignment="1">
      <alignment horizontal="center"/>
    </xf>
    <xf numFmtId="0" fontId="1" fillId="8" borderId="13" xfId="2" applyFont="1" applyFill="1" applyBorder="1" applyAlignment="1">
      <alignment horizontal="center"/>
    </xf>
    <xf numFmtId="1" fontId="2" fillId="8" borderId="0" xfId="2" applyNumberFormat="1" applyFont="1" applyFill="1" applyBorder="1" applyAlignment="1"/>
    <xf numFmtId="0" fontId="1" fillId="0" borderId="0" xfId="2" applyFont="1" applyBorder="1"/>
    <xf numFmtId="0" fontId="1" fillId="0" borderId="0" xfId="2" applyFont="1" applyBorder="1" applyAlignment="1">
      <alignment horizontal="center"/>
    </xf>
    <xf numFmtId="0" fontId="1" fillId="8" borderId="0" xfId="2" applyFont="1" applyFill="1" applyBorder="1" applyAlignment="1">
      <alignment horizontal="center"/>
    </xf>
    <xf numFmtId="1" fontId="17" fillId="8" borderId="0" xfId="2" applyNumberFormat="1" applyFont="1" applyFill="1" applyBorder="1" applyAlignment="1"/>
    <xf numFmtId="1" fontId="1" fillId="8" borderId="4" xfId="2" applyNumberFormat="1" applyFont="1" applyFill="1" applyBorder="1" applyAlignment="1">
      <alignment horizontal="center"/>
    </xf>
    <xf numFmtId="0" fontId="1" fillId="8" borderId="8" xfId="2" applyFont="1" applyFill="1" applyBorder="1" applyAlignment="1">
      <alignment horizontal="center"/>
    </xf>
    <xf numFmtId="0" fontId="1" fillId="8" borderId="7" xfId="2" applyFont="1" applyFill="1" applyBorder="1" applyAlignment="1">
      <alignment horizontal="center"/>
    </xf>
    <xf numFmtId="0" fontId="1" fillId="8" borderId="2" xfId="2" applyFont="1" applyFill="1" applyBorder="1" applyAlignment="1">
      <alignment horizontal="center"/>
    </xf>
    <xf numFmtId="0" fontId="1" fillId="0" borderId="2" xfId="2" applyFont="1" applyBorder="1" applyAlignment="1">
      <alignment horizontal="center"/>
    </xf>
    <xf numFmtId="0" fontId="1" fillId="0" borderId="2" xfId="2" applyFont="1" applyBorder="1"/>
    <xf numFmtId="0" fontId="0" fillId="8" borderId="0" xfId="2" applyFont="1" applyFill="1" applyBorder="1" applyAlignment="1">
      <alignment horizontal="center"/>
    </xf>
    <xf numFmtId="0" fontId="0" fillId="8" borderId="7" xfId="2" applyFont="1" applyFill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0" fillId="0" borderId="0" xfId="0" applyFont="1" applyBorder="1"/>
    <xf numFmtId="2" fontId="0" fillId="0" borderId="0" xfId="0" applyNumberFormat="1" applyFont="1"/>
    <xf numFmtId="167" fontId="0" fillId="0" borderId="0" xfId="0" applyNumberFormat="1" applyFont="1"/>
    <xf numFmtId="0" fontId="19" fillId="0" borderId="0" xfId="2" applyFont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0" fontId="0" fillId="0" borderId="4" xfId="2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1" fillId="0" borderId="7" xfId="2" applyFont="1" applyBorder="1" applyAlignment="1">
      <alignment horizontal="center" vertical="center" wrapText="1"/>
    </xf>
    <xf numFmtId="167" fontId="0" fillId="0" borderId="14" xfId="0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8" xfId="2" applyFont="1" applyBorder="1" applyAlignment="1">
      <alignment horizontal="center" vertical="center"/>
    </xf>
    <xf numFmtId="0" fontId="0" fillId="0" borderId="7" xfId="2" applyFont="1" applyBorder="1" applyAlignment="1">
      <alignment horizontal="center" vertical="center" wrapText="1"/>
    </xf>
    <xf numFmtId="0" fontId="0" fillId="0" borderId="4" xfId="2" applyFont="1" applyBorder="1" applyAlignment="1">
      <alignment horizontal="center" vertical="center"/>
    </xf>
    <xf numFmtId="0" fontId="0" fillId="0" borderId="7" xfId="2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/>
    </xf>
    <xf numFmtId="0" fontId="1" fillId="0" borderId="0" xfId="4" applyFont="1"/>
    <xf numFmtId="0" fontId="1" fillId="0" borderId="0" xfId="4" applyFont="1" applyAlignment="1">
      <alignment horizontal="center"/>
    </xf>
    <xf numFmtId="49" fontId="2" fillId="0" borderId="0" xfId="4" applyNumberFormat="1" applyFont="1" applyFill="1" applyBorder="1" applyAlignment="1">
      <alignment horizontal="center"/>
    </xf>
    <xf numFmtId="0" fontId="1" fillId="0" borderId="0" xfId="4" applyFont="1" applyFill="1" applyBorder="1" applyAlignment="1">
      <alignment horizontal="center"/>
    </xf>
    <xf numFmtId="0" fontId="1" fillId="0" borderId="0" xfId="4" applyFont="1" applyBorder="1"/>
    <xf numFmtId="2" fontId="1" fillId="0" borderId="0" xfId="4" applyNumberFormat="1" applyFont="1" applyFill="1" applyBorder="1" applyAlignment="1">
      <alignment horizontal="center"/>
    </xf>
    <xf numFmtId="0" fontId="1" fillId="0" borderId="0" xfId="4" applyFont="1" applyFill="1" applyBorder="1"/>
    <xf numFmtId="0" fontId="1" fillId="0" borderId="0" xfId="4" applyFont="1" applyFill="1"/>
    <xf numFmtId="167" fontId="1" fillId="0" borderId="0" xfId="4" applyNumberFormat="1" applyFont="1" applyFill="1" applyBorder="1" applyAlignment="1"/>
    <xf numFmtId="0" fontId="1" fillId="0" borderId="0" xfId="4" applyFont="1" applyFill="1" applyBorder="1" applyAlignment="1"/>
    <xf numFmtId="2" fontId="1" fillId="0" borderId="0" xfId="4" applyNumberFormat="1" applyFont="1" applyFill="1" applyBorder="1" applyAlignment="1"/>
    <xf numFmtId="1" fontId="1" fillId="0" borderId="0" xfId="4" applyNumberFormat="1" applyFont="1" applyFill="1" applyBorder="1" applyAlignment="1"/>
    <xf numFmtId="167" fontId="1" fillId="0" borderId="0" xfId="4" applyNumberFormat="1" applyFont="1" applyFill="1" applyBorder="1" applyAlignment="1">
      <alignment wrapText="1"/>
    </xf>
    <xf numFmtId="169" fontId="1" fillId="0" borderId="0" xfId="4" applyNumberFormat="1" applyFont="1" applyFill="1" applyBorder="1" applyAlignment="1"/>
    <xf numFmtId="167" fontId="1" fillId="0" borderId="4" xfId="4" applyNumberFormat="1" applyFont="1" applyFill="1" applyBorder="1" applyAlignment="1"/>
    <xf numFmtId="0" fontId="1" fillId="0" borderId="4" xfId="4" applyFont="1" applyFill="1" applyBorder="1" applyAlignment="1">
      <alignment horizontal="center"/>
    </xf>
    <xf numFmtId="0" fontId="1" fillId="0" borderId="3" xfId="4" applyFont="1" applyFill="1" applyBorder="1" applyAlignment="1">
      <alignment horizontal="center" wrapText="1"/>
    </xf>
    <xf numFmtId="2" fontId="1" fillId="0" borderId="4" xfId="4" applyNumberFormat="1" applyFont="1" applyFill="1" applyBorder="1" applyAlignment="1">
      <alignment horizontal="center"/>
    </xf>
    <xf numFmtId="167" fontId="0" fillId="0" borderId="8" xfId="4" applyNumberFormat="1" applyFont="1" applyFill="1" applyBorder="1" applyAlignment="1"/>
    <xf numFmtId="167" fontId="1" fillId="0" borderId="8" xfId="4" applyNumberFormat="1" applyFont="1" applyFill="1" applyBorder="1" applyAlignment="1"/>
    <xf numFmtId="0" fontId="0" fillId="0" borderId="7" xfId="4" applyFont="1" applyFill="1" applyBorder="1" applyAlignment="1">
      <alignment horizontal="left" vertical="top"/>
    </xf>
    <xf numFmtId="0" fontId="17" fillId="0" borderId="0" xfId="4" applyFont="1" applyFill="1" applyBorder="1"/>
    <xf numFmtId="167" fontId="0" fillId="3" borderId="8" xfId="4" applyNumberFormat="1" applyFont="1" applyFill="1" applyBorder="1" applyAlignment="1">
      <alignment wrapText="1"/>
    </xf>
    <xf numFmtId="0" fontId="1" fillId="3" borderId="0" xfId="4" applyFont="1" applyFill="1" applyBorder="1" applyAlignment="1">
      <alignment horizontal="center"/>
    </xf>
    <xf numFmtId="2" fontId="1" fillId="3" borderId="0" xfId="4" applyNumberFormat="1" applyFont="1" applyFill="1" applyBorder="1" applyAlignment="1">
      <alignment horizontal="center"/>
    </xf>
    <xf numFmtId="167" fontId="1" fillId="3" borderId="8" xfId="4" applyNumberFormat="1" applyFont="1" applyFill="1" applyBorder="1" applyAlignment="1">
      <alignment wrapText="1"/>
    </xf>
    <xf numFmtId="167" fontId="1" fillId="3" borderId="7" xfId="4" applyNumberFormat="1" applyFont="1" applyFill="1" applyBorder="1" applyAlignment="1">
      <alignment wrapText="1"/>
    </xf>
    <xf numFmtId="0" fontId="1" fillId="3" borderId="4" xfId="4" applyFont="1" applyFill="1" applyBorder="1" applyAlignment="1"/>
    <xf numFmtId="2" fontId="1" fillId="3" borderId="4" xfId="4" applyNumberFormat="1" applyFont="1" applyFill="1" applyBorder="1" applyAlignment="1">
      <alignment horizontal="center"/>
    </xf>
    <xf numFmtId="0" fontId="0" fillId="0" borderId="0" xfId="4" applyFont="1" applyFill="1" applyBorder="1"/>
    <xf numFmtId="167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4" xfId="2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7" xfId="2" applyFont="1" applyBorder="1" applyAlignment="1">
      <alignment horizontal="center" wrapText="1"/>
    </xf>
    <xf numFmtId="167" fontId="0" fillId="0" borderId="8" xfId="0" applyNumberFormat="1" applyFont="1" applyBorder="1" applyAlignment="1">
      <alignment horizontal="center"/>
    </xf>
    <xf numFmtId="167" fontId="0" fillId="0" borderId="7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167" fontId="0" fillId="3" borderId="0" xfId="0" applyNumberFormat="1" applyFont="1" applyFill="1" applyAlignment="1">
      <alignment horizontal="center"/>
    </xf>
    <xf numFmtId="167" fontId="0" fillId="3" borderId="8" xfId="0" applyNumberFormat="1" applyFont="1" applyFill="1" applyBorder="1" applyAlignment="1">
      <alignment horizontal="center"/>
    </xf>
    <xf numFmtId="167" fontId="0" fillId="3" borderId="3" xfId="0" applyNumberFormat="1" applyFont="1" applyFill="1" applyBorder="1" applyAlignment="1">
      <alignment horizontal="center"/>
    </xf>
    <xf numFmtId="167" fontId="0" fillId="3" borderId="4" xfId="0" applyNumberFormat="1" applyFont="1" applyFill="1" applyBorder="1" applyAlignment="1">
      <alignment horizontal="center"/>
    </xf>
    <xf numFmtId="167" fontId="0" fillId="3" borderId="7" xfId="0" applyNumberFormat="1" applyFont="1" applyFill="1" applyBorder="1" applyAlignment="1">
      <alignment horizontal="center"/>
    </xf>
    <xf numFmtId="0" fontId="0" fillId="0" borderId="4" xfId="0" applyFont="1" applyBorder="1"/>
    <xf numFmtId="0" fontId="1" fillId="0" borderId="3" xfId="2" applyFont="1" applyBorder="1" applyAlignment="1">
      <alignment horizontal="center" wrapText="1"/>
    </xf>
    <xf numFmtId="0" fontId="1" fillId="0" borderId="4" xfId="2" applyFont="1" applyBorder="1" applyAlignment="1">
      <alignment horizontal="center" wrapText="1"/>
    </xf>
    <xf numFmtId="0" fontId="1" fillId="0" borderId="7" xfId="2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2" xfId="0" applyFont="1" applyBorder="1"/>
    <xf numFmtId="0" fontId="0" fillId="3" borderId="11" xfId="0" applyFont="1" applyFill="1" applyBorder="1"/>
    <xf numFmtId="0" fontId="0" fillId="3" borderId="9" xfId="0" applyFont="1" applyFill="1" applyBorder="1"/>
    <xf numFmtId="0" fontId="0" fillId="3" borderId="13" xfId="0" applyFont="1" applyFill="1" applyBorder="1"/>
    <xf numFmtId="2" fontId="0" fillId="0" borderId="8" xfId="0" applyNumberFormat="1" applyFont="1" applyBorder="1"/>
    <xf numFmtId="2" fontId="0" fillId="0" borderId="3" xfId="0" applyNumberFormat="1" applyFont="1" applyBorder="1"/>
    <xf numFmtId="2" fontId="0" fillId="0" borderId="4" xfId="0" applyNumberFormat="1" applyFont="1" applyBorder="1"/>
    <xf numFmtId="2" fontId="0" fillId="0" borderId="7" xfId="0" applyNumberFormat="1" applyFont="1" applyBorder="1"/>
    <xf numFmtId="2" fontId="0" fillId="0" borderId="0" xfId="0" applyNumberFormat="1" applyFont="1" applyFill="1" applyBorder="1"/>
    <xf numFmtId="0" fontId="1" fillId="0" borderId="3" xfId="2" applyFont="1" applyBorder="1" applyAlignment="1">
      <alignment horizontal="center" vertical="center" wrapText="1"/>
    </xf>
    <xf numFmtId="2" fontId="1" fillId="0" borderId="4" xfId="2" applyNumberFormat="1" applyFont="1" applyBorder="1" applyAlignment="1">
      <alignment horizontal="center" wrapText="1"/>
    </xf>
    <xf numFmtId="0" fontId="0" fillId="10" borderId="0" xfId="0" applyFont="1" applyFill="1"/>
    <xf numFmtId="0" fontId="0" fillId="10" borderId="4" xfId="0" applyFont="1" applyFill="1" applyBorder="1"/>
    <xf numFmtId="167" fontId="0" fillId="0" borderId="0" xfId="0" applyNumberFormat="1" applyFont="1" applyFill="1" applyBorder="1" applyAlignment="1">
      <alignment horizontal="center" vertical="center"/>
    </xf>
    <xf numFmtId="167" fontId="0" fillId="0" borderId="14" xfId="0" applyNumberFormat="1" applyFont="1" applyFill="1" applyBorder="1" applyAlignment="1">
      <alignment horizontal="center" vertical="center"/>
    </xf>
    <xf numFmtId="167" fontId="0" fillId="0" borderId="8" xfId="0" applyNumberFormat="1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167" fontId="0" fillId="0" borderId="4" xfId="0" applyNumberFormat="1" applyFont="1" applyFill="1" applyBorder="1" applyAlignment="1">
      <alignment horizontal="center" vertical="center"/>
    </xf>
    <xf numFmtId="167" fontId="0" fillId="0" borderId="7" xfId="0" applyNumberFormat="1" applyFont="1" applyFill="1" applyBorder="1" applyAlignment="1">
      <alignment horizontal="center" vertical="center"/>
    </xf>
    <xf numFmtId="0" fontId="1" fillId="0" borderId="8" xfId="4" applyFont="1" applyFill="1" applyBorder="1"/>
    <xf numFmtId="169" fontId="1" fillId="0" borderId="0" xfId="6" applyNumberFormat="1" applyFont="1" applyFill="1" applyBorder="1" applyAlignment="1">
      <alignment horizontal="center"/>
    </xf>
    <xf numFmtId="0" fontId="1" fillId="0" borderId="7" xfId="4" applyFont="1" applyFill="1" applyBorder="1" applyAlignment="1">
      <alignment wrapText="1"/>
    </xf>
    <xf numFmtId="0" fontId="1" fillId="0" borderId="0" xfId="4" applyFont="1" applyFill="1" applyBorder="1" applyAlignment="1">
      <alignment vertical="top"/>
    </xf>
    <xf numFmtId="1" fontId="0" fillId="3" borderId="0" xfId="0" applyNumberFormat="1" applyFill="1" applyAlignment="1">
      <alignment horizontal="center" vertical="center"/>
    </xf>
    <xf numFmtId="167" fontId="2" fillId="3" borderId="0" xfId="4" applyNumberFormat="1" applyFont="1" applyFill="1" applyBorder="1" applyAlignment="1">
      <alignment horizontal="center" vertical="center" wrapText="1"/>
    </xf>
    <xf numFmtId="167" fontId="4" fillId="3" borderId="0" xfId="4" applyNumberFormat="1" applyFont="1" applyFill="1" applyBorder="1" applyAlignment="1">
      <alignment horizontal="center"/>
    </xf>
    <xf numFmtId="2" fontId="4" fillId="3" borderId="0" xfId="4" applyNumberFormat="1" applyFont="1" applyFill="1" applyBorder="1" applyAlignment="1">
      <alignment horizontal="center"/>
    </xf>
    <xf numFmtId="2" fontId="4" fillId="3" borderId="4" xfId="4" applyNumberFormat="1" applyFont="1" applyFill="1" applyBorder="1" applyAlignment="1">
      <alignment horizontal="center"/>
    </xf>
    <xf numFmtId="2" fontId="4" fillId="0" borderId="0" xfId="4" applyNumberFormat="1" applyFont="1" applyAlignment="1">
      <alignment horizontal="center" vertical="center"/>
    </xf>
    <xf numFmtId="2" fontId="4" fillId="0" borderId="8" xfId="4" applyNumberFormat="1" applyFont="1" applyBorder="1" applyAlignment="1">
      <alignment horizontal="center" vertical="center"/>
    </xf>
    <xf numFmtId="2" fontId="4" fillId="0" borderId="4" xfId="4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167" fontId="0" fillId="0" borderId="4" xfId="0" applyNumberFormat="1" applyFont="1" applyBorder="1"/>
    <xf numFmtId="167" fontId="0" fillId="0" borderId="8" xfId="0" applyNumberFormat="1" applyFont="1" applyBorder="1"/>
    <xf numFmtId="167" fontId="0" fillId="0" borderId="7" xfId="0" applyNumberFormat="1" applyFont="1" applyBorder="1"/>
    <xf numFmtId="0" fontId="0" fillId="8" borderId="13" xfId="2" applyFont="1" applyFill="1" applyBorder="1" applyAlignment="1">
      <alignment horizontal="center"/>
    </xf>
    <xf numFmtId="0" fontId="1" fillId="8" borderId="9" xfId="2" applyFont="1" applyFill="1" applyBorder="1" applyAlignment="1">
      <alignment horizontal="center"/>
    </xf>
    <xf numFmtId="0" fontId="0" fillId="0" borderId="8" xfId="2" applyFont="1" applyBorder="1" applyAlignment="1">
      <alignment horizontal="center"/>
    </xf>
    <xf numFmtId="0" fontId="0" fillId="0" borderId="7" xfId="2" applyFont="1" applyBorder="1" applyAlignment="1">
      <alignment horizontal="center"/>
    </xf>
    <xf numFmtId="167" fontId="0" fillId="0" borderId="3" xfId="0" applyNumberFormat="1" applyFont="1" applyBorder="1"/>
    <xf numFmtId="2" fontId="0" fillId="0" borderId="8" xfId="0" applyNumberFormat="1" applyFont="1" applyFill="1" applyBorder="1"/>
    <xf numFmtId="2" fontId="0" fillId="0" borderId="3" xfId="0" applyNumberFormat="1" applyFont="1" applyFill="1" applyBorder="1"/>
    <xf numFmtId="2" fontId="0" fillId="0" borderId="4" xfId="0" applyNumberFormat="1" applyFont="1" applyFill="1" applyBorder="1"/>
    <xf numFmtId="2" fontId="0" fillId="0" borderId="7" xfId="0" applyNumberFormat="1" applyFont="1" applyFill="1" applyBorder="1"/>
    <xf numFmtId="168" fontId="0" fillId="0" borderId="13" xfId="18" applyNumberFormat="1" applyFont="1" applyFill="1" applyBorder="1" applyAlignment="1">
      <alignment horizontal="center"/>
    </xf>
    <xf numFmtId="168" fontId="0" fillId="0" borderId="8" xfId="18" applyNumberFormat="1" applyFont="1" applyFill="1" applyBorder="1" applyAlignment="1">
      <alignment horizontal="center"/>
    </xf>
    <xf numFmtId="168" fontId="0" fillId="0" borderId="9" xfId="18" applyNumberFormat="1" applyFont="1" applyBorder="1" applyAlignment="1">
      <alignment horizontal="center"/>
    </xf>
    <xf numFmtId="168" fontId="0" fillId="0" borderId="13" xfId="18" applyNumberFormat="1" applyFont="1" applyBorder="1" applyAlignment="1">
      <alignment horizontal="center"/>
    </xf>
    <xf numFmtId="168" fontId="0" fillId="0" borderId="11" xfId="18" applyNumberFormat="1" applyFont="1" applyBorder="1" applyAlignment="1">
      <alignment horizontal="center"/>
    </xf>
    <xf numFmtId="0" fontId="0" fillId="0" borderId="0" xfId="0" applyFont="1" applyAlignment="1">
      <alignment horizontal="right"/>
    </xf>
    <xf numFmtId="0" fontId="19" fillId="0" borderId="4" xfId="2" applyFont="1" applyBorder="1" applyAlignment="1">
      <alignment horizontal="center"/>
    </xf>
    <xf numFmtId="167" fontId="1" fillId="0" borderId="0" xfId="4" applyNumberFormat="1" applyFont="1" applyFill="1" applyBorder="1" applyAlignment="1">
      <alignment horizontal="center"/>
    </xf>
    <xf numFmtId="167" fontId="1" fillId="0" borderId="0" xfId="4" applyNumberFormat="1" applyFont="1" applyFill="1" applyBorder="1" applyAlignment="1">
      <alignment horizontal="center"/>
    </xf>
    <xf numFmtId="167" fontId="1" fillId="0" borderId="4" xfId="4" applyNumberFormat="1" applyFont="1" applyFill="1" applyBorder="1" applyAlignment="1">
      <alignment horizontal="center"/>
    </xf>
    <xf numFmtId="0" fontId="4" fillId="0" borderId="0" xfId="4" applyFont="1" applyFill="1" applyBorder="1" applyAlignment="1">
      <alignment horizontal="center"/>
    </xf>
    <xf numFmtId="0" fontId="4" fillId="0" borderId="7" xfId="4" applyFont="1" applyFill="1" applyBorder="1" applyAlignment="1">
      <alignment horizontal="center"/>
    </xf>
    <xf numFmtId="0" fontId="0" fillId="0" borderId="4" xfId="2" applyFont="1" applyFill="1" applyBorder="1"/>
    <xf numFmtId="0" fontId="0" fillId="0" borderId="4" xfId="2" applyFont="1" applyFill="1" applyBorder="1" applyAlignment="1">
      <alignment horizontal="center"/>
    </xf>
    <xf numFmtId="0" fontId="1" fillId="0" borderId="4" xfId="2" applyFont="1" applyFill="1" applyBorder="1" applyAlignment="1">
      <alignment horizontal="center"/>
    </xf>
    <xf numFmtId="3" fontId="0" fillId="6" borderId="4" xfId="0" applyNumberFormat="1" applyFont="1" applyFill="1" applyBorder="1"/>
    <xf numFmtId="167" fontId="0" fillId="5" borderId="4" xfId="0" applyNumberFormat="1" applyFont="1" applyFill="1" applyBorder="1"/>
    <xf numFmtId="2" fontId="0" fillId="5" borderId="0" xfId="0" applyNumberFormat="1" applyFont="1" applyFill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8" xfId="0" applyFont="1" applyBorder="1"/>
    <xf numFmtId="0" fontId="1" fillId="0" borderId="8" xfId="2" applyFont="1" applyFill="1" applyBorder="1" applyAlignment="1">
      <alignment horizontal="center"/>
    </xf>
    <xf numFmtId="0" fontId="1" fillId="4" borderId="8" xfId="2" applyFont="1" applyFill="1" applyBorder="1" applyAlignment="1">
      <alignment horizontal="center"/>
    </xf>
    <xf numFmtId="0" fontId="1" fillId="0" borderId="7" xfId="2" applyFont="1" applyFill="1" applyBorder="1" applyAlignment="1">
      <alignment horizontal="center"/>
    </xf>
    <xf numFmtId="168" fontId="4" fillId="6" borderId="0" xfId="4" applyNumberFormat="1" applyFont="1" applyFill="1" applyBorder="1" applyAlignment="1">
      <alignment horizontal="center"/>
    </xf>
    <xf numFmtId="168" fontId="4" fillId="6" borderId="8" xfId="4" applyNumberFormat="1" applyFont="1" applyFill="1" applyBorder="1" applyAlignment="1">
      <alignment horizontal="center"/>
    </xf>
    <xf numFmtId="168" fontId="4" fillId="6" borderId="4" xfId="4" applyNumberFormat="1" applyFont="1" applyFill="1" applyBorder="1" applyAlignment="1">
      <alignment horizontal="center"/>
    </xf>
    <xf numFmtId="168" fontId="4" fillId="6" borderId="7" xfId="4" applyNumberFormat="1" applyFont="1" applyFill="1" applyBorder="1" applyAlignment="1">
      <alignment horizontal="center"/>
    </xf>
    <xf numFmtId="171" fontId="1" fillId="0" borderId="12" xfId="4" applyNumberFormat="1" applyFont="1" applyFill="1" applyBorder="1" applyAlignment="1">
      <alignment horizontal="center"/>
    </xf>
    <xf numFmtId="171" fontId="1" fillId="3" borderId="12" xfId="4" applyNumberFormat="1" applyFont="1" applyFill="1" applyBorder="1" applyAlignment="1">
      <alignment horizontal="center"/>
    </xf>
    <xf numFmtId="171" fontId="1" fillId="3" borderId="3" xfId="4" applyNumberFormat="1" applyFont="1" applyFill="1" applyBorder="1" applyAlignment="1">
      <alignment horizontal="center"/>
    </xf>
    <xf numFmtId="172" fontId="1" fillId="0" borderId="0" xfId="4" applyNumberFormat="1" applyFont="1"/>
    <xf numFmtId="0" fontId="0" fillId="0" borderId="0" xfId="4" applyFont="1"/>
    <xf numFmtId="167" fontId="1" fillId="3" borderId="0" xfId="4" applyNumberFormat="1" applyFont="1" applyFill="1" applyBorder="1" applyAlignment="1">
      <alignment horizontal="center"/>
    </xf>
    <xf numFmtId="167" fontId="1" fillId="3" borderId="4" xfId="4" applyNumberFormat="1" applyFont="1" applyFill="1" applyBorder="1" applyAlignment="1">
      <alignment horizontal="center"/>
    </xf>
    <xf numFmtId="168" fontId="0" fillId="0" borderId="0" xfId="18" applyNumberFormat="1" applyFont="1" applyFill="1" applyBorder="1" applyAlignment="1">
      <alignment horizontal="center"/>
    </xf>
    <xf numFmtId="1" fontId="0" fillId="0" borderId="0" xfId="0" applyNumberFormat="1" applyFont="1"/>
    <xf numFmtId="10" fontId="0" fillId="0" borderId="0" xfId="18" applyNumberFormat="1" applyFont="1" applyFill="1" applyBorder="1" applyAlignment="1">
      <alignment horizontal="center"/>
    </xf>
    <xf numFmtId="10" fontId="0" fillId="0" borderId="8" xfId="18" applyNumberFormat="1" applyFont="1" applyFill="1" applyBorder="1" applyAlignment="1">
      <alignment horizontal="center"/>
    </xf>
    <xf numFmtId="169" fontId="0" fillId="0" borderId="0" xfId="0" applyNumberFormat="1" applyFont="1"/>
    <xf numFmtId="173" fontId="0" fillId="0" borderId="0" xfId="0" applyNumberFormat="1" applyFont="1"/>
    <xf numFmtId="2" fontId="0" fillId="0" borderId="11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1" fontId="0" fillId="0" borderId="3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9" fontId="0" fillId="0" borderId="0" xfId="18" applyFont="1" applyFill="1" applyBorder="1" applyAlignment="1">
      <alignment horizontal="center"/>
    </xf>
    <xf numFmtId="171" fontId="1" fillId="0" borderId="5" xfId="4" applyNumberFormat="1" applyFont="1" applyFill="1" applyBorder="1" applyAlignment="1">
      <alignment horizontal="center"/>
    </xf>
    <xf numFmtId="167" fontId="1" fillId="0" borderId="10" xfId="4" applyNumberFormat="1" applyFont="1" applyFill="1" applyBorder="1" applyAlignment="1">
      <alignment horizontal="center"/>
    </xf>
    <xf numFmtId="171" fontId="1" fillId="0" borderId="3" xfId="4" applyNumberFormat="1" applyFont="1" applyFill="1" applyBorder="1" applyAlignment="1">
      <alignment horizontal="center"/>
    </xf>
    <xf numFmtId="0" fontId="1" fillId="0" borderId="15" xfId="4" applyFont="1" applyFill="1" applyBorder="1" applyAlignment="1">
      <alignment horizontal="center"/>
    </xf>
    <xf numFmtId="171" fontId="1" fillId="0" borderId="15" xfId="4" applyNumberFormat="1" applyFont="1" applyFill="1" applyBorder="1" applyAlignment="1">
      <alignment horizontal="center"/>
    </xf>
    <xf numFmtId="167" fontId="1" fillId="0" borderId="2" xfId="4" applyNumberFormat="1" applyFont="1" applyFill="1" applyBorder="1" applyAlignment="1">
      <alignment horizontal="center"/>
    </xf>
    <xf numFmtId="2" fontId="1" fillId="0" borderId="14" xfId="4" applyNumberFormat="1" applyFont="1" applyFill="1" applyBorder="1" applyAlignment="1">
      <alignment horizontal="center"/>
    </xf>
    <xf numFmtId="0" fontId="1" fillId="0" borderId="5" xfId="4" applyFont="1" applyFill="1" applyBorder="1" applyAlignment="1"/>
    <xf numFmtId="169" fontId="1" fillId="0" borderId="10" xfId="4" applyNumberFormat="1" applyFont="1" applyFill="1" applyBorder="1" applyAlignment="1">
      <alignment horizontal="center"/>
    </xf>
    <xf numFmtId="0" fontId="17" fillId="0" borderId="0" xfId="2" applyFont="1" applyFill="1" applyBorder="1"/>
    <xf numFmtId="3" fontId="1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8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Border="1"/>
    <xf numFmtId="1" fontId="0" fillId="0" borderId="4" xfId="0" applyNumberFormat="1" applyBorder="1"/>
    <xf numFmtId="0" fontId="0" fillId="0" borderId="8" xfId="0" applyBorder="1"/>
    <xf numFmtId="0" fontId="0" fillId="0" borderId="7" xfId="0" applyBorder="1"/>
    <xf numFmtId="1" fontId="0" fillId="0" borderId="7" xfId="0" applyNumberFormat="1" applyBorder="1" applyAlignment="1">
      <alignment horizontal="center" vertical="center"/>
    </xf>
    <xf numFmtId="0" fontId="0" fillId="0" borderId="6" xfId="0" applyBorder="1"/>
    <xf numFmtId="1" fontId="0" fillId="0" borderId="1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0" xfId="0" applyNumberFormat="1" applyBorder="1"/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0" borderId="0" xfId="0" applyFont="1"/>
    <xf numFmtId="0" fontId="1" fillId="0" borderId="0" xfId="10" applyFont="1"/>
    <xf numFmtId="0" fontId="0" fillId="0" borderId="0" xfId="10" applyFont="1"/>
    <xf numFmtId="0" fontId="0" fillId="0" borderId="0" xfId="0" applyFont="1" applyAlignment="1">
      <alignment wrapText="1"/>
    </xf>
    <xf numFmtId="0" fontId="22" fillId="0" borderId="0" xfId="10" applyFont="1" applyAlignment="1"/>
    <xf numFmtId="0" fontId="0" fillId="7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23" fillId="0" borderId="0" xfId="0" applyFont="1"/>
    <xf numFmtId="0" fontId="0" fillId="3" borderId="0" xfId="0" applyFont="1" applyFill="1"/>
    <xf numFmtId="0" fontId="0" fillId="0" borderId="0" xfId="0" applyFill="1" applyAlignment="1">
      <alignment horizontal="center" vertical="center"/>
    </xf>
    <xf numFmtId="0" fontId="1" fillId="8" borderId="14" xfId="2" applyFont="1" applyFill="1" applyBorder="1" applyAlignment="1">
      <alignment horizontal="center"/>
    </xf>
    <xf numFmtId="2" fontId="0" fillId="5" borderId="0" xfId="0" applyNumberFormat="1" applyFont="1" applyFill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167" fontId="0" fillId="0" borderId="15" xfId="0" applyNumberFormat="1" applyFont="1" applyBorder="1"/>
    <xf numFmtId="167" fontId="0" fillId="0" borderId="15" xfId="0" applyNumberFormat="1" applyFont="1" applyFill="1" applyBorder="1" applyAlignment="1">
      <alignment horizontal="center" vertical="center"/>
    </xf>
    <xf numFmtId="167" fontId="0" fillId="0" borderId="2" xfId="0" applyNumberFormat="1" applyFont="1" applyBorder="1"/>
    <xf numFmtId="2" fontId="0" fillId="0" borderId="15" xfId="0" applyNumberFormat="1" applyFont="1" applyBorder="1"/>
    <xf numFmtId="171" fontId="4" fillId="0" borderId="0" xfId="4" applyNumberFormat="1" applyFont="1" applyBorder="1"/>
    <xf numFmtId="171" fontId="9" fillId="0" borderId="0" xfId="4" applyNumberFormat="1" applyFont="1" applyBorder="1"/>
    <xf numFmtId="171" fontId="4" fillId="0" borderId="0" xfId="4" applyNumberFormat="1" applyFont="1" applyBorder="1" applyAlignment="1">
      <alignment wrapText="1"/>
    </xf>
    <xf numFmtId="1" fontId="1" fillId="0" borderId="0" xfId="6" applyNumberFormat="1" applyFont="1" applyFill="1" applyBorder="1" applyAlignment="1">
      <alignment horizontal="center"/>
    </xf>
    <xf numFmtId="168" fontId="4" fillId="0" borderId="0" xfId="18" applyNumberFormat="1" applyFont="1"/>
    <xf numFmtId="168" fontId="4" fillId="0" borderId="0" xfId="18" applyNumberFormat="1" applyFont="1" applyFill="1"/>
    <xf numFmtId="0" fontId="16" fillId="0" borderId="8" xfId="4" applyFont="1" applyFill="1" applyBorder="1" applyAlignment="1">
      <alignment horizontal="center" vertical="center"/>
    </xf>
    <xf numFmtId="167" fontId="4" fillId="0" borderId="0" xfId="6" applyNumberFormat="1" applyFont="1" applyFill="1" applyBorder="1" applyAlignment="1">
      <alignment horizontal="center" vertical="center"/>
    </xf>
    <xf numFmtId="167" fontId="1" fillId="0" borderId="0" xfId="4" applyNumberFormat="1" applyFont="1" applyFill="1" applyBorder="1" applyAlignment="1">
      <alignment horizontal="center" vertical="center"/>
    </xf>
    <xf numFmtId="0" fontId="2" fillId="0" borderId="8" xfId="4" applyFont="1" applyFill="1" applyBorder="1" applyAlignment="1">
      <alignment horizontal="center" vertical="center"/>
    </xf>
    <xf numFmtId="2" fontId="4" fillId="0" borderId="0" xfId="6" applyNumberFormat="1" applyFont="1" applyFill="1" applyBorder="1" applyAlignment="1">
      <alignment horizontal="center" vertical="center"/>
    </xf>
    <xf numFmtId="167" fontId="4" fillId="0" borderId="8" xfId="6" applyNumberFormat="1" applyFont="1" applyFill="1" applyBorder="1" applyAlignment="1">
      <alignment horizontal="center"/>
    </xf>
    <xf numFmtId="167" fontId="4" fillId="3" borderId="8" xfId="6" applyNumberFormat="1" applyFont="1" applyFill="1" applyBorder="1" applyAlignment="1">
      <alignment horizontal="center"/>
    </xf>
    <xf numFmtId="167" fontId="4" fillId="0" borderId="8" xfId="6" applyNumberFormat="1" applyFont="1" applyFill="1" applyBorder="1" applyAlignment="1">
      <alignment horizontal="center" vertical="center"/>
    </xf>
    <xf numFmtId="167" fontId="1" fillId="0" borderId="8" xfId="4" applyNumberFormat="1" applyFont="1" applyFill="1" applyBorder="1" applyAlignment="1">
      <alignment horizontal="center" vertical="center" wrapText="1"/>
    </xf>
    <xf numFmtId="167" fontId="1" fillId="3" borderId="8" xfId="4" applyNumberFormat="1" applyFont="1" applyFill="1" applyBorder="1" applyAlignment="1">
      <alignment horizontal="center" vertical="center" wrapText="1"/>
    </xf>
    <xf numFmtId="167" fontId="1" fillId="0" borderId="7" xfId="4" applyNumberFormat="1" applyFont="1" applyFill="1" applyBorder="1" applyAlignment="1">
      <alignment horizontal="center" vertical="center" wrapText="1"/>
    </xf>
    <xf numFmtId="168" fontId="0" fillId="0" borderId="0" xfId="18" applyNumberFormat="1" applyFont="1"/>
    <xf numFmtId="0" fontId="0" fillId="0" borderId="4" xfId="0" applyBorder="1" applyAlignment="1">
      <alignment horizontal="center" vertical="center"/>
    </xf>
    <xf numFmtId="167" fontId="4" fillId="0" borderId="14" xfId="6" applyNumberFormat="1" applyFont="1" applyFill="1" applyBorder="1" applyAlignment="1">
      <alignment horizontal="center"/>
    </xf>
    <xf numFmtId="169" fontId="0" fillId="0" borderId="0" xfId="6" applyNumberFormat="1" applyFont="1" applyFill="1" applyBorder="1" applyAlignment="1">
      <alignment horizontal="left"/>
    </xf>
    <xf numFmtId="167" fontId="1" fillId="6" borderId="0" xfId="2" applyNumberFormat="1" applyFont="1" applyFill="1" applyBorder="1" applyAlignment="1">
      <alignment horizontal="center" vertical="center"/>
    </xf>
    <xf numFmtId="167" fontId="1" fillId="8" borderId="0" xfId="2" applyNumberFormat="1" applyFont="1" applyFill="1" applyBorder="1" applyAlignment="1">
      <alignment horizontal="center" vertical="center"/>
    </xf>
    <xf numFmtId="167" fontId="1" fillId="0" borderId="3" xfId="2" applyNumberFormat="1" applyFont="1" applyBorder="1" applyAlignment="1">
      <alignment horizontal="center" vertical="center"/>
    </xf>
    <xf numFmtId="167" fontId="1" fillId="0" borderId="4" xfId="2" applyNumberFormat="1" applyFont="1" applyBorder="1" applyAlignment="1">
      <alignment horizontal="center" vertical="center"/>
    </xf>
    <xf numFmtId="167" fontId="4" fillId="6" borderId="0" xfId="2" applyNumberFormat="1" applyFont="1" applyFill="1" applyBorder="1" applyAlignment="1">
      <alignment horizontal="center" vertical="center"/>
    </xf>
    <xf numFmtId="167" fontId="1" fillId="6" borderId="0" xfId="2" applyNumberFormat="1" applyFont="1" applyFill="1" applyAlignment="1">
      <alignment horizontal="center" vertical="center"/>
    </xf>
    <xf numFmtId="167" fontId="1" fillId="6" borderId="3" xfId="2" applyNumberFormat="1" applyFont="1" applyFill="1" applyBorder="1" applyAlignment="1">
      <alignment horizontal="center" vertical="center"/>
    </xf>
    <xf numFmtId="167" fontId="1" fillId="6" borderId="4" xfId="2" applyNumberFormat="1" applyFont="1" applyFill="1" applyBorder="1" applyAlignment="1">
      <alignment horizontal="center" vertical="center"/>
    </xf>
    <xf numFmtId="167" fontId="1" fillId="0" borderId="0" xfId="2" applyNumberFormat="1" applyFont="1" applyBorder="1" applyAlignment="1">
      <alignment horizontal="center" vertical="center"/>
    </xf>
    <xf numFmtId="3" fontId="0" fillId="6" borderId="8" xfId="0" applyNumberFormat="1" applyFont="1" applyFill="1" applyBorder="1"/>
    <xf numFmtId="3" fontId="0" fillId="6" borderId="0" xfId="0" applyNumberFormat="1" applyFont="1" applyFill="1" applyBorder="1"/>
    <xf numFmtId="0" fontId="0" fillId="6" borderId="8" xfId="0" applyFont="1" applyFill="1" applyBorder="1"/>
    <xf numFmtId="0" fontId="0" fillId="4" borderId="8" xfId="0" applyFont="1" applyFill="1" applyBorder="1"/>
    <xf numFmtId="3" fontId="0" fillId="4" borderId="8" xfId="0" applyNumberFormat="1" applyFont="1" applyFill="1" applyBorder="1"/>
    <xf numFmtId="3" fontId="0" fillId="6" borderId="7" xfId="0" applyNumberFormat="1" applyFont="1" applyFill="1" applyBorder="1"/>
    <xf numFmtId="167" fontId="0" fillId="5" borderId="8" xfId="0" applyNumberFormat="1" applyFont="1" applyFill="1" applyBorder="1"/>
    <xf numFmtId="167" fontId="0" fillId="4" borderId="8" xfId="0" applyNumberFormat="1" applyFont="1" applyFill="1" applyBorder="1"/>
    <xf numFmtId="167" fontId="0" fillId="5" borderId="7" xfId="0" applyNumberFormat="1" applyFont="1" applyFill="1" applyBorder="1"/>
    <xf numFmtId="3" fontId="4" fillId="0" borderId="0" xfId="4" applyNumberFormat="1" applyFont="1"/>
    <xf numFmtId="2" fontId="1" fillId="6" borderId="0" xfId="4" applyNumberFormat="1" applyFont="1" applyFill="1" applyBorder="1" applyAlignment="1">
      <alignment horizontal="center" vertical="center"/>
    </xf>
    <xf numFmtId="2" fontId="1" fillId="8" borderId="0" xfId="4" applyNumberFormat="1" applyFont="1" applyFill="1" applyBorder="1" applyAlignment="1">
      <alignment horizontal="center" vertical="center"/>
    </xf>
    <xf numFmtId="0" fontId="1" fillId="0" borderId="5" xfId="4" applyFont="1" applyFill="1" applyBorder="1" applyAlignment="1">
      <alignment horizontal="center" vertical="center" wrapText="1"/>
    </xf>
    <xf numFmtId="0" fontId="1" fillId="0" borderId="10" xfId="4" applyFont="1" applyFill="1" applyBorder="1" applyAlignment="1">
      <alignment horizontal="center" vertical="center" wrapText="1"/>
    </xf>
    <xf numFmtId="0" fontId="4" fillId="0" borderId="10" xfId="5" applyFont="1" applyFill="1" applyBorder="1" applyAlignment="1">
      <alignment horizontal="center" vertical="center"/>
    </xf>
    <xf numFmtId="0" fontId="1" fillId="7" borderId="10" xfId="4" applyFont="1" applyFill="1" applyBorder="1" applyAlignment="1">
      <alignment horizontal="center" vertical="center"/>
    </xf>
    <xf numFmtId="2" fontId="1" fillId="8" borderId="2" xfId="4" applyNumberFormat="1" applyFont="1" applyFill="1" applyBorder="1" applyAlignment="1">
      <alignment horizontal="center" vertical="center"/>
    </xf>
    <xf numFmtId="2" fontId="1" fillId="8" borderId="4" xfId="4" applyNumberFormat="1" applyFont="1" applyFill="1" applyBorder="1" applyAlignment="1">
      <alignment horizontal="center" vertical="center"/>
    </xf>
    <xf numFmtId="2" fontId="1" fillId="0" borderId="5" xfId="6" applyNumberFormat="1" applyFont="1" applyFill="1" applyBorder="1" applyAlignment="1">
      <alignment horizontal="center" vertical="center"/>
    </xf>
    <xf numFmtId="2" fontId="1" fillId="0" borderId="10" xfId="6" applyNumberFormat="1" applyFont="1" applyFill="1" applyBorder="1" applyAlignment="1">
      <alignment horizontal="center" vertical="center"/>
    </xf>
    <xf numFmtId="2" fontId="1" fillId="8" borderId="10" xfId="6" applyNumberFormat="1" applyFont="1" applyFill="1" applyBorder="1" applyAlignment="1">
      <alignment horizontal="center" vertical="center"/>
    </xf>
    <xf numFmtId="0" fontId="0" fillId="0" borderId="8" xfId="4" applyFont="1" applyFill="1" applyBorder="1"/>
    <xf numFmtId="0" fontId="1" fillId="0" borderId="9" xfId="4" applyFont="1" applyFill="1" applyBorder="1"/>
    <xf numFmtId="0" fontId="0" fillId="0" borderId="13" xfId="4" applyFont="1" applyFill="1" applyBorder="1"/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vertical="center" wrapText="1"/>
    </xf>
    <xf numFmtId="167" fontId="4" fillId="0" borderId="0" xfId="4" applyNumberFormat="1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9" xfId="0" applyBorder="1"/>
    <xf numFmtId="0" fontId="0" fillId="0" borderId="5" xfId="0" applyBorder="1"/>
    <xf numFmtId="0" fontId="0" fillId="0" borderId="16" xfId="0" applyBorder="1"/>
    <xf numFmtId="0" fontId="0" fillId="0" borderId="6" xfId="4" applyFont="1" applyFill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5" fontId="0" fillId="0" borderId="0" xfId="1" applyNumberFormat="1" applyFont="1" applyBorder="1" applyAlignment="1"/>
    <xf numFmtId="0" fontId="4" fillId="0" borderId="0" xfId="4" applyFont="1"/>
    <xf numFmtId="0" fontId="0" fillId="0" borderId="4" xfId="0" applyBorder="1" applyAlignment="1">
      <alignment horizontal="center" vertical="center"/>
    </xf>
    <xf numFmtId="2" fontId="1" fillId="5" borderId="15" xfId="4" applyNumberFormat="1" applyFont="1" applyFill="1" applyBorder="1" applyAlignment="1">
      <alignment horizontal="center" vertical="center"/>
    </xf>
    <xf numFmtId="2" fontId="1" fillId="6" borderId="2" xfId="4" applyNumberFormat="1" applyFont="1" applyFill="1" applyBorder="1" applyAlignment="1">
      <alignment horizontal="center" vertical="center"/>
    </xf>
    <xf numFmtId="2" fontId="1" fillId="5" borderId="3" xfId="4" applyNumberFormat="1" applyFont="1" applyFill="1" applyBorder="1" applyAlignment="1">
      <alignment horizontal="center" vertical="center"/>
    </xf>
    <xf numFmtId="2" fontId="1" fillId="6" borderId="4" xfId="4" applyNumberFormat="1" applyFont="1" applyFill="1" applyBorder="1" applyAlignment="1">
      <alignment horizontal="center" vertical="center"/>
    </xf>
    <xf numFmtId="3" fontId="4" fillId="0" borderId="0" xfId="4" applyNumberFormat="1" applyFont="1" applyBorder="1"/>
    <xf numFmtId="0" fontId="4" fillId="0" borderId="0" xfId="4" applyFont="1"/>
    <xf numFmtId="0" fontId="1" fillId="0" borderId="0" xfId="4" applyFont="1" applyFill="1" applyBorder="1"/>
    <xf numFmtId="167" fontId="0" fillId="0" borderId="0" xfId="0" applyNumberFormat="1"/>
    <xf numFmtId="168" fontId="0" fillId="0" borderId="0" xfId="18" applyNumberFormat="1" applyFont="1" applyAlignment="1">
      <alignment horizontal="center" vertical="center"/>
    </xf>
    <xf numFmtId="168" fontId="0" fillId="0" borderId="8" xfId="18" applyNumberFormat="1" applyFont="1" applyBorder="1" applyAlignment="1">
      <alignment horizontal="center" vertical="center"/>
    </xf>
    <xf numFmtId="10" fontId="0" fillId="0" borderId="0" xfId="18" applyNumberFormat="1" applyFont="1"/>
    <xf numFmtId="0" fontId="0" fillId="0" borderId="0" xfId="4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vertical="top" wrapText="1"/>
    </xf>
    <xf numFmtId="0" fontId="4" fillId="0" borderId="0" xfId="4" applyFont="1"/>
    <xf numFmtId="0" fontId="1" fillId="0" borderId="0" xfId="4" applyFont="1" applyFill="1" applyBorder="1"/>
    <xf numFmtId="0" fontId="0" fillId="0" borderId="14" xfId="4" applyFont="1" applyFill="1" applyBorder="1" applyAlignment="1">
      <alignment horizontal="center" vertical="center" wrapText="1"/>
    </xf>
    <xf numFmtId="0" fontId="0" fillId="0" borderId="7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7" xfId="4" applyFont="1" applyFill="1" applyBorder="1" applyAlignment="1">
      <alignment horizontal="center" vertical="center"/>
    </xf>
    <xf numFmtId="0" fontId="0" fillId="0" borderId="8" xfId="4" applyFont="1" applyFill="1" applyBorder="1" applyAlignment="1">
      <alignment horizontal="center" vertical="center" wrapText="1"/>
    </xf>
    <xf numFmtId="0" fontId="1" fillId="0" borderId="10" xfId="4" applyFont="1" applyFill="1" applyBorder="1" applyAlignment="1">
      <alignment horizontal="center" wrapText="1"/>
    </xf>
    <xf numFmtId="0" fontId="1" fillId="0" borderId="6" xfId="4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4" applyFont="1" applyFill="1" applyBorder="1" applyAlignment="1">
      <alignment horizontal="center" vertical="center" wrapText="1"/>
    </xf>
    <xf numFmtId="0" fontId="2" fillId="0" borderId="7" xfId="4" applyFont="1" applyFill="1" applyBorder="1" applyAlignment="1">
      <alignment horizontal="center" vertical="center" wrapText="1"/>
    </xf>
    <xf numFmtId="0" fontId="15" fillId="0" borderId="0" xfId="4" applyFont="1" applyFill="1" applyBorder="1" applyAlignment="1">
      <alignment horizontal="center" wrapText="1"/>
    </xf>
    <xf numFmtId="0" fontId="4" fillId="0" borderId="8" xfId="4" applyFont="1" applyFill="1" applyBorder="1" applyAlignment="1">
      <alignment horizontal="center" vertical="center"/>
    </xf>
    <xf numFmtId="0" fontId="4" fillId="0" borderId="7" xfId="4" applyFont="1" applyFill="1" applyBorder="1" applyAlignment="1">
      <alignment horizontal="center" vertical="center"/>
    </xf>
    <xf numFmtId="0" fontId="2" fillId="0" borderId="0" xfId="4" applyFont="1" applyFill="1" applyBorder="1" applyAlignment="1">
      <alignment horizontal="center"/>
    </xf>
    <xf numFmtId="0" fontId="4" fillId="0" borderId="9" xfId="4" applyFont="1" applyFill="1" applyBorder="1" applyAlignment="1">
      <alignment horizontal="center" vertical="center"/>
    </xf>
    <xf numFmtId="0" fontId="4" fillId="0" borderId="13" xfId="4" applyFont="1" applyFill="1" applyBorder="1" applyAlignment="1">
      <alignment horizontal="center" vertical="center"/>
    </xf>
    <xf numFmtId="0" fontId="15" fillId="0" borderId="8" xfId="4" applyFont="1" applyFill="1" applyBorder="1" applyAlignment="1">
      <alignment horizontal="center" wrapText="1"/>
    </xf>
    <xf numFmtId="1" fontId="4" fillId="0" borderId="0" xfId="4" applyNumberFormat="1" applyFont="1" applyFill="1" applyBorder="1" applyAlignment="1">
      <alignment horizontal="center"/>
    </xf>
    <xf numFmtId="9" fontId="1" fillId="0" borderId="2" xfId="6" applyFont="1" applyFill="1" applyBorder="1" applyAlignment="1">
      <alignment horizontal="center" vertical="center" wrapText="1"/>
    </xf>
    <xf numFmtId="9" fontId="1" fillId="0" borderId="4" xfId="6" applyFont="1" applyFill="1" applyBorder="1" applyAlignment="1">
      <alignment horizontal="center" vertical="center" wrapText="1"/>
    </xf>
    <xf numFmtId="9" fontId="1" fillId="0" borderId="2" xfId="6" applyFont="1" applyFill="1" applyBorder="1" applyAlignment="1">
      <alignment horizontal="center" vertical="center"/>
    </xf>
    <xf numFmtId="9" fontId="1" fillId="0" borderId="4" xfId="6" applyFont="1" applyFill="1" applyBorder="1" applyAlignment="1">
      <alignment horizontal="center" vertical="center"/>
    </xf>
    <xf numFmtId="167" fontId="4" fillId="0" borderId="4" xfId="4" applyNumberFormat="1" applyFont="1" applyFill="1" applyBorder="1" applyAlignment="1">
      <alignment horizontal="center"/>
    </xf>
    <xf numFmtId="167" fontId="4" fillId="0" borderId="7" xfId="4" applyNumberFormat="1" applyFont="1" applyFill="1" applyBorder="1" applyAlignment="1">
      <alignment horizontal="center"/>
    </xf>
    <xf numFmtId="9" fontId="1" fillId="0" borderId="14" xfId="6" applyFont="1" applyFill="1" applyBorder="1" applyAlignment="1">
      <alignment horizontal="center" vertical="center"/>
    </xf>
    <xf numFmtId="9" fontId="1" fillId="0" borderId="7" xfId="6" applyFont="1" applyFill="1" applyBorder="1" applyAlignment="1">
      <alignment horizontal="center" vertical="center"/>
    </xf>
    <xf numFmtId="167" fontId="4" fillId="0" borderId="3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167" fontId="4" fillId="0" borderId="8" xfId="4" applyNumberFormat="1" applyFont="1" applyFill="1" applyBorder="1" applyAlignment="1">
      <alignment horizontal="center"/>
    </xf>
    <xf numFmtId="1" fontId="4" fillId="0" borderId="8" xfId="4" applyNumberFormat="1" applyFont="1" applyFill="1" applyBorder="1" applyAlignment="1">
      <alignment horizontal="center"/>
    </xf>
    <xf numFmtId="0" fontId="4" fillId="0" borderId="0" xfId="4" applyFont="1" applyFill="1" applyBorder="1" applyAlignment="1">
      <alignment horizontal="center"/>
    </xf>
    <xf numFmtId="0" fontId="4" fillId="0" borderId="8" xfId="4" applyFont="1" applyFill="1" applyBorder="1" applyAlignment="1">
      <alignment horizontal="center"/>
    </xf>
    <xf numFmtId="0" fontId="4" fillId="0" borderId="3" xfId="4" applyFont="1" applyFill="1" applyBorder="1" applyAlignment="1">
      <alignment horizontal="center"/>
    </xf>
    <xf numFmtId="0" fontId="4" fillId="0" borderId="4" xfId="4" applyFont="1" applyFill="1" applyBorder="1" applyAlignment="1">
      <alignment horizontal="center"/>
    </xf>
    <xf numFmtId="0" fontId="4" fillId="0" borderId="7" xfId="4" applyFont="1" applyFill="1" applyBorder="1" applyAlignment="1">
      <alignment horizontal="center"/>
    </xf>
    <xf numFmtId="0" fontId="4" fillId="0" borderId="2" xfId="4" applyFont="1" applyFill="1" applyBorder="1" applyAlignment="1">
      <alignment horizontal="center"/>
    </xf>
    <xf numFmtId="0" fontId="4" fillId="0" borderId="14" xfId="4" applyFont="1" applyFill="1" applyBorder="1" applyAlignment="1">
      <alignment horizontal="center"/>
    </xf>
    <xf numFmtId="1" fontId="4" fillId="0" borderId="15" xfId="4" applyNumberFormat="1" applyFont="1" applyFill="1" applyBorder="1" applyAlignment="1">
      <alignment horizontal="center"/>
    </xf>
    <xf numFmtId="1" fontId="4" fillId="0" borderId="2" xfId="4" applyNumberFormat="1" applyFont="1" applyFill="1" applyBorder="1" applyAlignment="1">
      <alignment horizontal="center"/>
    </xf>
    <xf numFmtId="1" fontId="4" fillId="0" borderId="14" xfId="4" applyNumberFormat="1" applyFont="1" applyFill="1" applyBorder="1" applyAlignment="1">
      <alignment horizontal="center"/>
    </xf>
    <xf numFmtId="0" fontId="16" fillId="0" borderId="0" xfId="4" applyFont="1" applyFill="1" applyBorder="1" applyAlignment="1">
      <alignment horizontal="center"/>
    </xf>
    <xf numFmtId="9" fontId="4" fillId="0" borderId="4" xfId="4" applyNumberFormat="1" applyFont="1" applyFill="1" applyBorder="1" applyAlignment="1">
      <alignment horizontal="center"/>
    </xf>
    <xf numFmtId="9" fontId="4" fillId="0" borderId="7" xfId="4" applyNumberFormat="1" applyFont="1" applyFill="1" applyBorder="1" applyAlignment="1">
      <alignment horizontal="center"/>
    </xf>
    <xf numFmtId="0" fontId="4" fillId="0" borderId="0" xfId="4" applyFont="1" applyBorder="1" applyAlignment="1">
      <alignment horizontal="center" vertical="center"/>
    </xf>
    <xf numFmtId="0" fontId="4" fillId="0" borderId="0" xfId="4" applyFont="1" applyBorder="1" applyAlignment="1">
      <alignment horizontal="center"/>
    </xf>
    <xf numFmtId="0" fontId="4" fillId="0" borderId="8" xfId="4" applyFont="1" applyBorder="1" applyAlignment="1">
      <alignment horizontal="center"/>
    </xf>
    <xf numFmtId="0" fontId="4" fillId="0" borderId="4" xfId="4" applyFont="1" applyBorder="1" applyAlignment="1">
      <alignment horizontal="center" vertical="center"/>
    </xf>
    <xf numFmtId="0" fontId="4" fillId="0" borderId="7" xfId="4" applyFont="1" applyBorder="1" applyAlignment="1">
      <alignment horizontal="center" vertical="center"/>
    </xf>
    <xf numFmtId="0" fontId="4" fillId="0" borderId="15" xfId="4" applyFont="1" applyFill="1" applyBorder="1" applyAlignment="1">
      <alignment horizontal="center" vertical="center"/>
    </xf>
    <xf numFmtId="0" fontId="4" fillId="0" borderId="3" xfId="4" applyFont="1" applyFill="1" applyBorder="1" applyAlignment="1">
      <alignment horizontal="center" vertical="center"/>
    </xf>
    <xf numFmtId="167" fontId="4" fillId="0" borderId="2" xfId="4" applyNumberFormat="1" applyFont="1" applyFill="1" applyBorder="1" applyAlignment="1">
      <alignment horizontal="center" vertical="center"/>
    </xf>
    <xf numFmtId="167" fontId="4" fillId="0" borderId="4" xfId="4" applyNumberFormat="1" applyFont="1" applyFill="1" applyBorder="1" applyAlignment="1">
      <alignment horizontal="center" vertical="center"/>
    </xf>
    <xf numFmtId="167" fontId="4" fillId="0" borderId="2" xfId="4" applyNumberFormat="1" applyFont="1" applyFill="1" applyBorder="1" applyAlignment="1">
      <alignment horizontal="center" vertical="center" wrapText="1"/>
    </xf>
    <xf numFmtId="167" fontId="4" fillId="0" borderId="4" xfId="4" applyNumberFormat="1" applyFont="1" applyFill="1" applyBorder="1" applyAlignment="1">
      <alignment horizontal="center" vertical="center" wrapText="1"/>
    </xf>
    <xf numFmtId="167" fontId="4" fillId="0" borderId="14" xfId="4" applyNumberFormat="1" applyFont="1" applyFill="1" applyBorder="1" applyAlignment="1">
      <alignment horizontal="center" vertical="center" wrapText="1"/>
    </xf>
    <xf numFmtId="167" fontId="4" fillId="0" borderId="7" xfId="4" applyNumberFormat="1" applyFont="1" applyFill="1" applyBorder="1" applyAlignment="1">
      <alignment horizontal="center" vertical="center" wrapText="1"/>
    </xf>
    <xf numFmtId="9" fontId="1" fillId="0" borderId="15" xfId="6" applyFont="1" applyFill="1" applyBorder="1" applyAlignment="1">
      <alignment horizontal="center" vertical="center" wrapText="1"/>
    </xf>
    <xf numFmtId="9" fontId="1" fillId="0" borderId="3" xfId="6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wrapText="1"/>
    </xf>
    <xf numFmtId="0" fontId="0" fillId="0" borderId="4" xfId="4" applyFont="1" applyFill="1" applyBorder="1" applyAlignment="1">
      <alignment horizontal="center" wrapText="1"/>
    </xf>
    <xf numFmtId="167" fontId="0" fillId="0" borderId="14" xfId="4" applyNumberFormat="1" applyFont="1" applyFill="1" applyBorder="1" applyAlignment="1">
      <alignment horizontal="left" vertical="center"/>
    </xf>
    <xf numFmtId="167" fontId="0" fillId="0" borderId="7" xfId="4" applyNumberFormat="1" applyFont="1" applyFill="1" applyBorder="1" applyAlignment="1">
      <alignment horizontal="left" vertical="center"/>
    </xf>
    <xf numFmtId="167" fontId="1" fillId="0" borderId="7" xfId="4" applyNumberFormat="1" applyFont="1" applyFill="1" applyBorder="1" applyAlignment="1">
      <alignment horizontal="left" vertical="center"/>
    </xf>
    <xf numFmtId="0" fontId="0" fillId="0" borderId="0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2" fontId="1" fillId="0" borderId="0" xfId="2" applyNumberFormat="1" applyFont="1" applyBorder="1" applyAlignment="1">
      <alignment horizontal="center" wrapText="1"/>
    </xf>
    <xf numFmtId="0" fontId="1" fillId="0" borderId="0" xfId="2" applyFont="1" applyBorder="1" applyAlignment="1">
      <alignment horizontal="center" wrapText="1"/>
    </xf>
    <xf numFmtId="0" fontId="0" fillId="0" borderId="0" xfId="2" applyFont="1" applyBorder="1" applyAlignment="1">
      <alignment horizontal="center" wrapText="1"/>
    </xf>
    <xf numFmtId="0" fontId="0" fillId="0" borderId="0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 wrapText="1"/>
    </xf>
    <xf numFmtId="0" fontId="1" fillId="0" borderId="8" xfId="2" applyFont="1" applyBorder="1" applyAlignment="1">
      <alignment horizontal="center" vertical="center" wrapText="1"/>
    </xf>
    <xf numFmtId="0" fontId="1" fillId="0" borderId="9" xfId="2" applyFont="1" applyBorder="1" applyAlignment="1">
      <alignment horizontal="center" vertical="center" wrapText="1"/>
    </xf>
    <xf numFmtId="0" fontId="1" fillId="0" borderId="13" xfId="2" applyFont="1" applyBorder="1" applyAlignment="1">
      <alignment horizontal="center" vertical="center" wrapText="1"/>
    </xf>
    <xf numFmtId="0" fontId="1" fillId="0" borderId="8" xfId="2" applyFont="1" applyBorder="1" applyAlignment="1">
      <alignment horizontal="center" wrapText="1"/>
    </xf>
    <xf numFmtId="1" fontId="0" fillId="0" borderId="9" xfId="2" applyNumberFormat="1" applyFont="1" applyBorder="1" applyAlignment="1">
      <alignment horizontal="center" vertical="center" wrapText="1"/>
    </xf>
    <xf numFmtId="1" fontId="1" fillId="0" borderId="13" xfId="2" applyNumberFormat="1" applyFont="1" applyBorder="1" applyAlignment="1">
      <alignment horizontal="center" vertical="center" wrapText="1"/>
    </xf>
    <xf numFmtId="1" fontId="1" fillId="0" borderId="0" xfId="2" applyNumberFormat="1" applyFont="1" applyBorder="1" applyAlignment="1">
      <alignment horizontal="center" wrapText="1"/>
    </xf>
    <xf numFmtId="1" fontId="1" fillId="0" borderId="8" xfId="2" applyNumberFormat="1" applyFont="1" applyBorder="1" applyAlignment="1">
      <alignment horizontal="center" wrapText="1"/>
    </xf>
    <xf numFmtId="0" fontId="4" fillId="0" borderId="4" xfId="4" applyFont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166" fontId="0" fillId="0" borderId="12" xfId="1" applyNumberFormat="1" applyFont="1" applyBorder="1" applyAlignment="1">
      <alignment horizontal="center" wrapText="1"/>
    </xf>
    <xf numFmtId="0" fontId="0" fillId="0" borderId="0" xfId="2" applyFont="1" applyAlignment="1">
      <alignment horizontal="center"/>
    </xf>
    <xf numFmtId="165" fontId="0" fillId="7" borderId="0" xfId="1" applyNumberFormat="1" applyFont="1" applyFill="1" applyAlignment="1">
      <alignment horizontal="center"/>
    </xf>
    <xf numFmtId="0" fontId="0" fillId="0" borderId="0" xfId="0" applyFont="1" applyAlignment="1">
      <alignment horizontal="center" vertical="center" wrapText="1"/>
    </xf>
    <xf numFmtId="171" fontId="1" fillId="5" borderId="0" xfId="6" applyNumberFormat="1" applyFont="1" applyFill="1" applyBorder="1" applyAlignment="1">
      <alignment horizontal="center" vertical="center"/>
    </xf>
    <xf numFmtId="171" fontId="1" fillId="5" borderId="0" xfId="4" applyNumberFormat="1" applyFon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171" fontId="0" fillId="6" borderId="0" xfId="0" applyNumberFormat="1" applyFill="1" applyAlignment="1">
      <alignment horizontal="center" vertical="center"/>
    </xf>
    <xf numFmtId="171" fontId="0" fillId="6" borderId="4" xfId="0" applyNumberFormat="1" applyFill="1" applyBorder="1" applyAlignment="1">
      <alignment horizontal="center" vertical="center"/>
    </xf>
    <xf numFmtId="0" fontId="2" fillId="0" borderId="4" xfId="4" applyFont="1" applyFill="1" applyBorder="1" applyAlignment="1">
      <alignment vertical="center"/>
    </xf>
    <xf numFmtId="0" fontId="0" fillId="0" borderId="3" xfId="2" applyFont="1" applyBorder="1" applyAlignment="1">
      <alignment horizontal="center"/>
    </xf>
    <xf numFmtId="165" fontId="0" fillId="0" borderId="4" xfId="1" applyNumberFormat="1" applyFont="1" applyBorder="1" applyAlignment="1"/>
    <xf numFmtId="165" fontId="0" fillId="0" borderId="7" xfId="1" applyNumberFormat="1" applyFont="1" applyBorder="1" applyAlignment="1"/>
  </cellXfs>
  <cellStyles count="19">
    <cellStyle name="Comma" xfId="1" builtinId="3"/>
    <cellStyle name="Comma 2" xfId="7"/>
    <cellStyle name="Heading" xfId="8"/>
    <cellStyle name="Hyperlink 2" xfId="9"/>
    <cellStyle name="Input 2" xfId="5"/>
    <cellStyle name="Normal" xfId="0" builtinId="0"/>
    <cellStyle name="Normal 2" xfId="4"/>
    <cellStyle name="Normal 3" xfId="2"/>
    <cellStyle name="Normal 3 2" xfId="3"/>
    <cellStyle name="Normal 4" xfId="10"/>
    <cellStyle name="Normal 5" xfId="11"/>
    <cellStyle name="Normal 6" xfId="12"/>
    <cellStyle name="Percent" xfId="18" builtinId="5"/>
    <cellStyle name="Percent 2" xfId="6"/>
    <cellStyle name="Percent 2 2" xfId="13"/>
    <cellStyle name="Percent 3" xfId="14"/>
    <cellStyle name="Publication_style" xfId="15"/>
    <cellStyle name="Refdb standard" xfId="16"/>
    <cellStyle name="Source" xfId="17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dft.gov.uk/TSGB00/8-01-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THIM_California_open_source_version_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5"/>
      <sheetName val="Button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TIS-INDEX"/>
      <sheetName val="Admin"/>
      <sheetName val="Replacer"/>
      <sheetName val="8-01-98"/>
    </sheetNames>
    <sheetDataSet>
      <sheetData sheetId="0"/>
      <sheetData sheetId="1"/>
      <sheetData sheetId="2">
        <row r="10">
          <cell r="M10" t="str">
            <v>At purchasing power parity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Index"/>
      <sheetName val="user page"/>
      <sheetName val="user page 2"/>
      <sheetName val="Visions person"/>
      <sheetName val="Health summary"/>
      <sheetName val="Baseline"/>
      <sheetName val="Scenario"/>
      <sheetName val="Non travel METs"/>
      <sheetName val="Phy activity RRs"/>
      <sheetName val="t Total"/>
      <sheetName val="GBDUS"/>
      <sheetName val="GBD"/>
      <sheetName val="US2010d"/>
      <sheetName val="UK2010d"/>
      <sheetName val="All-cause mort"/>
      <sheetName val="All-cause mort (2)"/>
      <sheetName val="All-cause mort (3)"/>
      <sheetName val="All-cause mort (4)"/>
      <sheetName val="Acute Resp Infect"/>
      <sheetName val="Breast cancer"/>
      <sheetName val="CVD_air"/>
      <sheetName val="CVD_air (2)"/>
      <sheetName val="Colon Cancer"/>
      <sheetName val="Dementia"/>
      <sheetName val="Depression"/>
      <sheetName val="Diabetes"/>
      <sheetName val="Inflammatory HD"/>
      <sheetName val="Lung Cancer"/>
      <sheetName val="Resp diseases"/>
      <sheetName val="Stroke_air"/>
      <sheetName val="HHD_air"/>
      <sheetName val="Dist by road type"/>
      <sheetName val="Baseline injuries"/>
      <sheetName val="Scenario Injury Multiplier"/>
      <sheetName val="Scenario Injuries"/>
      <sheetName val="Injuries results"/>
      <sheetName val="Inj dis burden change"/>
      <sheetName val="air pollution"/>
      <sheetName val="CO2US"/>
      <sheetName val="CO2UK"/>
    </sheetNames>
    <sheetDataSet>
      <sheetData sheetId="0"/>
      <sheetData sheetId="1"/>
      <sheetData sheetId="2">
        <row r="1">
          <cell r="U1">
            <v>2</v>
          </cell>
        </row>
        <row r="39">
          <cell r="N39">
            <v>1</v>
          </cell>
        </row>
      </sheetData>
      <sheetData sheetId="3"/>
      <sheetData sheetId="4"/>
      <sheetData sheetId="5"/>
      <sheetData sheetId="6">
        <row r="39">
          <cell r="I39">
            <v>0.36472115212485712</v>
          </cell>
        </row>
      </sheetData>
      <sheetData sheetId="7">
        <row r="36">
          <cell r="J36">
            <v>0.53487189259247814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1549.463054282409" createdVersion="4" refreshedVersion="4" minRefreshableVersion="3" recordCount="1414">
  <cacheSource type="worksheet">
    <worksheetSource ref="A1:E1415" sheet="CA DOF 2035"/>
  </cacheSource>
  <cacheFields count="5">
    <cacheField name="Age" numFmtId="0">
      <sharedItems containsSemiMixedTypes="0" containsString="0" containsNumber="1" containsInteger="1" minValue="0" maxValue="100" count="1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Gender" numFmtId="0">
      <sharedItems count="2">
        <s v="Female"/>
        <s v="Male"/>
      </sharedItems>
    </cacheField>
    <cacheField name="Population" numFmtId="0">
      <sharedItems containsSemiMixedTypes="0" containsString="0" containsNumber="1" minValue="0" maxValue="6917.46"/>
    </cacheField>
    <cacheField name="Year" numFmtId="0">
      <sharedItems containsSemiMixedTypes="0" containsString="0" containsNumber="1" containsInteger="1" minValue="2035" maxValue="2035"/>
    </cacheField>
    <cacheField name="County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4">
  <r>
    <x v="0"/>
    <x v="0"/>
    <n v="1656.39"/>
    <n v="2035"/>
    <s v="Fresno"/>
  </r>
  <r>
    <x v="1"/>
    <x v="0"/>
    <n v="1671.82"/>
    <n v="2035"/>
    <s v="Fresno"/>
  </r>
  <r>
    <x v="2"/>
    <x v="0"/>
    <n v="1689.92"/>
    <n v="2035"/>
    <s v="Fresno"/>
  </r>
  <r>
    <x v="3"/>
    <x v="0"/>
    <n v="1709.08"/>
    <n v="2035"/>
    <s v="Fresno"/>
  </r>
  <r>
    <x v="4"/>
    <x v="0"/>
    <n v="1734.98"/>
    <n v="2035"/>
    <s v="Fresno"/>
  </r>
  <r>
    <x v="5"/>
    <x v="0"/>
    <n v="1769.66"/>
    <n v="2035"/>
    <s v="Fresno"/>
  </r>
  <r>
    <x v="6"/>
    <x v="0"/>
    <n v="1806.74"/>
    <n v="2035"/>
    <s v="Fresno"/>
  </r>
  <r>
    <x v="7"/>
    <x v="0"/>
    <n v="1845.48"/>
    <n v="2035"/>
    <s v="Fresno"/>
  </r>
  <r>
    <x v="8"/>
    <x v="0"/>
    <n v="1901.4"/>
    <n v="2035"/>
    <s v="Fresno"/>
  </r>
  <r>
    <x v="9"/>
    <x v="0"/>
    <n v="1959.98"/>
    <n v="2035"/>
    <s v="Fresno"/>
  </r>
  <r>
    <x v="10"/>
    <x v="0"/>
    <n v="2003.45"/>
    <n v="2035"/>
    <s v="Fresno"/>
  </r>
  <r>
    <x v="11"/>
    <x v="0"/>
    <n v="2043.26"/>
    <n v="2035"/>
    <s v="Fresno"/>
  </r>
  <r>
    <x v="12"/>
    <x v="0"/>
    <n v="2071.9899999999998"/>
    <n v="2035"/>
    <s v="Fresno"/>
  </r>
  <r>
    <x v="13"/>
    <x v="0"/>
    <n v="2098.71"/>
    <n v="2035"/>
    <s v="Fresno"/>
  </r>
  <r>
    <x v="14"/>
    <x v="0"/>
    <n v="2130.04"/>
    <n v="2035"/>
    <s v="Fresno"/>
  </r>
  <r>
    <x v="15"/>
    <x v="0"/>
    <n v="2146.15"/>
    <n v="2035"/>
    <s v="Fresno"/>
  </r>
  <r>
    <x v="16"/>
    <x v="0"/>
    <n v="2158.12"/>
    <n v="2035"/>
    <s v="Fresno"/>
  </r>
  <r>
    <x v="17"/>
    <x v="0"/>
    <n v="2546.2800000000002"/>
    <n v="2035"/>
    <s v="Fresno"/>
  </r>
  <r>
    <x v="18"/>
    <x v="0"/>
    <n v="2587.36"/>
    <n v="2035"/>
    <s v="Fresno"/>
  </r>
  <r>
    <x v="19"/>
    <x v="0"/>
    <n v="2615.5"/>
    <n v="2035"/>
    <s v="Fresno"/>
  </r>
  <r>
    <x v="20"/>
    <x v="0"/>
    <n v="2645.06"/>
    <n v="2035"/>
    <s v="Fresno"/>
  </r>
  <r>
    <x v="21"/>
    <x v="0"/>
    <n v="2614.58"/>
    <n v="2035"/>
    <s v="Fresno"/>
  </r>
  <r>
    <x v="22"/>
    <x v="0"/>
    <n v="2487.44"/>
    <n v="2035"/>
    <s v="Fresno"/>
  </r>
  <r>
    <x v="23"/>
    <x v="0"/>
    <n v="2420.42"/>
    <n v="2035"/>
    <s v="Fresno"/>
  </r>
  <r>
    <x v="24"/>
    <x v="0"/>
    <n v="2359.96"/>
    <n v="2035"/>
    <s v="Fresno"/>
  </r>
  <r>
    <x v="25"/>
    <x v="0"/>
    <n v="2063.63"/>
    <n v="2035"/>
    <s v="Fresno"/>
  </r>
  <r>
    <x v="26"/>
    <x v="0"/>
    <n v="1977.31"/>
    <n v="2035"/>
    <s v="Fresno"/>
  </r>
  <r>
    <x v="27"/>
    <x v="0"/>
    <n v="1997.71"/>
    <n v="2035"/>
    <s v="Fresno"/>
  </r>
  <r>
    <x v="28"/>
    <x v="0"/>
    <n v="1942.01"/>
    <n v="2035"/>
    <s v="Fresno"/>
  </r>
  <r>
    <x v="29"/>
    <x v="0"/>
    <n v="1902.24"/>
    <n v="2035"/>
    <s v="Fresno"/>
  </r>
  <r>
    <x v="30"/>
    <x v="0"/>
    <n v="1856.57"/>
    <n v="2035"/>
    <s v="Fresno"/>
  </r>
  <r>
    <x v="31"/>
    <x v="0"/>
    <n v="1826.53"/>
    <n v="2035"/>
    <s v="Fresno"/>
  </r>
  <r>
    <x v="32"/>
    <x v="0"/>
    <n v="1782.69"/>
    <n v="2035"/>
    <s v="Fresno"/>
  </r>
  <r>
    <x v="33"/>
    <x v="0"/>
    <n v="1790.48"/>
    <n v="2035"/>
    <s v="Fresno"/>
  </r>
  <r>
    <x v="34"/>
    <x v="0"/>
    <n v="1788.8"/>
    <n v="2035"/>
    <s v="Fresno"/>
  </r>
  <r>
    <x v="35"/>
    <x v="0"/>
    <n v="1903.56"/>
    <n v="2035"/>
    <s v="Fresno"/>
  </r>
  <r>
    <x v="36"/>
    <x v="0"/>
    <n v="1946.26"/>
    <n v="2035"/>
    <s v="Fresno"/>
  </r>
  <r>
    <x v="37"/>
    <x v="0"/>
    <n v="1939.59"/>
    <n v="2035"/>
    <s v="Fresno"/>
  </r>
  <r>
    <x v="38"/>
    <x v="0"/>
    <n v="1915.18"/>
    <n v="2035"/>
    <s v="Fresno"/>
  </r>
  <r>
    <x v="39"/>
    <x v="0"/>
    <n v="1968.57"/>
    <n v="2035"/>
    <s v="Fresno"/>
  </r>
  <r>
    <x v="40"/>
    <x v="0"/>
    <n v="1961.24"/>
    <n v="2035"/>
    <s v="Fresno"/>
  </r>
  <r>
    <x v="41"/>
    <x v="0"/>
    <n v="1934.83"/>
    <n v="2035"/>
    <s v="Fresno"/>
  </r>
  <r>
    <x v="42"/>
    <x v="0"/>
    <n v="1697.85"/>
    <n v="2035"/>
    <s v="Fresno"/>
  </r>
  <r>
    <x v="43"/>
    <x v="0"/>
    <n v="1725.87"/>
    <n v="2035"/>
    <s v="Fresno"/>
  </r>
  <r>
    <x v="44"/>
    <x v="0"/>
    <n v="1889.11"/>
    <n v="2035"/>
    <s v="Fresno"/>
  </r>
  <r>
    <x v="45"/>
    <x v="0"/>
    <n v="1856.03"/>
    <n v="2035"/>
    <s v="Fresno"/>
  </r>
  <r>
    <x v="46"/>
    <x v="0"/>
    <n v="1915.2"/>
    <n v="2035"/>
    <s v="Fresno"/>
  </r>
  <r>
    <x v="47"/>
    <x v="0"/>
    <n v="1919.55"/>
    <n v="2035"/>
    <s v="Fresno"/>
  </r>
  <r>
    <x v="48"/>
    <x v="0"/>
    <n v="2048.7399999999998"/>
    <n v="2035"/>
    <s v="Fresno"/>
  </r>
  <r>
    <x v="49"/>
    <x v="0"/>
    <n v="2093.0100000000002"/>
    <n v="2035"/>
    <s v="Fresno"/>
  </r>
  <r>
    <x v="50"/>
    <x v="0"/>
    <n v="2018.05"/>
    <n v="2035"/>
    <s v="Fresno"/>
  </r>
  <r>
    <x v="51"/>
    <x v="0"/>
    <n v="2043.4"/>
    <n v="2035"/>
    <s v="Fresno"/>
  </r>
  <r>
    <x v="52"/>
    <x v="0"/>
    <n v="2057.54"/>
    <n v="2035"/>
    <s v="Fresno"/>
  </r>
  <r>
    <x v="53"/>
    <x v="0"/>
    <n v="2024.6"/>
    <n v="2035"/>
    <s v="Fresno"/>
  </r>
  <r>
    <x v="54"/>
    <x v="0"/>
    <n v="1977.21"/>
    <n v="2035"/>
    <s v="Fresno"/>
  </r>
  <r>
    <x v="55"/>
    <x v="0"/>
    <n v="1916.88"/>
    <n v="2035"/>
    <s v="Fresno"/>
  </r>
  <r>
    <x v="56"/>
    <x v="0"/>
    <n v="1812.89"/>
    <n v="2035"/>
    <s v="Fresno"/>
  </r>
  <r>
    <x v="57"/>
    <x v="0"/>
    <n v="1717.25"/>
    <n v="2035"/>
    <s v="Fresno"/>
  </r>
  <r>
    <x v="58"/>
    <x v="0"/>
    <n v="1687.79"/>
    <n v="2035"/>
    <s v="Fresno"/>
  </r>
  <r>
    <x v="59"/>
    <x v="0"/>
    <n v="1593.4"/>
    <n v="2035"/>
    <s v="Fresno"/>
  </r>
  <r>
    <x v="60"/>
    <x v="0"/>
    <n v="1557.34"/>
    <n v="2035"/>
    <s v="Fresno"/>
  </r>
  <r>
    <x v="61"/>
    <x v="0"/>
    <n v="1486.66"/>
    <n v="2035"/>
    <s v="Fresno"/>
  </r>
  <r>
    <x v="62"/>
    <x v="0"/>
    <n v="1531.46"/>
    <n v="2035"/>
    <s v="Fresno"/>
  </r>
  <r>
    <x v="63"/>
    <x v="0"/>
    <n v="1661.98"/>
    <n v="2035"/>
    <s v="Fresno"/>
  </r>
  <r>
    <x v="64"/>
    <x v="0"/>
    <n v="1840.24"/>
    <n v="2035"/>
    <s v="Fresno"/>
  </r>
  <r>
    <x v="65"/>
    <x v="0"/>
    <n v="1796.31"/>
    <n v="2035"/>
    <s v="Fresno"/>
  </r>
  <r>
    <x v="66"/>
    <x v="0"/>
    <n v="1778.82"/>
    <n v="2035"/>
    <s v="Fresno"/>
  </r>
  <r>
    <x v="67"/>
    <x v="0"/>
    <n v="1738.41"/>
    <n v="2035"/>
    <s v="Fresno"/>
  </r>
  <r>
    <x v="68"/>
    <x v="0"/>
    <n v="1698.87"/>
    <n v="2035"/>
    <s v="Fresno"/>
  </r>
  <r>
    <x v="69"/>
    <x v="0"/>
    <n v="1691.1"/>
    <n v="2035"/>
    <s v="Fresno"/>
  </r>
  <r>
    <x v="70"/>
    <x v="0"/>
    <n v="1872.87"/>
    <n v="2035"/>
    <s v="Fresno"/>
  </r>
  <r>
    <x v="71"/>
    <x v="0"/>
    <n v="1962.52"/>
    <n v="2035"/>
    <s v="Fresno"/>
  </r>
  <r>
    <x v="72"/>
    <x v="0"/>
    <n v="2064.38"/>
    <n v="2035"/>
    <s v="Fresno"/>
  </r>
  <r>
    <x v="73"/>
    <x v="0"/>
    <n v="2094.64"/>
    <n v="2035"/>
    <s v="Fresno"/>
  </r>
  <r>
    <x v="74"/>
    <x v="0"/>
    <n v="2182.61"/>
    <n v="2035"/>
    <s v="Fresno"/>
  </r>
  <r>
    <x v="75"/>
    <x v="0"/>
    <n v="2143.12"/>
    <n v="2035"/>
    <s v="Fresno"/>
  </r>
  <r>
    <x v="76"/>
    <x v="0"/>
    <n v="2031.84"/>
    <n v="2035"/>
    <s v="Fresno"/>
  </r>
  <r>
    <x v="77"/>
    <x v="0"/>
    <n v="2002.7"/>
    <n v="2035"/>
    <s v="Fresno"/>
  </r>
  <r>
    <x v="78"/>
    <x v="0"/>
    <n v="1935.67"/>
    <n v="2035"/>
    <s v="Fresno"/>
  </r>
  <r>
    <x v="79"/>
    <x v="0"/>
    <n v="1823.35"/>
    <n v="2035"/>
    <s v="Fresno"/>
  </r>
  <r>
    <x v="80"/>
    <x v="0"/>
    <n v="1909.28"/>
    <n v="2035"/>
    <s v="Fresno"/>
  </r>
  <r>
    <x v="81"/>
    <x v="0"/>
    <n v="1842.09"/>
    <n v="2035"/>
    <s v="Fresno"/>
  </r>
  <r>
    <x v="82"/>
    <x v="0"/>
    <n v="1705.99"/>
    <n v="2035"/>
    <s v="Fresno"/>
  </r>
  <r>
    <x v="83"/>
    <x v="0"/>
    <n v="1644.27"/>
    <n v="2035"/>
    <s v="Fresno"/>
  </r>
  <r>
    <x v="84"/>
    <x v="0"/>
    <n v="1516.76"/>
    <n v="2035"/>
    <s v="Fresno"/>
  </r>
  <r>
    <x v="85"/>
    <x v="0"/>
    <n v="1426.93"/>
    <n v="2035"/>
    <s v="Fresno"/>
  </r>
  <r>
    <x v="86"/>
    <x v="0"/>
    <n v="1329.4"/>
    <n v="2035"/>
    <s v="Fresno"/>
  </r>
  <r>
    <x v="87"/>
    <x v="0"/>
    <n v="1239.0999999999999"/>
    <n v="2035"/>
    <s v="Fresno"/>
  </r>
  <r>
    <x v="88"/>
    <x v="0"/>
    <n v="1162.6600000000001"/>
    <n v="2035"/>
    <s v="Fresno"/>
  </r>
  <r>
    <x v="89"/>
    <x v="0"/>
    <n v="844.86"/>
    <n v="2035"/>
    <s v="Fresno"/>
  </r>
  <r>
    <x v="90"/>
    <x v="0"/>
    <n v="706.59"/>
    <n v="2035"/>
    <s v="Fresno"/>
  </r>
  <r>
    <x v="91"/>
    <x v="0"/>
    <n v="643.94000000000005"/>
    <n v="2035"/>
    <s v="Fresno"/>
  </r>
  <r>
    <x v="92"/>
    <x v="0"/>
    <n v="550.79999999999995"/>
    <n v="2035"/>
    <s v="Fresno"/>
  </r>
  <r>
    <x v="93"/>
    <x v="0"/>
    <n v="425.59"/>
    <n v="2035"/>
    <s v="Fresno"/>
  </r>
  <r>
    <x v="94"/>
    <x v="0"/>
    <n v="328.25"/>
    <n v="2035"/>
    <s v="Fresno"/>
  </r>
  <r>
    <x v="95"/>
    <x v="0"/>
    <n v="260.7"/>
    <n v="2035"/>
    <s v="Fresno"/>
  </r>
  <r>
    <x v="96"/>
    <x v="0"/>
    <n v="204.18"/>
    <n v="2035"/>
    <s v="Fresno"/>
  </r>
  <r>
    <x v="97"/>
    <x v="0"/>
    <n v="150.6"/>
    <n v="2035"/>
    <s v="Fresno"/>
  </r>
  <r>
    <x v="98"/>
    <x v="0"/>
    <n v="115.15"/>
    <n v="2035"/>
    <s v="Fresno"/>
  </r>
  <r>
    <x v="99"/>
    <x v="0"/>
    <n v="83.71"/>
    <n v="2035"/>
    <s v="Fresno"/>
  </r>
  <r>
    <x v="100"/>
    <x v="0"/>
    <n v="154.94"/>
    <n v="2035"/>
    <s v="Fresno"/>
  </r>
  <r>
    <x v="0"/>
    <x v="1"/>
    <n v="1838.52"/>
    <n v="2035"/>
    <s v="Fresno"/>
  </r>
  <r>
    <x v="1"/>
    <x v="1"/>
    <n v="1843.47"/>
    <n v="2035"/>
    <s v="Fresno"/>
  </r>
  <r>
    <x v="2"/>
    <x v="1"/>
    <n v="1864.99"/>
    <n v="2035"/>
    <s v="Fresno"/>
  </r>
  <r>
    <x v="3"/>
    <x v="1"/>
    <n v="1889.12"/>
    <n v="2035"/>
    <s v="Fresno"/>
  </r>
  <r>
    <x v="4"/>
    <x v="1"/>
    <n v="1920.93"/>
    <n v="2035"/>
    <s v="Fresno"/>
  </r>
  <r>
    <x v="5"/>
    <x v="1"/>
    <n v="1960.17"/>
    <n v="2035"/>
    <s v="Fresno"/>
  </r>
  <r>
    <x v="6"/>
    <x v="1"/>
    <n v="2002.59"/>
    <n v="2035"/>
    <s v="Fresno"/>
  </r>
  <r>
    <x v="7"/>
    <x v="1"/>
    <n v="2040.39"/>
    <n v="2035"/>
    <s v="Fresno"/>
  </r>
  <r>
    <x v="8"/>
    <x v="1"/>
    <n v="2094.6"/>
    <n v="2035"/>
    <s v="Fresno"/>
  </r>
  <r>
    <x v="9"/>
    <x v="1"/>
    <n v="2158.4699999999998"/>
    <n v="2035"/>
    <s v="Fresno"/>
  </r>
  <r>
    <x v="10"/>
    <x v="1"/>
    <n v="2213.92"/>
    <n v="2035"/>
    <s v="Fresno"/>
  </r>
  <r>
    <x v="11"/>
    <x v="1"/>
    <n v="2267.59"/>
    <n v="2035"/>
    <s v="Fresno"/>
  </r>
  <r>
    <x v="12"/>
    <x v="1"/>
    <n v="2316.2800000000002"/>
    <n v="2035"/>
    <s v="Fresno"/>
  </r>
  <r>
    <x v="13"/>
    <x v="1"/>
    <n v="2361.59"/>
    <n v="2035"/>
    <s v="Fresno"/>
  </r>
  <r>
    <x v="14"/>
    <x v="1"/>
    <n v="2407.19"/>
    <n v="2035"/>
    <s v="Fresno"/>
  </r>
  <r>
    <x v="15"/>
    <x v="1"/>
    <n v="2436.58"/>
    <n v="2035"/>
    <s v="Fresno"/>
  </r>
  <r>
    <x v="16"/>
    <x v="1"/>
    <n v="2453.17"/>
    <n v="2035"/>
    <s v="Fresno"/>
  </r>
  <r>
    <x v="17"/>
    <x v="1"/>
    <n v="2479.5500000000002"/>
    <n v="2035"/>
    <s v="Fresno"/>
  </r>
  <r>
    <x v="18"/>
    <x v="1"/>
    <n v="2824.36"/>
    <n v="2035"/>
    <s v="Fresno"/>
  </r>
  <r>
    <x v="19"/>
    <x v="1"/>
    <n v="2851.89"/>
    <n v="2035"/>
    <s v="Fresno"/>
  </r>
  <r>
    <x v="20"/>
    <x v="1"/>
    <n v="3019.51"/>
    <n v="2035"/>
    <s v="Fresno"/>
  </r>
  <r>
    <x v="21"/>
    <x v="1"/>
    <n v="2961.74"/>
    <n v="2035"/>
    <s v="Fresno"/>
  </r>
  <r>
    <x v="22"/>
    <x v="1"/>
    <n v="2973.86"/>
    <n v="2035"/>
    <s v="Fresno"/>
  </r>
  <r>
    <x v="23"/>
    <x v="1"/>
    <n v="2752.99"/>
    <n v="2035"/>
    <s v="Fresno"/>
  </r>
  <r>
    <x v="24"/>
    <x v="1"/>
    <n v="2698.92"/>
    <n v="2035"/>
    <s v="Fresno"/>
  </r>
  <r>
    <x v="25"/>
    <x v="1"/>
    <n v="2152.7199999999998"/>
    <n v="2035"/>
    <s v="Fresno"/>
  </r>
  <r>
    <x v="26"/>
    <x v="1"/>
    <n v="1971.08"/>
    <n v="2035"/>
    <s v="Fresno"/>
  </r>
  <r>
    <x v="27"/>
    <x v="1"/>
    <n v="2100.9"/>
    <n v="2035"/>
    <s v="Fresno"/>
  </r>
  <r>
    <x v="28"/>
    <x v="1"/>
    <n v="2094.38"/>
    <n v="2035"/>
    <s v="Fresno"/>
  </r>
  <r>
    <x v="29"/>
    <x v="1"/>
    <n v="2047.37"/>
    <n v="2035"/>
    <s v="Fresno"/>
  </r>
  <r>
    <x v="30"/>
    <x v="1"/>
    <n v="1948.02"/>
    <n v="2035"/>
    <s v="Fresno"/>
  </r>
  <r>
    <x v="31"/>
    <x v="1"/>
    <n v="1906.48"/>
    <n v="2035"/>
    <s v="Fresno"/>
  </r>
  <r>
    <x v="32"/>
    <x v="1"/>
    <n v="1830.67"/>
    <n v="2035"/>
    <s v="Fresno"/>
  </r>
  <r>
    <x v="33"/>
    <x v="1"/>
    <n v="1832.36"/>
    <n v="2035"/>
    <s v="Fresno"/>
  </r>
  <r>
    <x v="34"/>
    <x v="1"/>
    <n v="1826.97"/>
    <n v="2035"/>
    <s v="Fresno"/>
  </r>
  <r>
    <x v="35"/>
    <x v="1"/>
    <n v="1878.7"/>
    <n v="2035"/>
    <s v="Fresno"/>
  </r>
  <r>
    <x v="36"/>
    <x v="1"/>
    <n v="1924.96"/>
    <n v="2035"/>
    <s v="Fresno"/>
  </r>
  <r>
    <x v="37"/>
    <x v="1"/>
    <n v="1928.2"/>
    <n v="2035"/>
    <s v="Fresno"/>
  </r>
  <r>
    <x v="38"/>
    <x v="1"/>
    <n v="1921.95"/>
    <n v="2035"/>
    <s v="Fresno"/>
  </r>
  <r>
    <x v="39"/>
    <x v="1"/>
    <n v="2021.02"/>
    <n v="2035"/>
    <s v="Fresno"/>
  </r>
  <r>
    <x v="40"/>
    <x v="1"/>
    <n v="2069.31"/>
    <n v="2035"/>
    <s v="Fresno"/>
  </r>
  <r>
    <x v="41"/>
    <x v="1"/>
    <n v="2064.6999999999998"/>
    <n v="2035"/>
    <s v="Fresno"/>
  </r>
  <r>
    <x v="42"/>
    <x v="1"/>
    <n v="2088.7399999999998"/>
    <n v="2035"/>
    <s v="Fresno"/>
  </r>
  <r>
    <x v="43"/>
    <x v="1"/>
    <n v="1873.1"/>
    <n v="2035"/>
    <s v="Fresno"/>
  </r>
  <r>
    <x v="44"/>
    <x v="1"/>
    <n v="1842.05"/>
    <n v="2035"/>
    <s v="Fresno"/>
  </r>
  <r>
    <x v="45"/>
    <x v="1"/>
    <n v="1779.52"/>
    <n v="2035"/>
    <s v="Fresno"/>
  </r>
  <r>
    <x v="46"/>
    <x v="1"/>
    <n v="1728.45"/>
    <n v="2035"/>
    <s v="Fresno"/>
  </r>
  <r>
    <x v="47"/>
    <x v="1"/>
    <n v="1709.9"/>
    <n v="2035"/>
    <s v="Fresno"/>
  </r>
  <r>
    <x v="48"/>
    <x v="1"/>
    <n v="1815.62"/>
    <n v="2035"/>
    <s v="Fresno"/>
  </r>
  <r>
    <x v="49"/>
    <x v="1"/>
    <n v="1919.22"/>
    <n v="2035"/>
    <s v="Fresno"/>
  </r>
  <r>
    <x v="50"/>
    <x v="1"/>
    <n v="1960.89"/>
    <n v="2035"/>
    <s v="Fresno"/>
  </r>
  <r>
    <x v="51"/>
    <x v="1"/>
    <n v="1888.09"/>
    <n v="2035"/>
    <s v="Fresno"/>
  </r>
  <r>
    <x v="52"/>
    <x v="1"/>
    <n v="1958.44"/>
    <n v="2035"/>
    <s v="Fresno"/>
  </r>
  <r>
    <x v="53"/>
    <x v="1"/>
    <n v="2005.18"/>
    <n v="2035"/>
    <s v="Fresno"/>
  </r>
  <r>
    <x v="54"/>
    <x v="1"/>
    <n v="1946.04"/>
    <n v="2035"/>
    <s v="Fresno"/>
  </r>
  <r>
    <x v="55"/>
    <x v="1"/>
    <n v="1912.6"/>
    <n v="2035"/>
    <s v="Fresno"/>
  </r>
  <r>
    <x v="56"/>
    <x v="1"/>
    <n v="1807.62"/>
    <n v="2035"/>
    <s v="Fresno"/>
  </r>
  <r>
    <x v="57"/>
    <x v="1"/>
    <n v="1701.67"/>
    <n v="2035"/>
    <s v="Fresno"/>
  </r>
  <r>
    <x v="58"/>
    <x v="1"/>
    <n v="1666.23"/>
    <n v="2035"/>
    <s v="Fresno"/>
  </r>
  <r>
    <x v="59"/>
    <x v="1"/>
    <n v="1588.9"/>
    <n v="2035"/>
    <s v="Fresno"/>
  </r>
  <r>
    <x v="60"/>
    <x v="1"/>
    <n v="1571.76"/>
    <n v="2035"/>
    <s v="Fresno"/>
  </r>
  <r>
    <x v="61"/>
    <x v="1"/>
    <n v="1515.25"/>
    <n v="2035"/>
    <s v="Fresno"/>
  </r>
  <r>
    <x v="62"/>
    <x v="1"/>
    <n v="1518.1"/>
    <n v="2035"/>
    <s v="Fresno"/>
  </r>
  <r>
    <x v="63"/>
    <x v="1"/>
    <n v="1511.3"/>
    <n v="2035"/>
    <s v="Fresno"/>
  </r>
  <r>
    <x v="64"/>
    <x v="1"/>
    <n v="1585.3"/>
    <n v="2035"/>
    <s v="Fresno"/>
  </r>
  <r>
    <x v="65"/>
    <x v="1"/>
    <n v="1684.75"/>
    <n v="2035"/>
    <s v="Fresno"/>
  </r>
  <r>
    <x v="66"/>
    <x v="1"/>
    <n v="1545.98"/>
    <n v="2035"/>
    <s v="Fresno"/>
  </r>
  <r>
    <x v="67"/>
    <x v="1"/>
    <n v="1531.43"/>
    <n v="2035"/>
    <s v="Fresno"/>
  </r>
  <r>
    <x v="68"/>
    <x v="1"/>
    <n v="1556.84"/>
    <n v="2035"/>
    <s v="Fresno"/>
  </r>
  <r>
    <x v="69"/>
    <x v="1"/>
    <n v="1539.74"/>
    <n v="2035"/>
    <s v="Fresno"/>
  </r>
  <r>
    <x v="70"/>
    <x v="1"/>
    <n v="1660.95"/>
    <n v="2035"/>
    <s v="Fresno"/>
  </r>
  <r>
    <x v="71"/>
    <x v="1"/>
    <n v="1685.51"/>
    <n v="2035"/>
    <s v="Fresno"/>
  </r>
  <r>
    <x v="72"/>
    <x v="1"/>
    <n v="1762.51"/>
    <n v="2035"/>
    <s v="Fresno"/>
  </r>
  <r>
    <x v="73"/>
    <x v="1"/>
    <n v="1762.23"/>
    <n v="2035"/>
    <s v="Fresno"/>
  </r>
  <r>
    <x v="74"/>
    <x v="1"/>
    <n v="1805.03"/>
    <n v="2035"/>
    <s v="Fresno"/>
  </r>
  <r>
    <x v="75"/>
    <x v="1"/>
    <n v="1800.24"/>
    <n v="2035"/>
    <s v="Fresno"/>
  </r>
  <r>
    <x v="76"/>
    <x v="1"/>
    <n v="1688.04"/>
    <n v="2035"/>
    <s v="Fresno"/>
  </r>
  <r>
    <x v="77"/>
    <x v="1"/>
    <n v="1600.89"/>
    <n v="2035"/>
    <s v="Fresno"/>
  </r>
  <r>
    <x v="78"/>
    <x v="1"/>
    <n v="1568.56"/>
    <n v="2035"/>
    <s v="Fresno"/>
  </r>
  <r>
    <x v="79"/>
    <x v="1"/>
    <n v="1524.44"/>
    <n v="2035"/>
    <s v="Fresno"/>
  </r>
  <r>
    <x v="80"/>
    <x v="1"/>
    <n v="1483.25"/>
    <n v="2035"/>
    <s v="Fresno"/>
  </r>
  <r>
    <x v="81"/>
    <x v="1"/>
    <n v="1360.43"/>
    <n v="2035"/>
    <s v="Fresno"/>
  </r>
  <r>
    <x v="82"/>
    <x v="1"/>
    <n v="1290.54"/>
    <n v="2035"/>
    <s v="Fresno"/>
  </r>
  <r>
    <x v="83"/>
    <x v="1"/>
    <n v="1183.3599999999999"/>
    <n v="2035"/>
    <s v="Fresno"/>
  </r>
  <r>
    <x v="84"/>
    <x v="1"/>
    <n v="1115.22"/>
    <n v="2035"/>
    <s v="Fresno"/>
  </r>
  <r>
    <x v="85"/>
    <x v="1"/>
    <n v="1103.71"/>
    <n v="2035"/>
    <s v="Fresno"/>
  </r>
  <r>
    <x v="86"/>
    <x v="1"/>
    <n v="962.62"/>
    <n v="2035"/>
    <s v="Fresno"/>
  </r>
  <r>
    <x v="87"/>
    <x v="1"/>
    <n v="891.35"/>
    <n v="2035"/>
    <s v="Fresno"/>
  </r>
  <r>
    <x v="88"/>
    <x v="1"/>
    <n v="772.74"/>
    <n v="2035"/>
    <s v="Fresno"/>
  </r>
  <r>
    <x v="89"/>
    <x v="1"/>
    <n v="544.22"/>
    <n v="2035"/>
    <s v="Fresno"/>
  </r>
  <r>
    <x v="90"/>
    <x v="1"/>
    <n v="449.03"/>
    <n v="2035"/>
    <s v="Fresno"/>
  </r>
  <r>
    <x v="91"/>
    <x v="1"/>
    <n v="379.39"/>
    <n v="2035"/>
    <s v="Fresno"/>
  </r>
  <r>
    <x v="92"/>
    <x v="1"/>
    <n v="317.76"/>
    <n v="2035"/>
    <s v="Fresno"/>
  </r>
  <r>
    <x v="93"/>
    <x v="1"/>
    <n v="228.99"/>
    <n v="2035"/>
    <s v="Fresno"/>
  </r>
  <r>
    <x v="94"/>
    <x v="1"/>
    <n v="163.38"/>
    <n v="2035"/>
    <s v="Fresno"/>
  </r>
  <r>
    <x v="95"/>
    <x v="1"/>
    <n v="127.99"/>
    <n v="2035"/>
    <s v="Fresno"/>
  </r>
  <r>
    <x v="96"/>
    <x v="1"/>
    <n v="95.67"/>
    <n v="2035"/>
    <s v="Fresno"/>
  </r>
  <r>
    <x v="97"/>
    <x v="1"/>
    <n v="67.64"/>
    <n v="2035"/>
    <s v="Fresno"/>
  </r>
  <r>
    <x v="98"/>
    <x v="1"/>
    <n v="48.77"/>
    <n v="2035"/>
    <s v="Fresno"/>
  </r>
  <r>
    <x v="99"/>
    <x v="1"/>
    <n v="35.35"/>
    <n v="2035"/>
    <s v="Fresno"/>
  </r>
  <r>
    <x v="100"/>
    <x v="1"/>
    <n v="55.56"/>
    <n v="2035"/>
    <s v="Fresno"/>
  </r>
  <r>
    <x v="0"/>
    <x v="0"/>
    <n v="323.95"/>
    <n v="2035"/>
    <s v="Fresno"/>
  </r>
  <r>
    <x v="1"/>
    <x v="0"/>
    <n v="323.45"/>
    <n v="2035"/>
    <s v="Fresno"/>
  </r>
  <r>
    <x v="2"/>
    <x v="0"/>
    <n v="324.42"/>
    <n v="2035"/>
    <s v="Fresno"/>
  </r>
  <r>
    <x v="3"/>
    <x v="0"/>
    <n v="325.08999999999997"/>
    <n v="2035"/>
    <s v="Fresno"/>
  </r>
  <r>
    <x v="4"/>
    <x v="0"/>
    <n v="327.22000000000003"/>
    <n v="2035"/>
    <s v="Fresno"/>
  </r>
  <r>
    <x v="5"/>
    <x v="0"/>
    <n v="330.11"/>
    <n v="2035"/>
    <s v="Fresno"/>
  </r>
  <r>
    <x v="6"/>
    <x v="0"/>
    <n v="335.11"/>
    <n v="2035"/>
    <s v="Fresno"/>
  </r>
  <r>
    <x v="7"/>
    <x v="0"/>
    <n v="336.81"/>
    <n v="2035"/>
    <s v="Fresno"/>
  </r>
  <r>
    <x v="8"/>
    <x v="0"/>
    <n v="337.96"/>
    <n v="2035"/>
    <s v="Fresno"/>
  </r>
  <r>
    <x v="9"/>
    <x v="0"/>
    <n v="342.61"/>
    <n v="2035"/>
    <s v="Fresno"/>
  </r>
  <r>
    <x v="10"/>
    <x v="0"/>
    <n v="348.06"/>
    <n v="2035"/>
    <s v="Fresno"/>
  </r>
  <r>
    <x v="11"/>
    <x v="0"/>
    <n v="354.64"/>
    <n v="2035"/>
    <s v="Fresno"/>
  </r>
  <r>
    <x v="12"/>
    <x v="0"/>
    <n v="359.63"/>
    <n v="2035"/>
    <s v="Fresno"/>
  </r>
  <r>
    <x v="13"/>
    <x v="0"/>
    <n v="364.13"/>
    <n v="2035"/>
    <s v="Fresno"/>
  </r>
  <r>
    <x v="14"/>
    <x v="0"/>
    <n v="369.36"/>
    <n v="2035"/>
    <s v="Fresno"/>
  </r>
  <r>
    <x v="15"/>
    <x v="0"/>
    <n v="373.6"/>
    <n v="2035"/>
    <s v="Fresno"/>
  </r>
  <r>
    <x v="16"/>
    <x v="0"/>
    <n v="376.65"/>
    <n v="2035"/>
    <s v="Fresno"/>
  </r>
  <r>
    <x v="17"/>
    <x v="0"/>
    <n v="506.39"/>
    <n v="2035"/>
    <s v="Fresno"/>
  </r>
  <r>
    <x v="18"/>
    <x v="0"/>
    <n v="465.22"/>
    <n v="2035"/>
    <s v="Fresno"/>
  </r>
  <r>
    <x v="19"/>
    <x v="0"/>
    <n v="426.29"/>
    <n v="2035"/>
    <s v="Fresno"/>
  </r>
  <r>
    <x v="20"/>
    <x v="0"/>
    <n v="390.81"/>
    <n v="2035"/>
    <s v="Fresno"/>
  </r>
  <r>
    <x v="21"/>
    <x v="0"/>
    <n v="384.73"/>
    <n v="2035"/>
    <s v="Fresno"/>
  </r>
  <r>
    <x v="22"/>
    <x v="0"/>
    <n v="382.3"/>
    <n v="2035"/>
    <s v="Fresno"/>
  </r>
  <r>
    <x v="23"/>
    <x v="0"/>
    <n v="369.78"/>
    <n v="2035"/>
    <s v="Fresno"/>
  </r>
  <r>
    <x v="24"/>
    <x v="0"/>
    <n v="363.04"/>
    <n v="2035"/>
    <s v="Fresno"/>
  </r>
  <r>
    <x v="25"/>
    <x v="0"/>
    <n v="362.84"/>
    <n v="2035"/>
    <s v="Fresno"/>
  </r>
  <r>
    <x v="26"/>
    <x v="0"/>
    <n v="337.49"/>
    <n v="2035"/>
    <s v="Fresno"/>
  </r>
  <r>
    <x v="27"/>
    <x v="0"/>
    <n v="349.25"/>
    <n v="2035"/>
    <s v="Fresno"/>
  </r>
  <r>
    <x v="28"/>
    <x v="0"/>
    <n v="338.82"/>
    <n v="2035"/>
    <s v="Fresno"/>
  </r>
  <r>
    <x v="29"/>
    <x v="0"/>
    <n v="316.45"/>
    <n v="2035"/>
    <s v="Fresno"/>
  </r>
  <r>
    <x v="30"/>
    <x v="0"/>
    <n v="309.04000000000002"/>
    <n v="2035"/>
    <s v="Fresno"/>
  </r>
  <r>
    <x v="31"/>
    <x v="0"/>
    <n v="346.31"/>
    <n v="2035"/>
    <s v="Fresno"/>
  </r>
  <r>
    <x v="32"/>
    <x v="0"/>
    <n v="337.21"/>
    <n v="2035"/>
    <s v="Fresno"/>
  </r>
  <r>
    <x v="33"/>
    <x v="0"/>
    <n v="326.04000000000002"/>
    <n v="2035"/>
    <s v="Fresno"/>
  </r>
  <r>
    <x v="34"/>
    <x v="0"/>
    <n v="334.5"/>
    <n v="2035"/>
    <s v="Fresno"/>
  </r>
  <r>
    <x v="35"/>
    <x v="0"/>
    <n v="355.55"/>
    <n v="2035"/>
    <s v="Fresno"/>
  </r>
  <r>
    <x v="36"/>
    <x v="0"/>
    <n v="355.92"/>
    <n v="2035"/>
    <s v="Fresno"/>
  </r>
  <r>
    <x v="37"/>
    <x v="0"/>
    <n v="374.38"/>
    <n v="2035"/>
    <s v="Fresno"/>
  </r>
  <r>
    <x v="38"/>
    <x v="0"/>
    <n v="372.28"/>
    <n v="2035"/>
    <s v="Fresno"/>
  </r>
  <r>
    <x v="39"/>
    <x v="0"/>
    <n v="402.04"/>
    <n v="2035"/>
    <s v="Fresno"/>
  </r>
  <r>
    <x v="40"/>
    <x v="0"/>
    <n v="418.56"/>
    <n v="2035"/>
    <s v="Fresno"/>
  </r>
  <r>
    <x v="41"/>
    <x v="0"/>
    <n v="446.09"/>
    <n v="2035"/>
    <s v="Fresno"/>
  </r>
  <r>
    <x v="42"/>
    <x v="0"/>
    <n v="322.58"/>
    <n v="2035"/>
    <s v="Fresno"/>
  </r>
  <r>
    <x v="43"/>
    <x v="0"/>
    <n v="324.76"/>
    <n v="2035"/>
    <s v="Fresno"/>
  </r>
  <r>
    <x v="44"/>
    <x v="0"/>
    <n v="402.9"/>
    <n v="2035"/>
    <s v="Fresno"/>
  </r>
  <r>
    <x v="45"/>
    <x v="0"/>
    <n v="420.58"/>
    <n v="2035"/>
    <s v="Fresno"/>
  </r>
  <r>
    <x v="46"/>
    <x v="0"/>
    <n v="429.82"/>
    <n v="2035"/>
    <s v="Fresno"/>
  </r>
  <r>
    <x v="47"/>
    <x v="0"/>
    <n v="395.43"/>
    <n v="2035"/>
    <s v="Fresno"/>
  </r>
  <r>
    <x v="48"/>
    <x v="0"/>
    <n v="370.04"/>
    <n v="2035"/>
    <s v="Fresno"/>
  </r>
  <r>
    <x v="49"/>
    <x v="0"/>
    <n v="378.59"/>
    <n v="2035"/>
    <s v="Fresno"/>
  </r>
  <r>
    <x v="50"/>
    <x v="0"/>
    <n v="340.73"/>
    <n v="2035"/>
    <s v="Fresno"/>
  </r>
  <r>
    <x v="51"/>
    <x v="0"/>
    <n v="355.97"/>
    <n v="2035"/>
    <s v="Fresno"/>
  </r>
  <r>
    <x v="52"/>
    <x v="0"/>
    <n v="361.63"/>
    <n v="2035"/>
    <s v="Fresno"/>
  </r>
  <r>
    <x v="53"/>
    <x v="0"/>
    <n v="344.52"/>
    <n v="2035"/>
    <s v="Fresno"/>
  </r>
  <r>
    <x v="54"/>
    <x v="0"/>
    <n v="353.36"/>
    <n v="2035"/>
    <s v="Fresno"/>
  </r>
  <r>
    <x v="55"/>
    <x v="0"/>
    <n v="354.73"/>
    <n v="2035"/>
    <s v="Fresno"/>
  </r>
  <r>
    <x v="56"/>
    <x v="0"/>
    <n v="310.61"/>
    <n v="2035"/>
    <s v="Fresno"/>
  </r>
  <r>
    <x v="57"/>
    <x v="0"/>
    <n v="293.98"/>
    <n v="2035"/>
    <s v="Fresno"/>
  </r>
  <r>
    <x v="58"/>
    <x v="0"/>
    <n v="286.77"/>
    <n v="2035"/>
    <s v="Fresno"/>
  </r>
  <r>
    <x v="59"/>
    <x v="0"/>
    <n v="291.8"/>
    <n v="2035"/>
    <s v="Fresno"/>
  </r>
  <r>
    <x v="60"/>
    <x v="0"/>
    <n v="287.55"/>
    <n v="2035"/>
    <s v="Fresno"/>
  </r>
  <r>
    <x v="61"/>
    <x v="0"/>
    <n v="257.79000000000002"/>
    <n v="2035"/>
    <s v="Fresno"/>
  </r>
  <r>
    <x v="62"/>
    <x v="0"/>
    <n v="272.63"/>
    <n v="2035"/>
    <s v="Fresno"/>
  </r>
  <r>
    <x v="63"/>
    <x v="0"/>
    <n v="286.79000000000002"/>
    <n v="2035"/>
    <s v="Fresno"/>
  </r>
  <r>
    <x v="64"/>
    <x v="0"/>
    <n v="301.35000000000002"/>
    <n v="2035"/>
    <s v="Fresno"/>
  </r>
  <r>
    <x v="65"/>
    <x v="0"/>
    <n v="298.23"/>
    <n v="2035"/>
    <s v="Fresno"/>
  </r>
  <r>
    <x v="66"/>
    <x v="0"/>
    <n v="305.14999999999998"/>
    <n v="2035"/>
    <s v="Fresno"/>
  </r>
  <r>
    <x v="67"/>
    <x v="0"/>
    <n v="301.77999999999997"/>
    <n v="2035"/>
    <s v="Fresno"/>
  </r>
  <r>
    <x v="68"/>
    <x v="0"/>
    <n v="274.82"/>
    <n v="2035"/>
    <s v="Fresno"/>
  </r>
  <r>
    <x v="69"/>
    <x v="0"/>
    <n v="273.8"/>
    <n v="2035"/>
    <s v="Fresno"/>
  </r>
  <r>
    <x v="70"/>
    <x v="0"/>
    <n v="286.7"/>
    <n v="2035"/>
    <s v="Fresno"/>
  </r>
  <r>
    <x v="71"/>
    <x v="0"/>
    <n v="297.38"/>
    <n v="2035"/>
    <s v="Fresno"/>
  </r>
  <r>
    <x v="72"/>
    <x v="0"/>
    <n v="288.61"/>
    <n v="2035"/>
    <s v="Fresno"/>
  </r>
  <r>
    <x v="73"/>
    <x v="0"/>
    <n v="294.8"/>
    <n v="2035"/>
    <s v="Fresno"/>
  </r>
  <r>
    <x v="74"/>
    <x v="0"/>
    <n v="291.58999999999997"/>
    <n v="2035"/>
    <s v="Fresno"/>
  </r>
  <r>
    <x v="75"/>
    <x v="0"/>
    <n v="296.02"/>
    <n v="2035"/>
    <s v="Fresno"/>
  </r>
  <r>
    <x v="76"/>
    <x v="0"/>
    <n v="274.64999999999998"/>
    <n v="2035"/>
    <s v="Fresno"/>
  </r>
  <r>
    <x v="77"/>
    <x v="0"/>
    <n v="252.43"/>
    <n v="2035"/>
    <s v="Fresno"/>
  </r>
  <r>
    <x v="78"/>
    <x v="0"/>
    <n v="221"/>
    <n v="2035"/>
    <s v="Fresno"/>
  </r>
  <r>
    <x v="79"/>
    <x v="0"/>
    <n v="213.39"/>
    <n v="2035"/>
    <s v="Fresno"/>
  </r>
  <r>
    <x v="80"/>
    <x v="0"/>
    <n v="224.62"/>
    <n v="2035"/>
    <s v="Fresno"/>
  </r>
  <r>
    <x v="81"/>
    <x v="0"/>
    <n v="190.34"/>
    <n v="2035"/>
    <s v="Fresno"/>
  </r>
  <r>
    <x v="82"/>
    <x v="0"/>
    <n v="152.66"/>
    <n v="2035"/>
    <s v="Fresno"/>
  </r>
  <r>
    <x v="83"/>
    <x v="0"/>
    <n v="138.76"/>
    <n v="2035"/>
    <s v="Fresno"/>
  </r>
  <r>
    <x v="84"/>
    <x v="0"/>
    <n v="137.71"/>
    <n v="2035"/>
    <s v="Fresno"/>
  </r>
  <r>
    <x v="85"/>
    <x v="0"/>
    <n v="137.99"/>
    <n v="2035"/>
    <s v="Fresno"/>
  </r>
  <r>
    <x v="86"/>
    <x v="0"/>
    <n v="118.25"/>
    <n v="2035"/>
    <s v="Fresno"/>
  </r>
  <r>
    <x v="87"/>
    <x v="0"/>
    <n v="107.94"/>
    <n v="2035"/>
    <s v="Fresno"/>
  </r>
  <r>
    <x v="88"/>
    <x v="0"/>
    <n v="80.67"/>
    <n v="2035"/>
    <s v="Fresno"/>
  </r>
  <r>
    <x v="89"/>
    <x v="0"/>
    <n v="56.71"/>
    <n v="2035"/>
    <s v="Fresno"/>
  </r>
  <r>
    <x v="90"/>
    <x v="0"/>
    <n v="44.98"/>
    <n v="2035"/>
    <s v="Fresno"/>
  </r>
  <r>
    <x v="91"/>
    <x v="0"/>
    <n v="40"/>
    <n v="2035"/>
    <s v="Fresno"/>
  </r>
  <r>
    <x v="92"/>
    <x v="0"/>
    <n v="34.020000000000003"/>
    <n v="2035"/>
    <s v="Fresno"/>
  </r>
  <r>
    <x v="93"/>
    <x v="0"/>
    <n v="29.1"/>
    <n v="2035"/>
    <s v="Fresno"/>
  </r>
  <r>
    <x v="94"/>
    <x v="0"/>
    <n v="24.37"/>
    <n v="2035"/>
    <s v="Fresno"/>
  </r>
  <r>
    <x v="95"/>
    <x v="0"/>
    <n v="17.68"/>
    <n v="2035"/>
    <s v="Fresno"/>
  </r>
  <r>
    <x v="96"/>
    <x v="0"/>
    <n v="13.11"/>
    <n v="2035"/>
    <s v="Fresno"/>
  </r>
  <r>
    <x v="97"/>
    <x v="0"/>
    <n v="9.7100000000000009"/>
    <n v="2035"/>
    <s v="Fresno"/>
  </r>
  <r>
    <x v="98"/>
    <x v="0"/>
    <n v="8.85"/>
    <n v="2035"/>
    <s v="Fresno"/>
  </r>
  <r>
    <x v="99"/>
    <x v="0"/>
    <n v="6.63"/>
    <n v="2035"/>
    <s v="Fresno"/>
  </r>
  <r>
    <x v="100"/>
    <x v="0"/>
    <n v="4.87"/>
    <n v="2035"/>
    <s v="Fresno"/>
  </r>
  <r>
    <x v="0"/>
    <x v="1"/>
    <n v="348.75"/>
    <n v="2035"/>
    <s v="Fresno"/>
  </r>
  <r>
    <x v="1"/>
    <x v="1"/>
    <n v="346.75"/>
    <n v="2035"/>
    <s v="Fresno"/>
  </r>
  <r>
    <x v="2"/>
    <x v="1"/>
    <n v="347.42"/>
    <n v="2035"/>
    <s v="Fresno"/>
  </r>
  <r>
    <x v="3"/>
    <x v="1"/>
    <n v="347.95"/>
    <n v="2035"/>
    <s v="Fresno"/>
  </r>
  <r>
    <x v="4"/>
    <x v="1"/>
    <n v="350.08"/>
    <n v="2035"/>
    <s v="Fresno"/>
  </r>
  <r>
    <x v="5"/>
    <x v="1"/>
    <n v="352.96"/>
    <n v="2035"/>
    <s v="Fresno"/>
  </r>
  <r>
    <x v="6"/>
    <x v="1"/>
    <n v="358.06"/>
    <n v="2035"/>
    <s v="Fresno"/>
  </r>
  <r>
    <x v="7"/>
    <x v="1"/>
    <n v="359.64"/>
    <n v="2035"/>
    <s v="Fresno"/>
  </r>
  <r>
    <x v="8"/>
    <x v="1"/>
    <n v="361.16"/>
    <n v="2035"/>
    <s v="Fresno"/>
  </r>
  <r>
    <x v="9"/>
    <x v="1"/>
    <n v="366.31"/>
    <n v="2035"/>
    <s v="Fresno"/>
  </r>
  <r>
    <x v="10"/>
    <x v="1"/>
    <n v="371.93"/>
    <n v="2035"/>
    <s v="Fresno"/>
  </r>
  <r>
    <x v="11"/>
    <x v="1"/>
    <n v="378.06"/>
    <n v="2035"/>
    <s v="Fresno"/>
  </r>
  <r>
    <x v="12"/>
    <x v="1"/>
    <n v="382.02"/>
    <n v="2035"/>
    <s v="Fresno"/>
  </r>
  <r>
    <x v="13"/>
    <x v="1"/>
    <n v="385.62"/>
    <n v="2035"/>
    <s v="Fresno"/>
  </r>
  <r>
    <x v="14"/>
    <x v="1"/>
    <n v="390.71"/>
    <n v="2035"/>
    <s v="Fresno"/>
  </r>
  <r>
    <x v="15"/>
    <x v="1"/>
    <n v="394.29"/>
    <n v="2035"/>
    <s v="Fresno"/>
  </r>
  <r>
    <x v="16"/>
    <x v="1"/>
    <n v="396.28"/>
    <n v="2035"/>
    <s v="Fresno"/>
  </r>
  <r>
    <x v="17"/>
    <x v="1"/>
    <n v="395.82"/>
    <n v="2035"/>
    <s v="Fresno"/>
  </r>
  <r>
    <x v="18"/>
    <x v="1"/>
    <n v="497.76"/>
    <n v="2035"/>
    <s v="Fresno"/>
  </r>
  <r>
    <x v="19"/>
    <x v="1"/>
    <n v="463.9"/>
    <n v="2035"/>
    <s v="Fresno"/>
  </r>
  <r>
    <x v="20"/>
    <x v="1"/>
    <n v="432.51"/>
    <n v="2035"/>
    <s v="Fresno"/>
  </r>
  <r>
    <x v="21"/>
    <x v="1"/>
    <n v="404.74"/>
    <n v="2035"/>
    <s v="Fresno"/>
  </r>
  <r>
    <x v="22"/>
    <x v="1"/>
    <n v="404.68"/>
    <n v="2035"/>
    <s v="Fresno"/>
  </r>
  <r>
    <x v="23"/>
    <x v="1"/>
    <n v="403.5"/>
    <n v="2035"/>
    <s v="Fresno"/>
  </r>
  <r>
    <x v="24"/>
    <x v="1"/>
    <n v="399.07"/>
    <n v="2035"/>
    <s v="Fresno"/>
  </r>
  <r>
    <x v="25"/>
    <x v="1"/>
    <n v="327.37"/>
    <n v="2035"/>
    <s v="Fresno"/>
  </r>
  <r>
    <x v="26"/>
    <x v="1"/>
    <n v="343.8"/>
    <n v="2035"/>
    <s v="Fresno"/>
  </r>
  <r>
    <x v="27"/>
    <x v="1"/>
    <n v="377.42"/>
    <n v="2035"/>
    <s v="Fresno"/>
  </r>
  <r>
    <x v="28"/>
    <x v="1"/>
    <n v="379.13"/>
    <n v="2035"/>
    <s v="Fresno"/>
  </r>
  <r>
    <x v="29"/>
    <x v="1"/>
    <n v="355.6"/>
    <n v="2035"/>
    <s v="Fresno"/>
  </r>
  <r>
    <x v="30"/>
    <x v="1"/>
    <n v="369.61"/>
    <n v="2035"/>
    <s v="Fresno"/>
  </r>
  <r>
    <x v="31"/>
    <x v="1"/>
    <n v="347.32"/>
    <n v="2035"/>
    <s v="Fresno"/>
  </r>
  <r>
    <x v="32"/>
    <x v="1"/>
    <n v="358.95"/>
    <n v="2035"/>
    <s v="Fresno"/>
  </r>
  <r>
    <x v="33"/>
    <x v="1"/>
    <n v="361.41"/>
    <n v="2035"/>
    <s v="Fresno"/>
  </r>
  <r>
    <x v="34"/>
    <x v="1"/>
    <n v="390.8"/>
    <n v="2035"/>
    <s v="Fresno"/>
  </r>
  <r>
    <x v="35"/>
    <x v="1"/>
    <n v="380.94"/>
    <n v="2035"/>
    <s v="Fresno"/>
  </r>
  <r>
    <x v="36"/>
    <x v="1"/>
    <n v="363.86"/>
    <n v="2035"/>
    <s v="Fresno"/>
  </r>
  <r>
    <x v="37"/>
    <x v="1"/>
    <n v="366.53"/>
    <n v="2035"/>
    <s v="Fresno"/>
  </r>
  <r>
    <x v="38"/>
    <x v="1"/>
    <n v="376.47"/>
    <n v="2035"/>
    <s v="Fresno"/>
  </r>
  <r>
    <x v="39"/>
    <x v="1"/>
    <n v="381.98"/>
    <n v="2035"/>
    <s v="Fresno"/>
  </r>
  <r>
    <x v="40"/>
    <x v="1"/>
    <n v="385.3"/>
    <n v="2035"/>
    <s v="Fresno"/>
  </r>
  <r>
    <x v="41"/>
    <x v="1"/>
    <n v="404.15"/>
    <n v="2035"/>
    <s v="Fresno"/>
  </r>
  <r>
    <x v="42"/>
    <x v="1"/>
    <n v="398.56"/>
    <n v="2035"/>
    <s v="Fresno"/>
  </r>
  <r>
    <x v="43"/>
    <x v="1"/>
    <n v="378.93"/>
    <n v="2035"/>
    <s v="Fresno"/>
  </r>
  <r>
    <x v="44"/>
    <x v="1"/>
    <n v="415.74"/>
    <n v="2035"/>
    <s v="Fresno"/>
  </r>
  <r>
    <x v="45"/>
    <x v="1"/>
    <n v="413.01"/>
    <n v="2035"/>
    <s v="Fresno"/>
  </r>
  <r>
    <x v="46"/>
    <x v="1"/>
    <n v="401.83"/>
    <n v="2035"/>
    <s v="Fresno"/>
  </r>
  <r>
    <x v="47"/>
    <x v="1"/>
    <n v="424.1"/>
    <n v="2035"/>
    <s v="Fresno"/>
  </r>
  <r>
    <x v="48"/>
    <x v="1"/>
    <n v="382.84"/>
    <n v="2035"/>
    <s v="Fresno"/>
  </r>
  <r>
    <x v="49"/>
    <x v="1"/>
    <n v="351.27"/>
    <n v="2035"/>
    <s v="Fresno"/>
  </r>
  <r>
    <x v="50"/>
    <x v="1"/>
    <n v="357.46"/>
    <n v="2035"/>
    <s v="Fresno"/>
  </r>
  <r>
    <x v="51"/>
    <x v="1"/>
    <n v="336.83"/>
    <n v="2035"/>
    <s v="Fresno"/>
  </r>
  <r>
    <x v="52"/>
    <x v="1"/>
    <n v="374.56"/>
    <n v="2035"/>
    <s v="Fresno"/>
  </r>
  <r>
    <x v="53"/>
    <x v="1"/>
    <n v="352.98"/>
    <n v="2035"/>
    <s v="Fresno"/>
  </r>
  <r>
    <x v="54"/>
    <x v="1"/>
    <n v="347.23"/>
    <n v="2035"/>
    <s v="Fresno"/>
  </r>
  <r>
    <x v="55"/>
    <x v="1"/>
    <n v="356.73"/>
    <n v="2035"/>
    <s v="Fresno"/>
  </r>
  <r>
    <x v="56"/>
    <x v="1"/>
    <n v="332.03"/>
    <n v="2035"/>
    <s v="Fresno"/>
  </r>
  <r>
    <x v="57"/>
    <x v="1"/>
    <n v="293.88"/>
    <n v="2035"/>
    <s v="Fresno"/>
  </r>
  <r>
    <x v="58"/>
    <x v="1"/>
    <n v="303.99"/>
    <n v="2035"/>
    <s v="Fresno"/>
  </r>
  <r>
    <x v="59"/>
    <x v="1"/>
    <n v="290.58"/>
    <n v="2035"/>
    <s v="Fresno"/>
  </r>
  <r>
    <x v="60"/>
    <x v="1"/>
    <n v="273.70999999999998"/>
    <n v="2035"/>
    <s v="Fresno"/>
  </r>
  <r>
    <x v="61"/>
    <x v="1"/>
    <n v="277.16000000000003"/>
    <n v="2035"/>
    <s v="Fresno"/>
  </r>
  <r>
    <x v="62"/>
    <x v="1"/>
    <n v="283.99"/>
    <n v="2035"/>
    <s v="Fresno"/>
  </r>
  <r>
    <x v="63"/>
    <x v="1"/>
    <n v="284.64999999999998"/>
    <n v="2035"/>
    <s v="Fresno"/>
  </r>
  <r>
    <x v="64"/>
    <x v="1"/>
    <n v="332"/>
    <n v="2035"/>
    <s v="Fresno"/>
  </r>
  <r>
    <x v="65"/>
    <x v="1"/>
    <n v="331.14"/>
    <n v="2035"/>
    <s v="Fresno"/>
  </r>
  <r>
    <x v="66"/>
    <x v="1"/>
    <n v="304.72000000000003"/>
    <n v="2035"/>
    <s v="Fresno"/>
  </r>
  <r>
    <x v="67"/>
    <x v="1"/>
    <n v="306.08999999999997"/>
    <n v="2035"/>
    <s v="Fresno"/>
  </r>
  <r>
    <x v="68"/>
    <x v="1"/>
    <n v="323.60000000000002"/>
    <n v="2035"/>
    <s v="Fresno"/>
  </r>
  <r>
    <x v="69"/>
    <x v="1"/>
    <n v="313.39"/>
    <n v="2035"/>
    <s v="Fresno"/>
  </r>
  <r>
    <x v="70"/>
    <x v="1"/>
    <n v="304.81"/>
    <n v="2035"/>
    <s v="Fresno"/>
  </r>
  <r>
    <x v="71"/>
    <x v="1"/>
    <n v="290.12"/>
    <n v="2035"/>
    <s v="Fresno"/>
  </r>
  <r>
    <x v="72"/>
    <x v="1"/>
    <n v="304.94"/>
    <n v="2035"/>
    <s v="Fresno"/>
  </r>
  <r>
    <x v="73"/>
    <x v="1"/>
    <n v="303.7"/>
    <n v="2035"/>
    <s v="Fresno"/>
  </r>
  <r>
    <x v="74"/>
    <x v="1"/>
    <n v="291.57"/>
    <n v="2035"/>
    <s v="Fresno"/>
  </r>
  <r>
    <x v="75"/>
    <x v="1"/>
    <n v="281.20999999999998"/>
    <n v="2035"/>
    <s v="Fresno"/>
  </r>
  <r>
    <x v="76"/>
    <x v="1"/>
    <n v="264.89"/>
    <n v="2035"/>
    <s v="Fresno"/>
  </r>
  <r>
    <x v="77"/>
    <x v="1"/>
    <n v="242.57"/>
    <n v="2035"/>
    <s v="Fresno"/>
  </r>
  <r>
    <x v="78"/>
    <x v="1"/>
    <n v="214.9"/>
    <n v="2035"/>
    <s v="Fresno"/>
  </r>
  <r>
    <x v="79"/>
    <x v="1"/>
    <n v="202.85"/>
    <n v="2035"/>
    <s v="Fresno"/>
  </r>
  <r>
    <x v="80"/>
    <x v="1"/>
    <n v="191.62"/>
    <n v="2035"/>
    <s v="Fresno"/>
  </r>
  <r>
    <x v="81"/>
    <x v="1"/>
    <n v="166.05"/>
    <n v="2035"/>
    <s v="Fresno"/>
  </r>
  <r>
    <x v="82"/>
    <x v="1"/>
    <n v="138.53"/>
    <n v="2035"/>
    <s v="Fresno"/>
  </r>
  <r>
    <x v="83"/>
    <x v="1"/>
    <n v="125.32"/>
    <n v="2035"/>
    <s v="Fresno"/>
  </r>
  <r>
    <x v="84"/>
    <x v="1"/>
    <n v="106.46"/>
    <n v="2035"/>
    <s v="Fresno"/>
  </r>
  <r>
    <x v="85"/>
    <x v="1"/>
    <n v="98.21"/>
    <n v="2035"/>
    <s v="Fresno"/>
  </r>
  <r>
    <x v="86"/>
    <x v="1"/>
    <n v="79.36"/>
    <n v="2035"/>
    <s v="Fresno"/>
  </r>
  <r>
    <x v="87"/>
    <x v="1"/>
    <n v="66.66"/>
    <n v="2035"/>
    <s v="Fresno"/>
  </r>
  <r>
    <x v="88"/>
    <x v="1"/>
    <n v="50.54"/>
    <n v="2035"/>
    <s v="Fresno"/>
  </r>
  <r>
    <x v="89"/>
    <x v="1"/>
    <n v="42.08"/>
    <n v="2035"/>
    <s v="Fresno"/>
  </r>
  <r>
    <x v="90"/>
    <x v="1"/>
    <n v="34.08"/>
    <n v="2035"/>
    <s v="Fresno"/>
  </r>
  <r>
    <x v="91"/>
    <x v="1"/>
    <n v="27.29"/>
    <n v="2035"/>
    <s v="Fresno"/>
  </r>
  <r>
    <x v="92"/>
    <x v="1"/>
    <n v="18.82"/>
    <n v="2035"/>
    <s v="Fresno"/>
  </r>
  <r>
    <x v="93"/>
    <x v="1"/>
    <n v="16.010000000000002"/>
    <n v="2035"/>
    <s v="Fresno"/>
  </r>
  <r>
    <x v="94"/>
    <x v="1"/>
    <n v="11.97"/>
    <n v="2035"/>
    <s v="Fresno"/>
  </r>
  <r>
    <x v="95"/>
    <x v="1"/>
    <n v="9.14"/>
    <n v="2035"/>
    <s v="Fresno"/>
  </r>
  <r>
    <x v="96"/>
    <x v="1"/>
    <n v="7.48"/>
    <n v="2035"/>
    <s v="Fresno"/>
  </r>
  <r>
    <x v="97"/>
    <x v="1"/>
    <n v="5.66"/>
    <n v="2035"/>
    <s v="Fresno"/>
  </r>
  <r>
    <x v="98"/>
    <x v="1"/>
    <n v="4.5"/>
    <n v="2035"/>
    <s v="Fresno"/>
  </r>
  <r>
    <x v="99"/>
    <x v="1"/>
    <n v="2.61"/>
    <n v="2035"/>
    <s v="Fresno"/>
  </r>
  <r>
    <x v="100"/>
    <x v="1"/>
    <n v="1.93"/>
    <n v="2035"/>
    <s v="Fresno"/>
  </r>
  <r>
    <x v="0"/>
    <x v="0"/>
    <n v="41.05"/>
    <n v="2035"/>
    <s v="Fresno"/>
  </r>
  <r>
    <x v="1"/>
    <x v="0"/>
    <n v="41.45"/>
    <n v="2035"/>
    <s v="Fresno"/>
  </r>
  <r>
    <x v="2"/>
    <x v="0"/>
    <n v="41.74"/>
    <n v="2035"/>
    <s v="Fresno"/>
  </r>
  <r>
    <x v="3"/>
    <x v="0"/>
    <n v="41.67"/>
    <n v="2035"/>
    <s v="Fresno"/>
  </r>
  <r>
    <x v="4"/>
    <x v="0"/>
    <n v="42.65"/>
    <n v="2035"/>
    <s v="Fresno"/>
  </r>
  <r>
    <x v="5"/>
    <x v="0"/>
    <n v="43.74"/>
    <n v="2035"/>
    <s v="Fresno"/>
  </r>
  <r>
    <x v="6"/>
    <x v="0"/>
    <n v="45.47"/>
    <n v="2035"/>
    <s v="Fresno"/>
  </r>
  <r>
    <x v="7"/>
    <x v="0"/>
    <n v="47.61"/>
    <n v="2035"/>
    <s v="Fresno"/>
  </r>
  <r>
    <x v="8"/>
    <x v="0"/>
    <n v="49.82"/>
    <n v="2035"/>
    <s v="Fresno"/>
  </r>
  <r>
    <x v="9"/>
    <x v="0"/>
    <n v="52.8"/>
    <n v="2035"/>
    <s v="Fresno"/>
  </r>
  <r>
    <x v="10"/>
    <x v="0"/>
    <n v="54.61"/>
    <n v="2035"/>
    <s v="Fresno"/>
  </r>
  <r>
    <x v="11"/>
    <x v="0"/>
    <n v="55.55"/>
    <n v="2035"/>
    <s v="Fresno"/>
  </r>
  <r>
    <x v="12"/>
    <x v="0"/>
    <n v="56.27"/>
    <n v="2035"/>
    <s v="Fresno"/>
  </r>
  <r>
    <x v="13"/>
    <x v="0"/>
    <n v="56.95"/>
    <n v="2035"/>
    <s v="Fresno"/>
  </r>
  <r>
    <x v="14"/>
    <x v="0"/>
    <n v="57.35"/>
    <n v="2035"/>
    <s v="Fresno"/>
  </r>
  <r>
    <x v="15"/>
    <x v="0"/>
    <n v="58.03"/>
    <n v="2035"/>
    <s v="Fresno"/>
  </r>
  <r>
    <x v="16"/>
    <x v="0"/>
    <n v="59.13"/>
    <n v="2035"/>
    <s v="Fresno"/>
  </r>
  <r>
    <x v="17"/>
    <x v="0"/>
    <n v="61.03"/>
    <n v="2035"/>
    <s v="Fresno"/>
  </r>
  <r>
    <x v="18"/>
    <x v="0"/>
    <n v="62.44"/>
    <n v="2035"/>
    <s v="Fresno"/>
  </r>
  <r>
    <x v="19"/>
    <x v="0"/>
    <n v="62.08"/>
    <n v="2035"/>
    <s v="Fresno"/>
  </r>
  <r>
    <x v="20"/>
    <x v="0"/>
    <n v="63.11"/>
    <n v="2035"/>
    <s v="Fresno"/>
  </r>
  <r>
    <x v="21"/>
    <x v="0"/>
    <n v="63.26"/>
    <n v="2035"/>
    <s v="Fresno"/>
  </r>
  <r>
    <x v="22"/>
    <x v="0"/>
    <n v="63.42"/>
    <n v="2035"/>
    <s v="Fresno"/>
  </r>
  <r>
    <x v="23"/>
    <x v="0"/>
    <n v="62.87"/>
    <n v="2035"/>
    <s v="Fresno"/>
  </r>
  <r>
    <x v="24"/>
    <x v="0"/>
    <n v="31.66"/>
    <n v="2035"/>
    <s v="Fresno"/>
  </r>
  <r>
    <x v="25"/>
    <x v="0"/>
    <n v="38.57"/>
    <n v="2035"/>
    <s v="Fresno"/>
  </r>
  <r>
    <x v="26"/>
    <x v="0"/>
    <n v="39.22"/>
    <n v="2035"/>
    <s v="Fresno"/>
  </r>
  <r>
    <x v="27"/>
    <x v="0"/>
    <n v="37.799999999999997"/>
    <n v="2035"/>
    <s v="Fresno"/>
  </r>
  <r>
    <x v="28"/>
    <x v="0"/>
    <n v="33.07"/>
    <n v="2035"/>
    <s v="Fresno"/>
  </r>
  <r>
    <x v="29"/>
    <x v="0"/>
    <n v="42.35"/>
    <n v="2035"/>
    <s v="Fresno"/>
  </r>
  <r>
    <x v="30"/>
    <x v="0"/>
    <n v="44.78"/>
    <n v="2035"/>
    <s v="Fresno"/>
  </r>
  <r>
    <x v="31"/>
    <x v="0"/>
    <n v="45.83"/>
    <n v="2035"/>
    <s v="Fresno"/>
  </r>
  <r>
    <x v="32"/>
    <x v="0"/>
    <n v="47.09"/>
    <n v="2035"/>
    <s v="Fresno"/>
  </r>
  <r>
    <x v="33"/>
    <x v="0"/>
    <n v="37.96"/>
    <n v="2035"/>
    <s v="Fresno"/>
  </r>
  <r>
    <x v="34"/>
    <x v="0"/>
    <n v="38.659999999999997"/>
    <n v="2035"/>
    <s v="Fresno"/>
  </r>
  <r>
    <x v="35"/>
    <x v="0"/>
    <n v="33.53"/>
    <n v="2035"/>
    <s v="Fresno"/>
  </r>
  <r>
    <x v="36"/>
    <x v="0"/>
    <n v="30.62"/>
    <n v="2035"/>
    <s v="Fresno"/>
  </r>
  <r>
    <x v="37"/>
    <x v="0"/>
    <n v="25.77"/>
    <n v="2035"/>
    <s v="Fresno"/>
  </r>
  <r>
    <x v="38"/>
    <x v="0"/>
    <n v="33.83"/>
    <n v="2035"/>
    <s v="Fresno"/>
  </r>
  <r>
    <x v="39"/>
    <x v="0"/>
    <n v="36.4"/>
    <n v="2035"/>
    <s v="Fresno"/>
  </r>
  <r>
    <x v="40"/>
    <x v="0"/>
    <n v="33.49"/>
    <n v="2035"/>
    <s v="Fresno"/>
  </r>
  <r>
    <x v="41"/>
    <x v="0"/>
    <n v="41.77"/>
    <n v="2035"/>
    <s v="Fresno"/>
  </r>
  <r>
    <x v="42"/>
    <x v="0"/>
    <n v="47.89"/>
    <n v="2035"/>
    <s v="Fresno"/>
  </r>
  <r>
    <x v="43"/>
    <x v="0"/>
    <n v="48.67"/>
    <n v="2035"/>
    <s v="Fresno"/>
  </r>
  <r>
    <x v="44"/>
    <x v="0"/>
    <n v="36.31"/>
    <n v="2035"/>
    <s v="Fresno"/>
  </r>
  <r>
    <x v="45"/>
    <x v="0"/>
    <n v="43.32"/>
    <n v="2035"/>
    <s v="Fresno"/>
  </r>
  <r>
    <x v="46"/>
    <x v="0"/>
    <n v="39.85"/>
    <n v="2035"/>
    <s v="Fresno"/>
  </r>
  <r>
    <x v="47"/>
    <x v="0"/>
    <n v="41.91"/>
    <n v="2035"/>
    <s v="Fresno"/>
  </r>
  <r>
    <x v="48"/>
    <x v="0"/>
    <n v="31.59"/>
    <n v="2035"/>
    <s v="Fresno"/>
  </r>
  <r>
    <x v="49"/>
    <x v="0"/>
    <n v="36.71"/>
    <n v="2035"/>
    <s v="Fresno"/>
  </r>
  <r>
    <x v="50"/>
    <x v="0"/>
    <n v="37.01"/>
    <n v="2035"/>
    <s v="Fresno"/>
  </r>
  <r>
    <x v="51"/>
    <x v="0"/>
    <n v="46.72"/>
    <n v="2035"/>
    <s v="Fresno"/>
  </r>
  <r>
    <x v="52"/>
    <x v="0"/>
    <n v="29.89"/>
    <n v="2035"/>
    <s v="Fresno"/>
  </r>
  <r>
    <x v="53"/>
    <x v="0"/>
    <n v="27.77"/>
    <n v="2035"/>
    <s v="Fresno"/>
  </r>
  <r>
    <x v="54"/>
    <x v="0"/>
    <n v="39.82"/>
    <n v="2035"/>
    <s v="Fresno"/>
  </r>
  <r>
    <x v="55"/>
    <x v="0"/>
    <n v="34.630000000000003"/>
    <n v="2035"/>
    <s v="Fresno"/>
  </r>
  <r>
    <x v="56"/>
    <x v="0"/>
    <n v="37.86"/>
    <n v="2035"/>
    <s v="Fresno"/>
  </r>
  <r>
    <x v="57"/>
    <x v="0"/>
    <n v="36.35"/>
    <n v="2035"/>
    <s v="Fresno"/>
  </r>
  <r>
    <x v="58"/>
    <x v="0"/>
    <n v="28.05"/>
    <n v="2035"/>
    <s v="Fresno"/>
  </r>
  <r>
    <x v="59"/>
    <x v="0"/>
    <n v="34.619999999999997"/>
    <n v="2035"/>
    <s v="Fresno"/>
  </r>
  <r>
    <x v="60"/>
    <x v="0"/>
    <n v="35.020000000000003"/>
    <n v="2035"/>
    <s v="Fresno"/>
  </r>
  <r>
    <x v="61"/>
    <x v="0"/>
    <n v="32.86"/>
    <n v="2035"/>
    <s v="Fresno"/>
  </r>
  <r>
    <x v="62"/>
    <x v="0"/>
    <n v="36.47"/>
    <n v="2035"/>
    <s v="Fresno"/>
  </r>
  <r>
    <x v="63"/>
    <x v="0"/>
    <n v="32.44"/>
    <n v="2035"/>
    <s v="Fresno"/>
  </r>
  <r>
    <x v="64"/>
    <x v="0"/>
    <n v="37.53"/>
    <n v="2035"/>
    <s v="Fresno"/>
  </r>
  <r>
    <x v="65"/>
    <x v="0"/>
    <n v="37.32"/>
    <n v="2035"/>
    <s v="Fresno"/>
  </r>
  <r>
    <x v="66"/>
    <x v="0"/>
    <n v="37.22"/>
    <n v="2035"/>
    <s v="Fresno"/>
  </r>
  <r>
    <x v="67"/>
    <x v="0"/>
    <n v="31.34"/>
    <n v="2035"/>
    <s v="Fresno"/>
  </r>
  <r>
    <x v="68"/>
    <x v="0"/>
    <n v="30.14"/>
    <n v="2035"/>
    <s v="Fresno"/>
  </r>
  <r>
    <x v="69"/>
    <x v="0"/>
    <n v="28.33"/>
    <n v="2035"/>
    <s v="Fresno"/>
  </r>
  <r>
    <x v="70"/>
    <x v="0"/>
    <n v="37.46"/>
    <n v="2035"/>
    <s v="Fresno"/>
  </r>
  <r>
    <x v="71"/>
    <x v="0"/>
    <n v="44.71"/>
    <n v="2035"/>
    <s v="Fresno"/>
  </r>
  <r>
    <x v="72"/>
    <x v="0"/>
    <n v="40.15"/>
    <n v="2035"/>
    <s v="Fresno"/>
  </r>
  <r>
    <x v="73"/>
    <x v="0"/>
    <n v="27.67"/>
    <n v="2035"/>
    <s v="Fresno"/>
  </r>
  <r>
    <x v="74"/>
    <x v="0"/>
    <n v="24.94"/>
    <n v="2035"/>
    <s v="Fresno"/>
  </r>
  <r>
    <x v="75"/>
    <x v="0"/>
    <n v="37.01"/>
    <n v="2035"/>
    <s v="Fresno"/>
  </r>
  <r>
    <x v="76"/>
    <x v="0"/>
    <n v="35.54"/>
    <n v="2035"/>
    <s v="Fresno"/>
  </r>
  <r>
    <x v="77"/>
    <x v="0"/>
    <n v="31.63"/>
    <n v="2035"/>
    <s v="Fresno"/>
  </r>
  <r>
    <x v="78"/>
    <x v="0"/>
    <n v="29.85"/>
    <n v="2035"/>
    <s v="Fresno"/>
  </r>
  <r>
    <x v="79"/>
    <x v="0"/>
    <n v="28.37"/>
    <n v="2035"/>
    <s v="Fresno"/>
  </r>
  <r>
    <x v="80"/>
    <x v="0"/>
    <n v="24.64"/>
    <n v="2035"/>
    <s v="Fresno"/>
  </r>
  <r>
    <x v="81"/>
    <x v="0"/>
    <n v="22.73"/>
    <n v="2035"/>
    <s v="Fresno"/>
  </r>
  <r>
    <x v="82"/>
    <x v="0"/>
    <n v="23.08"/>
    <n v="2035"/>
    <s v="Fresno"/>
  </r>
  <r>
    <x v="83"/>
    <x v="0"/>
    <n v="20.97"/>
    <n v="2035"/>
    <s v="Fresno"/>
  </r>
  <r>
    <x v="84"/>
    <x v="0"/>
    <n v="17.89"/>
    <n v="2035"/>
    <s v="Fresno"/>
  </r>
  <r>
    <x v="85"/>
    <x v="0"/>
    <n v="15.45"/>
    <n v="2035"/>
    <s v="Fresno"/>
  </r>
  <r>
    <x v="86"/>
    <x v="0"/>
    <n v="15.62"/>
    <n v="2035"/>
    <s v="Fresno"/>
  </r>
  <r>
    <x v="87"/>
    <x v="0"/>
    <n v="12.24"/>
    <n v="2035"/>
    <s v="Fresno"/>
  </r>
  <r>
    <x v="88"/>
    <x v="0"/>
    <n v="11.4"/>
    <n v="2035"/>
    <s v="Fresno"/>
  </r>
  <r>
    <x v="89"/>
    <x v="0"/>
    <n v="9.11"/>
    <n v="2035"/>
    <s v="Fresno"/>
  </r>
  <r>
    <x v="90"/>
    <x v="0"/>
    <n v="10.25"/>
    <n v="2035"/>
    <s v="Fresno"/>
  </r>
  <r>
    <x v="91"/>
    <x v="0"/>
    <n v="7.71"/>
    <n v="2035"/>
    <s v="Fresno"/>
  </r>
  <r>
    <x v="92"/>
    <x v="0"/>
    <n v="7.92"/>
    <n v="2035"/>
    <s v="Fresno"/>
  </r>
  <r>
    <x v="93"/>
    <x v="0"/>
    <n v="6.36"/>
    <n v="2035"/>
    <s v="Fresno"/>
  </r>
  <r>
    <x v="94"/>
    <x v="0"/>
    <n v="4.6399999999999997"/>
    <n v="2035"/>
    <s v="Fresno"/>
  </r>
  <r>
    <x v="95"/>
    <x v="0"/>
    <n v="3.31"/>
    <n v="2035"/>
    <s v="Fresno"/>
  </r>
  <r>
    <x v="96"/>
    <x v="0"/>
    <n v="2.77"/>
    <n v="2035"/>
    <s v="Fresno"/>
  </r>
  <r>
    <x v="97"/>
    <x v="0"/>
    <n v="2.31"/>
    <n v="2035"/>
    <s v="Fresno"/>
  </r>
  <r>
    <x v="98"/>
    <x v="0"/>
    <n v="1.1100000000000001"/>
    <n v="2035"/>
    <s v="Fresno"/>
  </r>
  <r>
    <x v="99"/>
    <x v="0"/>
    <n v="1.28"/>
    <n v="2035"/>
    <s v="Fresno"/>
  </r>
  <r>
    <x v="100"/>
    <x v="0"/>
    <n v="0.93"/>
    <n v="2035"/>
    <s v="Fresno"/>
  </r>
  <r>
    <x v="0"/>
    <x v="1"/>
    <n v="44.98"/>
    <n v="2035"/>
    <s v="Fresno"/>
  </r>
  <r>
    <x v="1"/>
    <x v="1"/>
    <n v="46.67"/>
    <n v="2035"/>
    <s v="Fresno"/>
  </r>
  <r>
    <x v="2"/>
    <x v="1"/>
    <n v="48.87"/>
    <n v="2035"/>
    <s v="Fresno"/>
  </r>
  <r>
    <x v="3"/>
    <x v="1"/>
    <n v="50.09"/>
    <n v="2035"/>
    <s v="Fresno"/>
  </r>
  <r>
    <x v="4"/>
    <x v="1"/>
    <n v="52.57"/>
    <n v="2035"/>
    <s v="Fresno"/>
  </r>
  <r>
    <x v="5"/>
    <x v="1"/>
    <n v="54.69"/>
    <n v="2035"/>
    <s v="Fresno"/>
  </r>
  <r>
    <x v="6"/>
    <x v="1"/>
    <n v="57.08"/>
    <n v="2035"/>
    <s v="Fresno"/>
  </r>
  <r>
    <x v="7"/>
    <x v="1"/>
    <n v="59.61"/>
    <n v="2035"/>
    <s v="Fresno"/>
  </r>
  <r>
    <x v="8"/>
    <x v="1"/>
    <n v="62.01"/>
    <n v="2035"/>
    <s v="Fresno"/>
  </r>
  <r>
    <x v="9"/>
    <x v="1"/>
    <n v="64.33"/>
    <n v="2035"/>
    <s v="Fresno"/>
  </r>
  <r>
    <x v="10"/>
    <x v="1"/>
    <n v="65.739999999999995"/>
    <n v="2035"/>
    <s v="Fresno"/>
  </r>
  <r>
    <x v="11"/>
    <x v="1"/>
    <n v="66.88"/>
    <n v="2035"/>
    <s v="Fresno"/>
  </r>
  <r>
    <x v="12"/>
    <x v="1"/>
    <n v="67.84"/>
    <n v="2035"/>
    <s v="Fresno"/>
  </r>
  <r>
    <x v="13"/>
    <x v="1"/>
    <n v="68.98"/>
    <n v="2035"/>
    <s v="Fresno"/>
  </r>
  <r>
    <x v="14"/>
    <x v="1"/>
    <n v="69.5"/>
    <n v="2035"/>
    <s v="Fresno"/>
  </r>
  <r>
    <x v="15"/>
    <x v="1"/>
    <n v="70.239999999999995"/>
    <n v="2035"/>
    <s v="Fresno"/>
  </r>
  <r>
    <x v="16"/>
    <x v="1"/>
    <n v="71.680000000000007"/>
    <n v="2035"/>
    <s v="Fresno"/>
  </r>
  <r>
    <x v="17"/>
    <x v="1"/>
    <n v="72.739999999999995"/>
    <n v="2035"/>
    <s v="Fresno"/>
  </r>
  <r>
    <x v="18"/>
    <x v="1"/>
    <n v="74.09"/>
    <n v="2035"/>
    <s v="Fresno"/>
  </r>
  <r>
    <x v="19"/>
    <x v="1"/>
    <n v="76.06"/>
    <n v="2035"/>
    <s v="Fresno"/>
  </r>
  <r>
    <x v="20"/>
    <x v="1"/>
    <n v="76"/>
    <n v="2035"/>
    <s v="Fresno"/>
  </r>
  <r>
    <x v="21"/>
    <x v="1"/>
    <n v="77.19"/>
    <n v="2035"/>
    <s v="Fresno"/>
  </r>
  <r>
    <x v="22"/>
    <x v="1"/>
    <n v="76.86"/>
    <n v="2035"/>
    <s v="Fresno"/>
  </r>
  <r>
    <x v="23"/>
    <x v="1"/>
    <n v="76.39"/>
    <n v="2035"/>
    <s v="Fresno"/>
  </r>
  <r>
    <x v="24"/>
    <x v="1"/>
    <n v="38.58"/>
    <n v="2035"/>
    <s v="Fresno"/>
  </r>
  <r>
    <x v="25"/>
    <x v="1"/>
    <n v="56.88"/>
    <n v="2035"/>
    <s v="Fresno"/>
  </r>
  <r>
    <x v="26"/>
    <x v="1"/>
    <n v="51.58"/>
    <n v="2035"/>
    <s v="Fresno"/>
  </r>
  <r>
    <x v="27"/>
    <x v="1"/>
    <n v="58.23"/>
    <n v="2035"/>
    <s v="Fresno"/>
  </r>
  <r>
    <x v="28"/>
    <x v="1"/>
    <n v="54.66"/>
    <n v="2035"/>
    <s v="Fresno"/>
  </r>
  <r>
    <x v="29"/>
    <x v="1"/>
    <n v="49"/>
    <n v="2035"/>
    <s v="Fresno"/>
  </r>
  <r>
    <x v="30"/>
    <x v="1"/>
    <n v="41.79"/>
    <n v="2035"/>
    <s v="Fresno"/>
  </r>
  <r>
    <x v="31"/>
    <x v="1"/>
    <n v="35.69"/>
    <n v="2035"/>
    <s v="Fresno"/>
  </r>
  <r>
    <x v="32"/>
    <x v="1"/>
    <n v="33"/>
    <n v="2035"/>
    <s v="Fresno"/>
  </r>
  <r>
    <x v="33"/>
    <x v="1"/>
    <n v="36.270000000000003"/>
    <n v="2035"/>
    <s v="Fresno"/>
  </r>
  <r>
    <x v="34"/>
    <x v="1"/>
    <n v="41.04"/>
    <n v="2035"/>
    <s v="Fresno"/>
  </r>
  <r>
    <x v="35"/>
    <x v="1"/>
    <n v="36.49"/>
    <n v="2035"/>
    <s v="Fresno"/>
  </r>
  <r>
    <x v="36"/>
    <x v="1"/>
    <n v="40.58"/>
    <n v="2035"/>
    <s v="Fresno"/>
  </r>
  <r>
    <x v="37"/>
    <x v="1"/>
    <n v="44.06"/>
    <n v="2035"/>
    <s v="Fresno"/>
  </r>
  <r>
    <x v="38"/>
    <x v="1"/>
    <n v="44.61"/>
    <n v="2035"/>
    <s v="Fresno"/>
  </r>
  <r>
    <x v="39"/>
    <x v="1"/>
    <n v="37.69"/>
    <n v="2035"/>
    <s v="Fresno"/>
  </r>
  <r>
    <x v="40"/>
    <x v="1"/>
    <n v="46.56"/>
    <n v="2035"/>
    <s v="Fresno"/>
  </r>
  <r>
    <x v="41"/>
    <x v="1"/>
    <n v="47.09"/>
    <n v="2035"/>
    <s v="Fresno"/>
  </r>
  <r>
    <x v="42"/>
    <x v="1"/>
    <n v="50.45"/>
    <n v="2035"/>
    <s v="Fresno"/>
  </r>
  <r>
    <x v="43"/>
    <x v="1"/>
    <n v="50.84"/>
    <n v="2035"/>
    <s v="Fresno"/>
  </r>
  <r>
    <x v="44"/>
    <x v="1"/>
    <n v="32.31"/>
    <n v="2035"/>
    <s v="Fresno"/>
  </r>
  <r>
    <x v="45"/>
    <x v="1"/>
    <n v="41.46"/>
    <n v="2035"/>
    <s v="Fresno"/>
  </r>
  <r>
    <x v="46"/>
    <x v="1"/>
    <n v="37.58"/>
    <n v="2035"/>
    <s v="Fresno"/>
  </r>
  <r>
    <x v="47"/>
    <x v="1"/>
    <n v="37.92"/>
    <n v="2035"/>
    <s v="Fresno"/>
  </r>
  <r>
    <x v="48"/>
    <x v="1"/>
    <n v="38.380000000000003"/>
    <n v="2035"/>
    <s v="Fresno"/>
  </r>
  <r>
    <x v="49"/>
    <x v="1"/>
    <n v="32.97"/>
    <n v="2035"/>
    <s v="Fresno"/>
  </r>
  <r>
    <x v="50"/>
    <x v="1"/>
    <n v="33.75"/>
    <n v="2035"/>
    <s v="Fresno"/>
  </r>
  <r>
    <x v="51"/>
    <x v="1"/>
    <n v="39.22"/>
    <n v="2035"/>
    <s v="Fresno"/>
  </r>
  <r>
    <x v="52"/>
    <x v="1"/>
    <n v="43.01"/>
    <n v="2035"/>
    <s v="Fresno"/>
  </r>
  <r>
    <x v="53"/>
    <x v="1"/>
    <n v="40.22"/>
    <n v="2035"/>
    <s v="Fresno"/>
  </r>
  <r>
    <x v="54"/>
    <x v="1"/>
    <n v="33.92"/>
    <n v="2035"/>
    <s v="Fresno"/>
  </r>
  <r>
    <x v="55"/>
    <x v="1"/>
    <n v="38.159999999999997"/>
    <n v="2035"/>
    <s v="Fresno"/>
  </r>
  <r>
    <x v="56"/>
    <x v="1"/>
    <n v="34.799999999999997"/>
    <n v="2035"/>
    <s v="Fresno"/>
  </r>
  <r>
    <x v="57"/>
    <x v="1"/>
    <n v="35.880000000000003"/>
    <n v="2035"/>
    <s v="Fresno"/>
  </r>
  <r>
    <x v="58"/>
    <x v="1"/>
    <n v="32.24"/>
    <n v="2035"/>
    <s v="Fresno"/>
  </r>
  <r>
    <x v="59"/>
    <x v="1"/>
    <n v="38"/>
    <n v="2035"/>
    <s v="Fresno"/>
  </r>
  <r>
    <x v="60"/>
    <x v="1"/>
    <n v="41.37"/>
    <n v="2035"/>
    <s v="Fresno"/>
  </r>
  <r>
    <x v="61"/>
    <x v="1"/>
    <n v="38.909999999999997"/>
    <n v="2035"/>
    <s v="Fresno"/>
  </r>
  <r>
    <x v="62"/>
    <x v="1"/>
    <n v="36.630000000000003"/>
    <n v="2035"/>
    <s v="Fresno"/>
  </r>
  <r>
    <x v="63"/>
    <x v="1"/>
    <n v="39.06"/>
    <n v="2035"/>
    <s v="Fresno"/>
  </r>
  <r>
    <x v="64"/>
    <x v="1"/>
    <n v="41.51"/>
    <n v="2035"/>
    <s v="Fresno"/>
  </r>
  <r>
    <x v="65"/>
    <x v="1"/>
    <n v="31.79"/>
    <n v="2035"/>
    <s v="Fresno"/>
  </r>
  <r>
    <x v="66"/>
    <x v="1"/>
    <n v="31.27"/>
    <n v="2035"/>
    <s v="Fresno"/>
  </r>
  <r>
    <x v="67"/>
    <x v="1"/>
    <n v="33.85"/>
    <n v="2035"/>
    <s v="Fresno"/>
  </r>
  <r>
    <x v="68"/>
    <x v="1"/>
    <n v="33.49"/>
    <n v="2035"/>
    <s v="Fresno"/>
  </r>
  <r>
    <x v="69"/>
    <x v="1"/>
    <n v="36.57"/>
    <n v="2035"/>
    <s v="Fresno"/>
  </r>
  <r>
    <x v="70"/>
    <x v="1"/>
    <n v="42.37"/>
    <n v="2035"/>
    <s v="Fresno"/>
  </r>
  <r>
    <x v="71"/>
    <x v="1"/>
    <n v="40.07"/>
    <n v="2035"/>
    <s v="Fresno"/>
  </r>
  <r>
    <x v="72"/>
    <x v="1"/>
    <n v="35.85"/>
    <n v="2035"/>
    <s v="Fresno"/>
  </r>
  <r>
    <x v="73"/>
    <x v="1"/>
    <n v="33.68"/>
    <n v="2035"/>
    <s v="Fresno"/>
  </r>
  <r>
    <x v="74"/>
    <x v="1"/>
    <n v="28.09"/>
    <n v="2035"/>
    <s v="Fresno"/>
  </r>
  <r>
    <x v="75"/>
    <x v="1"/>
    <n v="31.98"/>
    <n v="2035"/>
    <s v="Fresno"/>
  </r>
  <r>
    <x v="76"/>
    <x v="1"/>
    <n v="34.229999999999997"/>
    <n v="2035"/>
    <s v="Fresno"/>
  </r>
  <r>
    <x v="77"/>
    <x v="1"/>
    <n v="27.38"/>
    <n v="2035"/>
    <s v="Fresno"/>
  </r>
  <r>
    <x v="78"/>
    <x v="1"/>
    <n v="21.25"/>
    <n v="2035"/>
    <s v="Fresno"/>
  </r>
  <r>
    <x v="79"/>
    <x v="1"/>
    <n v="22.52"/>
    <n v="2035"/>
    <s v="Fresno"/>
  </r>
  <r>
    <x v="80"/>
    <x v="1"/>
    <n v="23.93"/>
    <n v="2035"/>
    <s v="Fresno"/>
  </r>
  <r>
    <x v="81"/>
    <x v="1"/>
    <n v="20.16"/>
    <n v="2035"/>
    <s v="Fresno"/>
  </r>
  <r>
    <x v="82"/>
    <x v="1"/>
    <n v="16.32"/>
    <n v="2035"/>
    <s v="Fresno"/>
  </r>
  <r>
    <x v="83"/>
    <x v="1"/>
    <n v="17.37"/>
    <n v="2035"/>
    <s v="Fresno"/>
  </r>
  <r>
    <x v="84"/>
    <x v="1"/>
    <n v="15.86"/>
    <n v="2035"/>
    <s v="Fresno"/>
  </r>
  <r>
    <x v="85"/>
    <x v="1"/>
    <n v="15.94"/>
    <n v="2035"/>
    <s v="Fresno"/>
  </r>
  <r>
    <x v="86"/>
    <x v="1"/>
    <n v="14.46"/>
    <n v="2035"/>
    <s v="Fresno"/>
  </r>
  <r>
    <x v="87"/>
    <x v="1"/>
    <n v="14.84"/>
    <n v="2035"/>
    <s v="Fresno"/>
  </r>
  <r>
    <x v="88"/>
    <x v="1"/>
    <n v="12.04"/>
    <n v="2035"/>
    <s v="Fresno"/>
  </r>
  <r>
    <x v="89"/>
    <x v="1"/>
    <n v="11.95"/>
    <n v="2035"/>
    <s v="Fresno"/>
  </r>
  <r>
    <x v="90"/>
    <x v="1"/>
    <n v="7.6"/>
    <n v="2035"/>
    <s v="Fresno"/>
  </r>
  <r>
    <x v="91"/>
    <x v="1"/>
    <n v="9.0299999999999994"/>
    <n v="2035"/>
    <s v="Fresno"/>
  </r>
  <r>
    <x v="92"/>
    <x v="1"/>
    <n v="6.16"/>
    <n v="2035"/>
    <s v="Fresno"/>
  </r>
  <r>
    <x v="93"/>
    <x v="1"/>
    <n v="4.33"/>
    <n v="2035"/>
    <s v="Fresno"/>
  </r>
  <r>
    <x v="94"/>
    <x v="1"/>
    <n v="6.3"/>
    <n v="2035"/>
    <s v="Fresno"/>
  </r>
  <r>
    <x v="95"/>
    <x v="1"/>
    <n v="2.38"/>
    <n v="2035"/>
    <s v="Fresno"/>
  </r>
  <r>
    <x v="96"/>
    <x v="1"/>
    <n v="1.81"/>
    <n v="2035"/>
    <s v="Fresno"/>
  </r>
  <r>
    <x v="97"/>
    <x v="1"/>
    <n v="1.61"/>
    <n v="2035"/>
    <s v="Fresno"/>
  </r>
  <r>
    <x v="98"/>
    <x v="1"/>
    <n v="1.2"/>
    <n v="2035"/>
    <s v="Fresno"/>
  </r>
  <r>
    <x v="99"/>
    <x v="1"/>
    <n v="0.93"/>
    <n v="2035"/>
    <s v="Fresno"/>
  </r>
  <r>
    <x v="100"/>
    <x v="1"/>
    <n v="0.97"/>
    <n v="2035"/>
    <s v="Fresno"/>
  </r>
  <r>
    <x v="0"/>
    <x v="0"/>
    <n v="717.82"/>
    <n v="2035"/>
    <s v="Fresno"/>
  </r>
  <r>
    <x v="1"/>
    <x v="0"/>
    <n v="726.1"/>
    <n v="2035"/>
    <s v="Fresno"/>
  </r>
  <r>
    <x v="2"/>
    <x v="0"/>
    <n v="736.94"/>
    <n v="2035"/>
    <s v="Fresno"/>
  </r>
  <r>
    <x v="3"/>
    <x v="0"/>
    <n v="747.58"/>
    <n v="2035"/>
    <s v="Fresno"/>
  </r>
  <r>
    <x v="4"/>
    <x v="0"/>
    <n v="759.07"/>
    <n v="2035"/>
    <s v="Fresno"/>
  </r>
  <r>
    <x v="5"/>
    <x v="0"/>
    <n v="771.08"/>
    <n v="2035"/>
    <s v="Fresno"/>
  </r>
  <r>
    <x v="6"/>
    <x v="0"/>
    <n v="788"/>
    <n v="2035"/>
    <s v="Fresno"/>
  </r>
  <r>
    <x v="7"/>
    <x v="0"/>
    <n v="808.81"/>
    <n v="2035"/>
    <s v="Fresno"/>
  </r>
  <r>
    <x v="8"/>
    <x v="0"/>
    <n v="831.98"/>
    <n v="2035"/>
    <s v="Fresno"/>
  </r>
  <r>
    <x v="9"/>
    <x v="0"/>
    <n v="856.5"/>
    <n v="2035"/>
    <s v="Fresno"/>
  </r>
  <r>
    <x v="10"/>
    <x v="0"/>
    <n v="876.66"/>
    <n v="2035"/>
    <s v="Fresno"/>
  </r>
  <r>
    <x v="11"/>
    <x v="0"/>
    <n v="893.86"/>
    <n v="2035"/>
    <s v="Fresno"/>
  </r>
  <r>
    <x v="12"/>
    <x v="0"/>
    <n v="907.17"/>
    <n v="2035"/>
    <s v="Fresno"/>
  </r>
  <r>
    <x v="13"/>
    <x v="0"/>
    <n v="913.78"/>
    <n v="2035"/>
    <s v="Fresno"/>
  </r>
  <r>
    <x v="14"/>
    <x v="0"/>
    <n v="1042.06"/>
    <n v="2035"/>
    <s v="Fresno"/>
  </r>
  <r>
    <x v="15"/>
    <x v="0"/>
    <n v="1125.5999999999999"/>
    <n v="2035"/>
    <s v="Fresno"/>
  </r>
  <r>
    <x v="16"/>
    <x v="0"/>
    <n v="1150.49"/>
    <n v="2035"/>
    <s v="Fresno"/>
  </r>
  <r>
    <x v="17"/>
    <x v="0"/>
    <n v="1157.73"/>
    <n v="2035"/>
    <s v="Fresno"/>
  </r>
  <r>
    <x v="18"/>
    <x v="0"/>
    <n v="1166.68"/>
    <n v="2035"/>
    <s v="Fresno"/>
  </r>
  <r>
    <x v="19"/>
    <x v="0"/>
    <n v="1162.1300000000001"/>
    <n v="2035"/>
    <s v="Fresno"/>
  </r>
  <r>
    <x v="20"/>
    <x v="0"/>
    <n v="1162.1600000000001"/>
    <n v="2035"/>
    <s v="Fresno"/>
  </r>
  <r>
    <x v="21"/>
    <x v="0"/>
    <n v="1136.6300000000001"/>
    <n v="2035"/>
    <s v="Fresno"/>
  </r>
  <r>
    <x v="22"/>
    <x v="0"/>
    <n v="1131.05"/>
    <n v="2035"/>
    <s v="Fresno"/>
  </r>
  <r>
    <x v="23"/>
    <x v="0"/>
    <n v="1107.54"/>
    <n v="2035"/>
    <s v="Fresno"/>
  </r>
  <r>
    <x v="24"/>
    <x v="0"/>
    <n v="960.59"/>
    <n v="2035"/>
    <s v="Fresno"/>
  </r>
  <r>
    <x v="25"/>
    <x v="0"/>
    <n v="904.94"/>
    <n v="2035"/>
    <s v="Fresno"/>
  </r>
  <r>
    <x v="26"/>
    <x v="0"/>
    <n v="822.75"/>
    <n v="2035"/>
    <s v="Fresno"/>
  </r>
  <r>
    <x v="27"/>
    <x v="0"/>
    <n v="837.86"/>
    <n v="2035"/>
    <s v="Fresno"/>
  </r>
  <r>
    <x v="28"/>
    <x v="0"/>
    <n v="884.94"/>
    <n v="2035"/>
    <s v="Fresno"/>
  </r>
  <r>
    <x v="29"/>
    <x v="0"/>
    <n v="813.23"/>
    <n v="2035"/>
    <s v="Fresno"/>
  </r>
  <r>
    <x v="30"/>
    <x v="0"/>
    <n v="790.44"/>
    <n v="2035"/>
    <s v="Fresno"/>
  </r>
  <r>
    <x v="31"/>
    <x v="0"/>
    <n v="737.79"/>
    <n v="2035"/>
    <s v="Fresno"/>
  </r>
  <r>
    <x v="32"/>
    <x v="0"/>
    <n v="730.79"/>
    <n v="2035"/>
    <s v="Fresno"/>
  </r>
  <r>
    <x v="33"/>
    <x v="0"/>
    <n v="714.48"/>
    <n v="2035"/>
    <s v="Fresno"/>
  </r>
  <r>
    <x v="34"/>
    <x v="0"/>
    <n v="753.13"/>
    <n v="2035"/>
    <s v="Fresno"/>
  </r>
  <r>
    <x v="35"/>
    <x v="0"/>
    <n v="760.63"/>
    <n v="2035"/>
    <s v="Fresno"/>
  </r>
  <r>
    <x v="36"/>
    <x v="0"/>
    <n v="731.66"/>
    <n v="2035"/>
    <s v="Fresno"/>
  </r>
  <r>
    <x v="37"/>
    <x v="0"/>
    <n v="784.66"/>
    <n v="2035"/>
    <s v="Fresno"/>
  </r>
  <r>
    <x v="38"/>
    <x v="0"/>
    <n v="878.42"/>
    <n v="2035"/>
    <s v="Fresno"/>
  </r>
  <r>
    <x v="39"/>
    <x v="0"/>
    <n v="820.48"/>
    <n v="2035"/>
    <s v="Fresno"/>
  </r>
  <r>
    <x v="40"/>
    <x v="0"/>
    <n v="785.76"/>
    <n v="2035"/>
    <s v="Fresno"/>
  </r>
  <r>
    <x v="41"/>
    <x v="0"/>
    <n v="772.73"/>
    <n v="2035"/>
    <s v="Fresno"/>
  </r>
  <r>
    <x v="42"/>
    <x v="0"/>
    <n v="793.13"/>
    <n v="2035"/>
    <s v="Fresno"/>
  </r>
  <r>
    <x v="43"/>
    <x v="0"/>
    <n v="764.33"/>
    <n v="2035"/>
    <s v="Fresno"/>
  </r>
  <r>
    <x v="44"/>
    <x v="0"/>
    <n v="752.5"/>
    <n v="2035"/>
    <s v="Fresno"/>
  </r>
  <r>
    <x v="45"/>
    <x v="0"/>
    <n v="754.1"/>
    <n v="2035"/>
    <s v="Fresno"/>
  </r>
  <r>
    <x v="46"/>
    <x v="0"/>
    <n v="790.98"/>
    <n v="2035"/>
    <s v="Fresno"/>
  </r>
  <r>
    <x v="47"/>
    <x v="0"/>
    <n v="756.15"/>
    <n v="2035"/>
    <s v="Fresno"/>
  </r>
  <r>
    <x v="48"/>
    <x v="0"/>
    <n v="736.97"/>
    <n v="2035"/>
    <s v="Fresno"/>
  </r>
  <r>
    <x v="49"/>
    <x v="0"/>
    <n v="840.67"/>
    <n v="2035"/>
    <s v="Fresno"/>
  </r>
  <r>
    <x v="50"/>
    <x v="0"/>
    <n v="876.07"/>
    <n v="2035"/>
    <s v="Fresno"/>
  </r>
  <r>
    <x v="51"/>
    <x v="0"/>
    <n v="842.78"/>
    <n v="2035"/>
    <s v="Fresno"/>
  </r>
  <r>
    <x v="52"/>
    <x v="0"/>
    <n v="882.6"/>
    <n v="2035"/>
    <s v="Fresno"/>
  </r>
  <r>
    <x v="53"/>
    <x v="0"/>
    <n v="862.34"/>
    <n v="2035"/>
    <s v="Fresno"/>
  </r>
  <r>
    <x v="54"/>
    <x v="0"/>
    <n v="821.8"/>
    <n v="2035"/>
    <s v="Fresno"/>
  </r>
  <r>
    <x v="55"/>
    <x v="0"/>
    <n v="729.01"/>
    <n v="2035"/>
    <s v="Fresno"/>
  </r>
  <r>
    <x v="56"/>
    <x v="0"/>
    <n v="623.79"/>
    <n v="2035"/>
    <s v="Fresno"/>
  </r>
  <r>
    <x v="57"/>
    <x v="0"/>
    <n v="606.26"/>
    <n v="2035"/>
    <s v="Fresno"/>
  </r>
  <r>
    <x v="58"/>
    <x v="0"/>
    <n v="537.04"/>
    <n v="2035"/>
    <s v="Fresno"/>
  </r>
  <r>
    <x v="59"/>
    <x v="0"/>
    <n v="570.88"/>
    <n v="2035"/>
    <s v="Fresno"/>
  </r>
  <r>
    <x v="60"/>
    <x v="0"/>
    <n v="532.23"/>
    <n v="2035"/>
    <s v="Fresno"/>
  </r>
  <r>
    <x v="61"/>
    <x v="0"/>
    <n v="530.54"/>
    <n v="2035"/>
    <s v="Fresno"/>
  </r>
  <r>
    <x v="62"/>
    <x v="0"/>
    <n v="561.66"/>
    <n v="2035"/>
    <s v="Fresno"/>
  </r>
  <r>
    <x v="63"/>
    <x v="0"/>
    <n v="544.23"/>
    <n v="2035"/>
    <s v="Fresno"/>
  </r>
  <r>
    <x v="64"/>
    <x v="0"/>
    <n v="558.1"/>
    <n v="2035"/>
    <s v="Fresno"/>
  </r>
  <r>
    <x v="65"/>
    <x v="0"/>
    <n v="540.46"/>
    <n v="2035"/>
    <s v="Fresno"/>
  </r>
  <r>
    <x v="66"/>
    <x v="0"/>
    <n v="557.57000000000005"/>
    <n v="2035"/>
    <s v="Fresno"/>
  </r>
  <r>
    <x v="67"/>
    <x v="0"/>
    <n v="538.99"/>
    <n v="2035"/>
    <s v="Fresno"/>
  </r>
  <r>
    <x v="68"/>
    <x v="0"/>
    <n v="504.03"/>
    <n v="2035"/>
    <s v="Fresno"/>
  </r>
  <r>
    <x v="69"/>
    <x v="0"/>
    <n v="505.71"/>
    <n v="2035"/>
    <s v="Fresno"/>
  </r>
  <r>
    <x v="70"/>
    <x v="0"/>
    <n v="497.15"/>
    <n v="2035"/>
    <s v="Fresno"/>
  </r>
  <r>
    <x v="71"/>
    <x v="0"/>
    <n v="494.94"/>
    <n v="2035"/>
    <s v="Fresno"/>
  </r>
  <r>
    <x v="72"/>
    <x v="0"/>
    <n v="465.53"/>
    <n v="2035"/>
    <s v="Fresno"/>
  </r>
  <r>
    <x v="73"/>
    <x v="0"/>
    <n v="454.17"/>
    <n v="2035"/>
    <s v="Fresno"/>
  </r>
  <r>
    <x v="74"/>
    <x v="0"/>
    <n v="494.96"/>
    <n v="2035"/>
    <s v="Fresno"/>
  </r>
  <r>
    <x v="75"/>
    <x v="0"/>
    <n v="479.07"/>
    <n v="2035"/>
    <s v="Fresno"/>
  </r>
  <r>
    <x v="76"/>
    <x v="0"/>
    <n v="442.44"/>
    <n v="2035"/>
    <s v="Fresno"/>
  </r>
  <r>
    <x v="77"/>
    <x v="0"/>
    <n v="420.07"/>
    <n v="2035"/>
    <s v="Fresno"/>
  </r>
  <r>
    <x v="78"/>
    <x v="0"/>
    <n v="388.13"/>
    <n v="2035"/>
    <s v="Fresno"/>
  </r>
  <r>
    <x v="79"/>
    <x v="0"/>
    <n v="372.46"/>
    <n v="2035"/>
    <s v="Fresno"/>
  </r>
  <r>
    <x v="80"/>
    <x v="0"/>
    <n v="342.19"/>
    <n v="2035"/>
    <s v="Fresno"/>
  </r>
  <r>
    <x v="81"/>
    <x v="0"/>
    <n v="301.18"/>
    <n v="2035"/>
    <s v="Fresno"/>
  </r>
  <r>
    <x v="82"/>
    <x v="0"/>
    <n v="308.10000000000002"/>
    <n v="2035"/>
    <s v="Fresno"/>
  </r>
  <r>
    <x v="83"/>
    <x v="0"/>
    <n v="249.35"/>
    <n v="2035"/>
    <s v="Fresno"/>
  </r>
  <r>
    <x v="84"/>
    <x v="0"/>
    <n v="228.28"/>
    <n v="2035"/>
    <s v="Fresno"/>
  </r>
  <r>
    <x v="85"/>
    <x v="0"/>
    <n v="209.37"/>
    <n v="2035"/>
    <s v="Fresno"/>
  </r>
  <r>
    <x v="86"/>
    <x v="0"/>
    <n v="176.54"/>
    <n v="2035"/>
    <s v="Fresno"/>
  </r>
  <r>
    <x v="87"/>
    <x v="0"/>
    <n v="157.36000000000001"/>
    <n v="2035"/>
    <s v="Fresno"/>
  </r>
  <r>
    <x v="88"/>
    <x v="0"/>
    <n v="143.28"/>
    <n v="2035"/>
    <s v="Fresno"/>
  </r>
  <r>
    <x v="89"/>
    <x v="0"/>
    <n v="116.03"/>
    <n v="2035"/>
    <s v="Fresno"/>
  </r>
  <r>
    <x v="90"/>
    <x v="0"/>
    <n v="94.23"/>
    <n v="2035"/>
    <s v="Fresno"/>
  </r>
  <r>
    <x v="91"/>
    <x v="0"/>
    <n v="79.34"/>
    <n v="2035"/>
    <s v="Fresno"/>
  </r>
  <r>
    <x v="92"/>
    <x v="0"/>
    <n v="69.75"/>
    <n v="2035"/>
    <s v="Fresno"/>
  </r>
  <r>
    <x v="93"/>
    <x v="0"/>
    <n v="58.93"/>
    <n v="2035"/>
    <s v="Fresno"/>
  </r>
  <r>
    <x v="94"/>
    <x v="0"/>
    <n v="49.75"/>
    <n v="2035"/>
    <s v="Fresno"/>
  </r>
  <r>
    <x v="95"/>
    <x v="0"/>
    <n v="43.06"/>
    <n v="2035"/>
    <s v="Fresno"/>
  </r>
  <r>
    <x v="96"/>
    <x v="0"/>
    <n v="34.92"/>
    <n v="2035"/>
    <s v="Fresno"/>
  </r>
  <r>
    <x v="97"/>
    <x v="0"/>
    <n v="24.41"/>
    <n v="2035"/>
    <s v="Fresno"/>
  </r>
  <r>
    <x v="98"/>
    <x v="0"/>
    <n v="18.600000000000001"/>
    <n v="2035"/>
    <s v="Fresno"/>
  </r>
  <r>
    <x v="99"/>
    <x v="0"/>
    <n v="16.61"/>
    <n v="2035"/>
    <s v="Fresno"/>
  </r>
  <r>
    <x v="100"/>
    <x v="0"/>
    <n v="14.78"/>
    <n v="2035"/>
    <s v="Fresno"/>
  </r>
  <r>
    <x v="0"/>
    <x v="1"/>
    <n v="839.41"/>
    <n v="2035"/>
    <s v="Fresno"/>
  </r>
  <r>
    <x v="1"/>
    <x v="1"/>
    <n v="845.06"/>
    <n v="2035"/>
    <s v="Fresno"/>
  </r>
  <r>
    <x v="2"/>
    <x v="1"/>
    <n v="858.01"/>
    <n v="2035"/>
    <s v="Fresno"/>
  </r>
  <r>
    <x v="3"/>
    <x v="1"/>
    <n v="870.18"/>
    <n v="2035"/>
    <s v="Fresno"/>
  </r>
  <r>
    <x v="4"/>
    <x v="1"/>
    <n v="885.62"/>
    <n v="2035"/>
    <s v="Fresno"/>
  </r>
  <r>
    <x v="5"/>
    <x v="1"/>
    <n v="899.55"/>
    <n v="2035"/>
    <s v="Fresno"/>
  </r>
  <r>
    <x v="6"/>
    <x v="1"/>
    <n v="917.32"/>
    <n v="2035"/>
    <s v="Fresno"/>
  </r>
  <r>
    <x v="7"/>
    <x v="1"/>
    <n v="937.2"/>
    <n v="2035"/>
    <s v="Fresno"/>
  </r>
  <r>
    <x v="8"/>
    <x v="1"/>
    <n v="959.24"/>
    <n v="2035"/>
    <s v="Fresno"/>
  </r>
  <r>
    <x v="9"/>
    <x v="1"/>
    <n v="985.91"/>
    <n v="2035"/>
    <s v="Fresno"/>
  </r>
  <r>
    <x v="10"/>
    <x v="1"/>
    <n v="1011.43"/>
    <n v="2035"/>
    <s v="Fresno"/>
  </r>
  <r>
    <x v="11"/>
    <x v="1"/>
    <n v="1036.43"/>
    <n v="2035"/>
    <s v="Fresno"/>
  </r>
  <r>
    <x v="12"/>
    <x v="1"/>
    <n v="1055.8800000000001"/>
    <n v="2035"/>
    <s v="Fresno"/>
  </r>
  <r>
    <x v="13"/>
    <x v="1"/>
    <n v="1069.1300000000001"/>
    <n v="2035"/>
    <s v="Fresno"/>
  </r>
  <r>
    <x v="14"/>
    <x v="1"/>
    <n v="1085.1500000000001"/>
    <n v="2035"/>
    <s v="Fresno"/>
  </r>
  <r>
    <x v="15"/>
    <x v="1"/>
    <n v="1215.74"/>
    <n v="2035"/>
    <s v="Fresno"/>
  </r>
  <r>
    <x v="16"/>
    <x v="1"/>
    <n v="1298.98"/>
    <n v="2035"/>
    <s v="Fresno"/>
  </r>
  <r>
    <x v="17"/>
    <x v="1"/>
    <n v="1323.22"/>
    <n v="2035"/>
    <s v="Fresno"/>
  </r>
  <r>
    <x v="18"/>
    <x v="1"/>
    <n v="1324.5"/>
    <n v="2035"/>
    <s v="Fresno"/>
  </r>
  <r>
    <x v="19"/>
    <x v="1"/>
    <n v="1339.78"/>
    <n v="2035"/>
    <s v="Fresno"/>
  </r>
  <r>
    <x v="20"/>
    <x v="1"/>
    <n v="1334.11"/>
    <n v="2035"/>
    <s v="Fresno"/>
  </r>
  <r>
    <x v="21"/>
    <x v="1"/>
    <n v="1333.2"/>
    <n v="2035"/>
    <s v="Fresno"/>
  </r>
  <r>
    <x v="22"/>
    <x v="1"/>
    <n v="1309.03"/>
    <n v="2035"/>
    <s v="Fresno"/>
  </r>
  <r>
    <x v="23"/>
    <x v="1"/>
    <n v="1294.74"/>
    <n v="2035"/>
    <s v="Fresno"/>
  </r>
  <r>
    <x v="24"/>
    <x v="1"/>
    <n v="1205.8"/>
    <n v="2035"/>
    <s v="Fresno"/>
  </r>
  <r>
    <x v="25"/>
    <x v="1"/>
    <n v="902.27"/>
    <n v="2035"/>
    <s v="Fresno"/>
  </r>
  <r>
    <x v="26"/>
    <x v="1"/>
    <n v="862.15"/>
    <n v="2035"/>
    <s v="Fresno"/>
  </r>
  <r>
    <x v="27"/>
    <x v="1"/>
    <n v="929.56"/>
    <n v="2035"/>
    <s v="Fresno"/>
  </r>
  <r>
    <x v="28"/>
    <x v="1"/>
    <n v="901.67"/>
    <n v="2035"/>
    <s v="Fresno"/>
  </r>
  <r>
    <x v="29"/>
    <x v="1"/>
    <n v="883.41"/>
    <n v="2035"/>
    <s v="Fresno"/>
  </r>
  <r>
    <x v="30"/>
    <x v="1"/>
    <n v="878.18"/>
    <n v="2035"/>
    <s v="Fresno"/>
  </r>
  <r>
    <x v="31"/>
    <x v="1"/>
    <n v="836.23"/>
    <n v="2035"/>
    <s v="Fresno"/>
  </r>
  <r>
    <x v="32"/>
    <x v="1"/>
    <n v="794.76"/>
    <n v="2035"/>
    <s v="Fresno"/>
  </r>
  <r>
    <x v="33"/>
    <x v="1"/>
    <n v="785.61"/>
    <n v="2035"/>
    <s v="Fresno"/>
  </r>
  <r>
    <x v="34"/>
    <x v="1"/>
    <n v="791.35"/>
    <n v="2035"/>
    <s v="Fresno"/>
  </r>
  <r>
    <x v="35"/>
    <x v="1"/>
    <n v="803.3"/>
    <n v="2035"/>
    <s v="Fresno"/>
  </r>
  <r>
    <x v="36"/>
    <x v="1"/>
    <n v="818.1"/>
    <n v="2035"/>
    <s v="Fresno"/>
  </r>
  <r>
    <x v="37"/>
    <x v="1"/>
    <n v="769"/>
    <n v="2035"/>
    <s v="Fresno"/>
  </r>
  <r>
    <x v="38"/>
    <x v="1"/>
    <n v="786.36"/>
    <n v="2035"/>
    <s v="Fresno"/>
  </r>
  <r>
    <x v="39"/>
    <x v="1"/>
    <n v="900.16"/>
    <n v="2035"/>
    <s v="Fresno"/>
  </r>
  <r>
    <x v="40"/>
    <x v="1"/>
    <n v="867.72"/>
    <n v="2035"/>
    <s v="Fresno"/>
  </r>
  <r>
    <x v="41"/>
    <x v="1"/>
    <n v="846.11"/>
    <n v="2035"/>
    <s v="Fresno"/>
  </r>
  <r>
    <x v="42"/>
    <x v="1"/>
    <n v="835.74"/>
    <n v="2035"/>
    <s v="Fresno"/>
  </r>
  <r>
    <x v="43"/>
    <x v="1"/>
    <n v="855.28"/>
    <n v="2035"/>
    <s v="Fresno"/>
  </r>
  <r>
    <x v="44"/>
    <x v="1"/>
    <n v="807.57"/>
    <n v="2035"/>
    <s v="Fresno"/>
  </r>
  <r>
    <x v="45"/>
    <x v="1"/>
    <n v="711.52"/>
    <n v="2035"/>
    <s v="Fresno"/>
  </r>
  <r>
    <x v="46"/>
    <x v="1"/>
    <n v="722.7"/>
    <n v="2035"/>
    <s v="Fresno"/>
  </r>
  <r>
    <x v="47"/>
    <x v="1"/>
    <n v="742.99"/>
    <n v="2035"/>
    <s v="Fresno"/>
  </r>
  <r>
    <x v="48"/>
    <x v="1"/>
    <n v="750.1"/>
    <n v="2035"/>
    <s v="Fresno"/>
  </r>
  <r>
    <x v="49"/>
    <x v="1"/>
    <n v="778.96"/>
    <n v="2035"/>
    <s v="Fresno"/>
  </r>
  <r>
    <x v="50"/>
    <x v="1"/>
    <n v="798.93"/>
    <n v="2035"/>
    <s v="Fresno"/>
  </r>
  <r>
    <x v="51"/>
    <x v="1"/>
    <n v="795.01"/>
    <n v="2035"/>
    <s v="Fresno"/>
  </r>
  <r>
    <x v="52"/>
    <x v="1"/>
    <n v="798.8"/>
    <n v="2035"/>
    <s v="Fresno"/>
  </r>
  <r>
    <x v="53"/>
    <x v="1"/>
    <n v="777.12"/>
    <n v="2035"/>
    <s v="Fresno"/>
  </r>
  <r>
    <x v="54"/>
    <x v="1"/>
    <n v="712.76"/>
    <n v="2035"/>
    <s v="Fresno"/>
  </r>
  <r>
    <x v="55"/>
    <x v="1"/>
    <n v="641.65"/>
    <n v="2035"/>
    <s v="Fresno"/>
  </r>
  <r>
    <x v="56"/>
    <x v="1"/>
    <n v="581.88"/>
    <n v="2035"/>
    <s v="Fresno"/>
  </r>
  <r>
    <x v="57"/>
    <x v="1"/>
    <n v="526.17999999999995"/>
    <n v="2035"/>
    <s v="Fresno"/>
  </r>
  <r>
    <x v="58"/>
    <x v="1"/>
    <n v="520.59"/>
    <n v="2035"/>
    <s v="Fresno"/>
  </r>
  <r>
    <x v="59"/>
    <x v="1"/>
    <n v="540.37"/>
    <n v="2035"/>
    <s v="Fresno"/>
  </r>
  <r>
    <x v="60"/>
    <x v="1"/>
    <n v="544.38"/>
    <n v="2035"/>
    <s v="Fresno"/>
  </r>
  <r>
    <x v="61"/>
    <x v="1"/>
    <n v="495.56"/>
    <n v="2035"/>
    <s v="Fresno"/>
  </r>
  <r>
    <x v="62"/>
    <x v="1"/>
    <n v="481.94"/>
    <n v="2035"/>
    <s v="Fresno"/>
  </r>
  <r>
    <x v="63"/>
    <x v="1"/>
    <n v="432.4"/>
    <n v="2035"/>
    <s v="Fresno"/>
  </r>
  <r>
    <x v="64"/>
    <x v="1"/>
    <n v="453.12"/>
    <n v="2035"/>
    <s v="Fresno"/>
  </r>
  <r>
    <x v="65"/>
    <x v="1"/>
    <n v="485.87"/>
    <n v="2035"/>
    <s v="Fresno"/>
  </r>
  <r>
    <x v="66"/>
    <x v="1"/>
    <n v="457.13"/>
    <n v="2035"/>
    <s v="Fresno"/>
  </r>
  <r>
    <x v="67"/>
    <x v="1"/>
    <n v="443.39"/>
    <n v="2035"/>
    <s v="Fresno"/>
  </r>
  <r>
    <x v="68"/>
    <x v="1"/>
    <n v="435.95"/>
    <n v="2035"/>
    <s v="Fresno"/>
  </r>
  <r>
    <x v="69"/>
    <x v="1"/>
    <n v="427.36"/>
    <n v="2035"/>
    <s v="Fresno"/>
  </r>
  <r>
    <x v="70"/>
    <x v="1"/>
    <n v="440.57"/>
    <n v="2035"/>
    <s v="Fresno"/>
  </r>
  <r>
    <x v="71"/>
    <x v="1"/>
    <n v="424.69"/>
    <n v="2035"/>
    <s v="Fresno"/>
  </r>
  <r>
    <x v="72"/>
    <x v="1"/>
    <n v="411.65"/>
    <n v="2035"/>
    <s v="Fresno"/>
  </r>
  <r>
    <x v="73"/>
    <x v="1"/>
    <n v="352.57"/>
    <n v="2035"/>
    <s v="Fresno"/>
  </r>
  <r>
    <x v="74"/>
    <x v="1"/>
    <n v="380.63"/>
    <n v="2035"/>
    <s v="Fresno"/>
  </r>
  <r>
    <x v="75"/>
    <x v="1"/>
    <n v="391.93"/>
    <n v="2035"/>
    <s v="Fresno"/>
  </r>
  <r>
    <x v="76"/>
    <x v="1"/>
    <n v="347.17"/>
    <n v="2035"/>
    <s v="Fresno"/>
  </r>
  <r>
    <x v="77"/>
    <x v="1"/>
    <n v="317.36"/>
    <n v="2035"/>
    <s v="Fresno"/>
  </r>
  <r>
    <x v="78"/>
    <x v="1"/>
    <n v="291.43"/>
    <n v="2035"/>
    <s v="Fresno"/>
  </r>
  <r>
    <x v="79"/>
    <x v="1"/>
    <n v="287.16000000000003"/>
    <n v="2035"/>
    <s v="Fresno"/>
  </r>
  <r>
    <x v="80"/>
    <x v="1"/>
    <n v="274.42"/>
    <n v="2035"/>
    <s v="Fresno"/>
  </r>
  <r>
    <x v="81"/>
    <x v="1"/>
    <n v="260.66000000000003"/>
    <n v="2035"/>
    <s v="Fresno"/>
  </r>
  <r>
    <x v="82"/>
    <x v="1"/>
    <n v="206.24"/>
    <n v="2035"/>
    <s v="Fresno"/>
  </r>
  <r>
    <x v="83"/>
    <x v="1"/>
    <n v="173.53"/>
    <n v="2035"/>
    <s v="Fresno"/>
  </r>
  <r>
    <x v="84"/>
    <x v="1"/>
    <n v="145.69999999999999"/>
    <n v="2035"/>
    <s v="Fresno"/>
  </r>
  <r>
    <x v="85"/>
    <x v="1"/>
    <n v="118.9"/>
    <n v="2035"/>
    <s v="Fresno"/>
  </r>
  <r>
    <x v="86"/>
    <x v="1"/>
    <n v="101.27"/>
    <n v="2035"/>
    <s v="Fresno"/>
  </r>
  <r>
    <x v="87"/>
    <x v="1"/>
    <n v="86.24"/>
    <n v="2035"/>
    <s v="Fresno"/>
  </r>
  <r>
    <x v="88"/>
    <x v="1"/>
    <n v="61.87"/>
    <n v="2035"/>
    <s v="Fresno"/>
  </r>
  <r>
    <x v="89"/>
    <x v="1"/>
    <n v="58.89"/>
    <n v="2035"/>
    <s v="Fresno"/>
  </r>
  <r>
    <x v="90"/>
    <x v="1"/>
    <n v="51.69"/>
    <n v="2035"/>
    <s v="Fresno"/>
  </r>
  <r>
    <x v="91"/>
    <x v="1"/>
    <n v="41.91"/>
    <n v="2035"/>
    <s v="Fresno"/>
  </r>
  <r>
    <x v="92"/>
    <x v="1"/>
    <n v="34.340000000000003"/>
    <n v="2035"/>
    <s v="Fresno"/>
  </r>
  <r>
    <x v="93"/>
    <x v="1"/>
    <n v="27.93"/>
    <n v="2035"/>
    <s v="Fresno"/>
  </r>
  <r>
    <x v="94"/>
    <x v="1"/>
    <n v="24.12"/>
    <n v="2035"/>
    <s v="Fresno"/>
  </r>
  <r>
    <x v="95"/>
    <x v="1"/>
    <n v="17.75"/>
    <n v="2035"/>
    <s v="Fresno"/>
  </r>
  <r>
    <x v="96"/>
    <x v="1"/>
    <n v="11.99"/>
    <n v="2035"/>
    <s v="Fresno"/>
  </r>
  <r>
    <x v="97"/>
    <x v="1"/>
    <n v="10.99"/>
    <n v="2035"/>
    <s v="Fresno"/>
  </r>
  <r>
    <x v="98"/>
    <x v="1"/>
    <n v="7.47"/>
    <n v="2035"/>
    <s v="Fresno"/>
  </r>
  <r>
    <x v="99"/>
    <x v="1"/>
    <n v="6.02"/>
    <n v="2035"/>
    <s v="Fresno"/>
  </r>
  <r>
    <x v="100"/>
    <x v="1"/>
    <n v="4.16"/>
    <n v="2035"/>
    <s v="Fresno"/>
  </r>
  <r>
    <x v="0"/>
    <x v="0"/>
    <n v="10.14"/>
    <n v="2035"/>
    <s v="Fresno"/>
  </r>
  <r>
    <x v="1"/>
    <x v="0"/>
    <n v="10.050000000000001"/>
    <n v="2035"/>
    <s v="Fresno"/>
  </r>
  <r>
    <x v="2"/>
    <x v="0"/>
    <n v="9.91"/>
    <n v="2035"/>
    <s v="Fresno"/>
  </r>
  <r>
    <x v="3"/>
    <x v="0"/>
    <n v="9.75"/>
    <n v="2035"/>
    <s v="Fresno"/>
  </r>
  <r>
    <x v="4"/>
    <x v="0"/>
    <n v="9.93"/>
    <n v="2035"/>
    <s v="Fresno"/>
  </r>
  <r>
    <x v="5"/>
    <x v="0"/>
    <n v="10.15"/>
    <n v="2035"/>
    <s v="Fresno"/>
  </r>
  <r>
    <x v="6"/>
    <x v="0"/>
    <n v="10.33"/>
    <n v="2035"/>
    <s v="Fresno"/>
  </r>
  <r>
    <x v="7"/>
    <x v="0"/>
    <n v="10.29"/>
    <n v="2035"/>
    <s v="Fresno"/>
  </r>
  <r>
    <x v="8"/>
    <x v="0"/>
    <n v="10.55"/>
    <n v="2035"/>
    <s v="Fresno"/>
  </r>
  <r>
    <x v="9"/>
    <x v="0"/>
    <n v="11.03"/>
    <n v="2035"/>
    <s v="Fresno"/>
  </r>
  <r>
    <x v="10"/>
    <x v="0"/>
    <n v="11.53"/>
    <n v="2035"/>
    <s v="Fresno"/>
  </r>
  <r>
    <x v="11"/>
    <x v="0"/>
    <n v="11.6"/>
    <n v="2035"/>
    <s v="Fresno"/>
  </r>
  <r>
    <x v="12"/>
    <x v="0"/>
    <n v="11.98"/>
    <n v="2035"/>
    <s v="Fresno"/>
  </r>
  <r>
    <x v="13"/>
    <x v="0"/>
    <n v="12.09"/>
    <n v="2035"/>
    <s v="Fresno"/>
  </r>
  <r>
    <x v="14"/>
    <x v="0"/>
    <n v="12.35"/>
    <n v="2035"/>
    <s v="Fresno"/>
  </r>
  <r>
    <x v="15"/>
    <x v="0"/>
    <n v="12.89"/>
    <n v="2035"/>
    <s v="Fresno"/>
  </r>
  <r>
    <x v="16"/>
    <x v="0"/>
    <n v="13.23"/>
    <n v="2035"/>
    <s v="Fresno"/>
  </r>
  <r>
    <x v="17"/>
    <x v="0"/>
    <n v="13.37"/>
    <n v="2035"/>
    <s v="Fresno"/>
  </r>
  <r>
    <x v="18"/>
    <x v="0"/>
    <n v="14.05"/>
    <n v="2035"/>
    <s v="Fresno"/>
  </r>
  <r>
    <x v="19"/>
    <x v="0"/>
    <n v="13.86"/>
    <n v="2035"/>
    <s v="Fresno"/>
  </r>
  <r>
    <x v="20"/>
    <x v="0"/>
    <n v="14.59"/>
    <n v="2035"/>
    <s v="Fresno"/>
  </r>
  <r>
    <x v="21"/>
    <x v="0"/>
    <n v="14.71"/>
    <n v="2035"/>
    <s v="Fresno"/>
  </r>
  <r>
    <x v="22"/>
    <x v="0"/>
    <n v="14.27"/>
    <n v="2035"/>
    <s v="Fresno"/>
  </r>
  <r>
    <x v="23"/>
    <x v="0"/>
    <n v="14.43"/>
    <n v="2035"/>
    <s v="Fresno"/>
  </r>
  <r>
    <x v="24"/>
    <x v="0"/>
    <n v="7.91"/>
    <n v="2035"/>
    <s v="Fresno"/>
  </r>
  <r>
    <x v="25"/>
    <x v="0"/>
    <n v="8.61"/>
    <n v="2035"/>
    <s v="Fresno"/>
  </r>
  <r>
    <x v="26"/>
    <x v="0"/>
    <n v="11.02"/>
    <n v="2035"/>
    <s v="Fresno"/>
  </r>
  <r>
    <x v="27"/>
    <x v="0"/>
    <n v="14.79"/>
    <n v="2035"/>
    <s v="Fresno"/>
  </r>
  <r>
    <x v="28"/>
    <x v="0"/>
    <n v="16.82"/>
    <n v="2035"/>
    <s v="Fresno"/>
  </r>
  <r>
    <x v="29"/>
    <x v="0"/>
    <n v="11.21"/>
    <n v="2035"/>
    <s v="Fresno"/>
  </r>
  <r>
    <x v="30"/>
    <x v="0"/>
    <n v="6.28"/>
    <n v="2035"/>
    <s v="Fresno"/>
  </r>
  <r>
    <x v="31"/>
    <x v="0"/>
    <n v="11.85"/>
    <n v="2035"/>
    <s v="Fresno"/>
  </r>
  <r>
    <x v="32"/>
    <x v="0"/>
    <n v="6.1"/>
    <n v="2035"/>
    <s v="Fresno"/>
  </r>
  <r>
    <x v="33"/>
    <x v="0"/>
    <n v="8.3800000000000008"/>
    <n v="2035"/>
    <s v="Fresno"/>
  </r>
  <r>
    <x v="34"/>
    <x v="0"/>
    <n v="12.04"/>
    <n v="2035"/>
    <s v="Fresno"/>
  </r>
  <r>
    <x v="35"/>
    <x v="0"/>
    <n v="8.0399999999999991"/>
    <n v="2035"/>
    <s v="Fresno"/>
  </r>
  <r>
    <x v="36"/>
    <x v="0"/>
    <n v="8.41"/>
    <n v="2035"/>
    <s v="Fresno"/>
  </r>
  <r>
    <x v="37"/>
    <x v="0"/>
    <n v="7.82"/>
    <n v="2035"/>
    <s v="Fresno"/>
  </r>
  <r>
    <x v="38"/>
    <x v="0"/>
    <n v="6.79"/>
    <n v="2035"/>
    <s v="Fresno"/>
  </r>
  <r>
    <x v="39"/>
    <x v="0"/>
    <n v="12.6"/>
    <n v="2035"/>
    <s v="Fresno"/>
  </r>
  <r>
    <x v="40"/>
    <x v="0"/>
    <n v="8.99"/>
    <n v="2035"/>
    <s v="Fresno"/>
  </r>
  <r>
    <x v="41"/>
    <x v="0"/>
    <n v="12.36"/>
    <n v="2035"/>
    <s v="Fresno"/>
  </r>
  <r>
    <x v="42"/>
    <x v="0"/>
    <n v="9.69"/>
    <n v="2035"/>
    <s v="Fresno"/>
  </r>
  <r>
    <x v="43"/>
    <x v="0"/>
    <n v="9.98"/>
    <n v="2035"/>
    <s v="Fresno"/>
  </r>
  <r>
    <x v="44"/>
    <x v="0"/>
    <n v="11.75"/>
    <n v="2035"/>
    <s v="Fresno"/>
  </r>
  <r>
    <x v="45"/>
    <x v="0"/>
    <n v="10.59"/>
    <n v="2035"/>
    <s v="Fresno"/>
  </r>
  <r>
    <x v="46"/>
    <x v="0"/>
    <n v="10.76"/>
    <n v="2035"/>
    <s v="Fresno"/>
  </r>
  <r>
    <x v="47"/>
    <x v="0"/>
    <n v="13.06"/>
    <n v="2035"/>
    <s v="Fresno"/>
  </r>
  <r>
    <x v="48"/>
    <x v="0"/>
    <n v="15.94"/>
    <n v="2035"/>
    <s v="Fresno"/>
  </r>
  <r>
    <x v="49"/>
    <x v="0"/>
    <n v="11.5"/>
    <n v="2035"/>
    <s v="Fresno"/>
  </r>
  <r>
    <x v="50"/>
    <x v="0"/>
    <n v="10.49"/>
    <n v="2035"/>
    <s v="Fresno"/>
  </r>
  <r>
    <x v="51"/>
    <x v="0"/>
    <n v="11.12"/>
    <n v="2035"/>
    <s v="Fresno"/>
  </r>
  <r>
    <x v="52"/>
    <x v="0"/>
    <n v="7.38"/>
    <n v="2035"/>
    <s v="Fresno"/>
  </r>
  <r>
    <x v="53"/>
    <x v="0"/>
    <n v="15.8"/>
    <n v="2035"/>
    <s v="Fresno"/>
  </r>
  <r>
    <x v="54"/>
    <x v="0"/>
    <n v="12.62"/>
    <n v="2035"/>
    <s v="Fresno"/>
  </r>
  <r>
    <x v="55"/>
    <x v="0"/>
    <n v="10.17"/>
    <n v="2035"/>
    <s v="Fresno"/>
  </r>
  <r>
    <x v="56"/>
    <x v="0"/>
    <n v="12.55"/>
    <n v="2035"/>
    <s v="Fresno"/>
  </r>
  <r>
    <x v="57"/>
    <x v="0"/>
    <n v="9.48"/>
    <n v="2035"/>
    <s v="Fresno"/>
  </r>
  <r>
    <x v="58"/>
    <x v="0"/>
    <n v="5.48"/>
    <n v="2035"/>
    <s v="Fresno"/>
  </r>
  <r>
    <x v="59"/>
    <x v="0"/>
    <n v="3.39"/>
    <n v="2035"/>
    <s v="Fresno"/>
  </r>
  <r>
    <x v="60"/>
    <x v="0"/>
    <n v="6.15"/>
    <n v="2035"/>
    <s v="Fresno"/>
  </r>
  <r>
    <x v="61"/>
    <x v="0"/>
    <n v="5.61"/>
    <n v="2035"/>
    <s v="Fresno"/>
  </r>
  <r>
    <x v="62"/>
    <x v="0"/>
    <n v="2.34"/>
    <n v="2035"/>
    <s v="Fresno"/>
  </r>
  <r>
    <x v="63"/>
    <x v="0"/>
    <n v="12.95"/>
    <n v="2035"/>
    <s v="Fresno"/>
  </r>
  <r>
    <x v="64"/>
    <x v="0"/>
    <n v="11.1"/>
    <n v="2035"/>
    <s v="Fresno"/>
  </r>
  <r>
    <x v="65"/>
    <x v="0"/>
    <n v="9.42"/>
    <n v="2035"/>
    <s v="Fresno"/>
  </r>
  <r>
    <x v="66"/>
    <x v="0"/>
    <n v="9.52"/>
    <n v="2035"/>
    <s v="Fresno"/>
  </r>
  <r>
    <x v="67"/>
    <x v="0"/>
    <n v="7.87"/>
    <n v="2035"/>
    <s v="Fresno"/>
  </r>
  <r>
    <x v="68"/>
    <x v="0"/>
    <n v="5.86"/>
    <n v="2035"/>
    <s v="Fresno"/>
  </r>
  <r>
    <x v="69"/>
    <x v="0"/>
    <n v="9.1"/>
    <n v="2035"/>
    <s v="Fresno"/>
  </r>
  <r>
    <x v="70"/>
    <x v="0"/>
    <n v="11.15"/>
    <n v="2035"/>
    <s v="Fresno"/>
  </r>
  <r>
    <x v="71"/>
    <x v="0"/>
    <n v="8.7799999999999994"/>
    <n v="2035"/>
    <s v="Fresno"/>
  </r>
  <r>
    <x v="72"/>
    <x v="0"/>
    <n v="8.2799999999999994"/>
    <n v="2035"/>
    <s v="Fresno"/>
  </r>
  <r>
    <x v="73"/>
    <x v="0"/>
    <n v="9.9700000000000006"/>
    <n v="2035"/>
    <s v="Fresno"/>
  </r>
  <r>
    <x v="74"/>
    <x v="0"/>
    <n v="8.5299999999999994"/>
    <n v="2035"/>
    <s v="Fresno"/>
  </r>
  <r>
    <x v="75"/>
    <x v="0"/>
    <n v="6.59"/>
    <n v="2035"/>
    <s v="Fresno"/>
  </r>
  <r>
    <x v="76"/>
    <x v="0"/>
    <n v="6.14"/>
    <n v="2035"/>
    <s v="Fresno"/>
  </r>
  <r>
    <x v="77"/>
    <x v="0"/>
    <n v="6.57"/>
    <n v="2035"/>
    <s v="Fresno"/>
  </r>
  <r>
    <x v="78"/>
    <x v="0"/>
    <n v="3.61"/>
    <n v="2035"/>
    <s v="Fresno"/>
  </r>
  <r>
    <x v="79"/>
    <x v="0"/>
    <n v="7.1"/>
    <n v="2035"/>
    <s v="Fresno"/>
  </r>
  <r>
    <x v="80"/>
    <x v="0"/>
    <n v="6.21"/>
    <n v="2035"/>
    <s v="Fresno"/>
  </r>
  <r>
    <x v="81"/>
    <x v="0"/>
    <n v="3.68"/>
    <n v="2035"/>
    <s v="Fresno"/>
  </r>
  <r>
    <x v="82"/>
    <x v="0"/>
    <n v="3.2"/>
    <n v="2035"/>
    <s v="Fresno"/>
  </r>
  <r>
    <x v="83"/>
    <x v="0"/>
    <n v="1.33"/>
    <n v="2035"/>
    <s v="Fresno"/>
  </r>
  <r>
    <x v="84"/>
    <x v="0"/>
    <n v="1.38"/>
    <n v="2035"/>
    <s v="Fresno"/>
  </r>
  <r>
    <x v="85"/>
    <x v="0"/>
    <n v="4.2"/>
    <n v="2035"/>
    <s v="Fresno"/>
  </r>
  <r>
    <x v="86"/>
    <x v="0"/>
    <n v="4.2699999999999996"/>
    <n v="2035"/>
    <s v="Fresno"/>
  </r>
  <r>
    <x v="87"/>
    <x v="0"/>
    <n v="1.88"/>
    <n v="2035"/>
    <s v="Fresno"/>
  </r>
  <r>
    <x v="88"/>
    <x v="0"/>
    <n v="0"/>
    <n v="2035"/>
    <s v="Fresno"/>
  </r>
  <r>
    <x v="89"/>
    <x v="0"/>
    <n v="1.21"/>
    <n v="2035"/>
    <s v="Fresno"/>
  </r>
  <r>
    <x v="90"/>
    <x v="0"/>
    <n v="2.13"/>
    <n v="2035"/>
    <s v="Fresno"/>
  </r>
  <r>
    <x v="91"/>
    <x v="0"/>
    <n v="1.03"/>
    <n v="2035"/>
    <s v="Fresno"/>
  </r>
  <r>
    <x v="92"/>
    <x v="0"/>
    <n v="0.64"/>
    <n v="2035"/>
    <s v="Fresno"/>
  </r>
  <r>
    <x v="93"/>
    <x v="0"/>
    <n v="1.25"/>
    <n v="2035"/>
    <s v="Fresno"/>
  </r>
  <r>
    <x v="94"/>
    <x v="0"/>
    <n v="1.47"/>
    <n v="2035"/>
    <s v="Fresno"/>
  </r>
  <r>
    <x v="95"/>
    <x v="0"/>
    <n v="0.75"/>
    <n v="2035"/>
    <s v="Fresno"/>
  </r>
  <r>
    <x v="96"/>
    <x v="0"/>
    <n v="0.63"/>
    <n v="2035"/>
    <s v="Fresno"/>
  </r>
  <r>
    <x v="97"/>
    <x v="0"/>
    <n v="0.41"/>
    <n v="2035"/>
    <s v="Fresno"/>
  </r>
  <r>
    <x v="98"/>
    <x v="0"/>
    <n v="0"/>
    <n v="2035"/>
    <s v="Fresno"/>
  </r>
  <r>
    <x v="99"/>
    <x v="0"/>
    <n v="0.06"/>
    <n v="2035"/>
    <s v="Fresno"/>
  </r>
  <r>
    <x v="100"/>
    <x v="0"/>
    <n v="7.0000000000000007E-2"/>
    <n v="2035"/>
    <s v="Fresno"/>
  </r>
  <r>
    <x v="0"/>
    <x v="1"/>
    <n v="11.43"/>
    <n v="2035"/>
    <s v="Fresno"/>
  </r>
  <r>
    <x v="1"/>
    <x v="1"/>
    <n v="11.22"/>
    <n v="2035"/>
    <s v="Fresno"/>
  </r>
  <r>
    <x v="2"/>
    <x v="1"/>
    <n v="11.07"/>
    <n v="2035"/>
    <s v="Fresno"/>
  </r>
  <r>
    <x v="3"/>
    <x v="1"/>
    <n v="10.88"/>
    <n v="2035"/>
    <s v="Fresno"/>
  </r>
  <r>
    <x v="4"/>
    <x v="1"/>
    <n v="11.11"/>
    <n v="2035"/>
    <s v="Fresno"/>
  </r>
  <r>
    <x v="5"/>
    <x v="1"/>
    <n v="11.25"/>
    <n v="2035"/>
    <s v="Fresno"/>
  </r>
  <r>
    <x v="6"/>
    <x v="1"/>
    <n v="11.36"/>
    <n v="2035"/>
    <s v="Fresno"/>
  </r>
  <r>
    <x v="7"/>
    <x v="1"/>
    <n v="11.28"/>
    <n v="2035"/>
    <s v="Fresno"/>
  </r>
  <r>
    <x v="8"/>
    <x v="1"/>
    <n v="11.51"/>
    <n v="2035"/>
    <s v="Fresno"/>
  </r>
  <r>
    <x v="9"/>
    <x v="1"/>
    <n v="11.74"/>
    <n v="2035"/>
    <s v="Fresno"/>
  </r>
  <r>
    <x v="10"/>
    <x v="1"/>
    <n v="12.33"/>
    <n v="2035"/>
    <s v="Fresno"/>
  </r>
  <r>
    <x v="11"/>
    <x v="1"/>
    <n v="12.54"/>
    <n v="2035"/>
    <s v="Fresno"/>
  </r>
  <r>
    <x v="12"/>
    <x v="1"/>
    <n v="12.78"/>
    <n v="2035"/>
    <s v="Fresno"/>
  </r>
  <r>
    <x v="13"/>
    <x v="1"/>
    <n v="12.75"/>
    <n v="2035"/>
    <s v="Fresno"/>
  </r>
  <r>
    <x v="14"/>
    <x v="1"/>
    <n v="13.04"/>
    <n v="2035"/>
    <s v="Fresno"/>
  </r>
  <r>
    <x v="15"/>
    <x v="1"/>
    <n v="13.33"/>
    <n v="2035"/>
    <s v="Fresno"/>
  </r>
  <r>
    <x v="16"/>
    <x v="1"/>
    <n v="13.72"/>
    <n v="2035"/>
    <s v="Fresno"/>
  </r>
  <r>
    <x v="17"/>
    <x v="1"/>
    <n v="13.9"/>
    <n v="2035"/>
    <s v="Fresno"/>
  </r>
  <r>
    <x v="18"/>
    <x v="1"/>
    <n v="17.68"/>
    <n v="2035"/>
    <s v="Fresno"/>
  </r>
  <r>
    <x v="19"/>
    <x v="1"/>
    <n v="20.58"/>
    <n v="2035"/>
    <s v="Fresno"/>
  </r>
  <r>
    <x v="20"/>
    <x v="1"/>
    <n v="20.97"/>
    <n v="2035"/>
    <s v="Fresno"/>
  </r>
  <r>
    <x v="21"/>
    <x v="1"/>
    <n v="17.79"/>
    <n v="2035"/>
    <s v="Fresno"/>
  </r>
  <r>
    <x v="22"/>
    <x v="1"/>
    <n v="17.55"/>
    <n v="2035"/>
    <s v="Fresno"/>
  </r>
  <r>
    <x v="23"/>
    <x v="1"/>
    <n v="14.16"/>
    <n v="2035"/>
    <s v="Fresno"/>
  </r>
  <r>
    <x v="24"/>
    <x v="1"/>
    <n v="7.5"/>
    <n v="2035"/>
    <s v="Fresno"/>
  </r>
  <r>
    <x v="25"/>
    <x v="1"/>
    <n v="10.199999999999999"/>
    <n v="2035"/>
    <s v="Fresno"/>
  </r>
  <r>
    <x v="26"/>
    <x v="1"/>
    <n v="9.2799999999999994"/>
    <n v="2035"/>
    <s v="Fresno"/>
  </r>
  <r>
    <x v="27"/>
    <x v="1"/>
    <n v="13.03"/>
    <n v="2035"/>
    <s v="Fresno"/>
  </r>
  <r>
    <x v="28"/>
    <x v="1"/>
    <n v="10.58"/>
    <n v="2035"/>
    <s v="Fresno"/>
  </r>
  <r>
    <x v="29"/>
    <x v="1"/>
    <n v="17.579999999999998"/>
    <n v="2035"/>
    <s v="Fresno"/>
  </r>
  <r>
    <x v="30"/>
    <x v="1"/>
    <n v="8.59"/>
    <n v="2035"/>
    <s v="Fresno"/>
  </r>
  <r>
    <x v="31"/>
    <x v="1"/>
    <n v="6.11"/>
    <n v="2035"/>
    <s v="Fresno"/>
  </r>
  <r>
    <x v="32"/>
    <x v="1"/>
    <n v="4.49"/>
    <n v="2035"/>
    <s v="Fresno"/>
  </r>
  <r>
    <x v="33"/>
    <x v="1"/>
    <n v="11.89"/>
    <n v="2035"/>
    <s v="Fresno"/>
  </r>
  <r>
    <x v="34"/>
    <x v="1"/>
    <n v="9.59"/>
    <n v="2035"/>
    <s v="Fresno"/>
  </r>
  <r>
    <x v="35"/>
    <x v="1"/>
    <n v="11.4"/>
    <n v="2035"/>
    <s v="Fresno"/>
  </r>
  <r>
    <x v="36"/>
    <x v="1"/>
    <n v="10.19"/>
    <n v="2035"/>
    <s v="Fresno"/>
  </r>
  <r>
    <x v="37"/>
    <x v="1"/>
    <n v="9.94"/>
    <n v="2035"/>
    <s v="Fresno"/>
  </r>
  <r>
    <x v="38"/>
    <x v="1"/>
    <n v="5.64"/>
    <n v="2035"/>
    <s v="Fresno"/>
  </r>
  <r>
    <x v="39"/>
    <x v="1"/>
    <n v="6.49"/>
    <n v="2035"/>
    <s v="Fresno"/>
  </r>
  <r>
    <x v="40"/>
    <x v="1"/>
    <n v="10.23"/>
    <n v="2035"/>
    <s v="Fresno"/>
  </r>
  <r>
    <x v="41"/>
    <x v="1"/>
    <n v="10.08"/>
    <n v="2035"/>
    <s v="Fresno"/>
  </r>
  <r>
    <x v="42"/>
    <x v="1"/>
    <n v="5.98"/>
    <n v="2035"/>
    <s v="Fresno"/>
  </r>
  <r>
    <x v="43"/>
    <x v="1"/>
    <n v="14.64"/>
    <n v="2035"/>
    <s v="Fresno"/>
  </r>
  <r>
    <x v="44"/>
    <x v="1"/>
    <n v="14.6"/>
    <n v="2035"/>
    <s v="Fresno"/>
  </r>
  <r>
    <x v="45"/>
    <x v="1"/>
    <n v="12.44"/>
    <n v="2035"/>
    <s v="Fresno"/>
  </r>
  <r>
    <x v="46"/>
    <x v="1"/>
    <n v="17.559999999999999"/>
    <n v="2035"/>
    <s v="Fresno"/>
  </r>
  <r>
    <x v="47"/>
    <x v="1"/>
    <n v="13.78"/>
    <n v="2035"/>
    <s v="Fresno"/>
  </r>
  <r>
    <x v="48"/>
    <x v="1"/>
    <n v="10.82"/>
    <n v="2035"/>
    <s v="Fresno"/>
  </r>
  <r>
    <x v="49"/>
    <x v="1"/>
    <n v="18.78"/>
    <n v="2035"/>
    <s v="Fresno"/>
  </r>
  <r>
    <x v="50"/>
    <x v="1"/>
    <n v="19.649999999999999"/>
    <n v="2035"/>
    <s v="Fresno"/>
  </r>
  <r>
    <x v="51"/>
    <x v="1"/>
    <n v="13.34"/>
    <n v="2035"/>
    <s v="Fresno"/>
  </r>
  <r>
    <x v="52"/>
    <x v="1"/>
    <n v="11.53"/>
    <n v="2035"/>
    <s v="Fresno"/>
  </r>
  <r>
    <x v="53"/>
    <x v="1"/>
    <n v="14.23"/>
    <n v="2035"/>
    <s v="Fresno"/>
  </r>
  <r>
    <x v="54"/>
    <x v="1"/>
    <n v="8.4"/>
    <n v="2035"/>
    <s v="Fresno"/>
  </r>
  <r>
    <x v="55"/>
    <x v="1"/>
    <n v="4.29"/>
    <n v="2035"/>
    <s v="Fresno"/>
  </r>
  <r>
    <x v="56"/>
    <x v="1"/>
    <n v="7.15"/>
    <n v="2035"/>
    <s v="Fresno"/>
  </r>
  <r>
    <x v="57"/>
    <x v="1"/>
    <n v="7.01"/>
    <n v="2035"/>
    <s v="Fresno"/>
  </r>
  <r>
    <x v="58"/>
    <x v="1"/>
    <n v="7.01"/>
    <n v="2035"/>
    <s v="Fresno"/>
  </r>
  <r>
    <x v="59"/>
    <x v="1"/>
    <n v="7"/>
    <n v="2035"/>
    <s v="Fresno"/>
  </r>
  <r>
    <x v="60"/>
    <x v="1"/>
    <n v="9.1300000000000008"/>
    <n v="2035"/>
    <s v="Fresno"/>
  </r>
  <r>
    <x v="61"/>
    <x v="1"/>
    <n v="5.47"/>
    <n v="2035"/>
    <s v="Fresno"/>
  </r>
  <r>
    <x v="62"/>
    <x v="1"/>
    <n v="5.55"/>
    <n v="2035"/>
    <s v="Fresno"/>
  </r>
  <r>
    <x v="63"/>
    <x v="1"/>
    <n v="4.79"/>
    <n v="2035"/>
    <s v="Fresno"/>
  </r>
  <r>
    <x v="64"/>
    <x v="1"/>
    <n v="3.36"/>
    <n v="2035"/>
    <s v="Fresno"/>
  </r>
  <r>
    <x v="65"/>
    <x v="1"/>
    <n v="7.25"/>
    <n v="2035"/>
    <s v="Fresno"/>
  </r>
  <r>
    <x v="66"/>
    <x v="1"/>
    <n v="5.93"/>
    <n v="2035"/>
    <s v="Fresno"/>
  </r>
  <r>
    <x v="67"/>
    <x v="1"/>
    <n v="3.7"/>
    <n v="2035"/>
    <s v="Fresno"/>
  </r>
  <r>
    <x v="68"/>
    <x v="1"/>
    <n v="3.62"/>
    <n v="2035"/>
    <s v="Fresno"/>
  </r>
  <r>
    <x v="69"/>
    <x v="1"/>
    <n v="4.41"/>
    <n v="2035"/>
    <s v="Fresno"/>
  </r>
  <r>
    <x v="70"/>
    <x v="1"/>
    <n v="4.93"/>
    <n v="2035"/>
    <s v="Fresno"/>
  </r>
  <r>
    <x v="71"/>
    <x v="1"/>
    <n v="1.82"/>
    <n v="2035"/>
    <s v="Fresno"/>
  </r>
  <r>
    <x v="72"/>
    <x v="1"/>
    <n v="4.5999999999999996"/>
    <n v="2035"/>
    <s v="Fresno"/>
  </r>
  <r>
    <x v="73"/>
    <x v="1"/>
    <n v="3.08"/>
    <n v="2035"/>
    <s v="Fresno"/>
  </r>
  <r>
    <x v="74"/>
    <x v="1"/>
    <n v="2.69"/>
    <n v="2035"/>
    <s v="Fresno"/>
  </r>
  <r>
    <x v="75"/>
    <x v="1"/>
    <n v="2.48"/>
    <n v="2035"/>
    <s v="Fresno"/>
  </r>
  <r>
    <x v="76"/>
    <x v="1"/>
    <n v="3.04"/>
    <n v="2035"/>
    <s v="Fresno"/>
  </r>
  <r>
    <x v="77"/>
    <x v="1"/>
    <n v="2.16"/>
    <n v="2035"/>
    <s v="Fresno"/>
  </r>
  <r>
    <x v="78"/>
    <x v="1"/>
    <n v="0.85"/>
    <n v="2035"/>
    <s v="Fresno"/>
  </r>
  <r>
    <x v="79"/>
    <x v="1"/>
    <n v="1.04"/>
    <n v="2035"/>
    <s v="Fresno"/>
  </r>
  <r>
    <x v="80"/>
    <x v="1"/>
    <n v="1.07"/>
    <n v="2035"/>
    <s v="Fresno"/>
  </r>
  <r>
    <x v="81"/>
    <x v="1"/>
    <n v="0.42"/>
    <n v="2035"/>
    <s v="Fresno"/>
  </r>
  <r>
    <x v="82"/>
    <x v="1"/>
    <n v="0.87"/>
    <n v="2035"/>
    <s v="Fresno"/>
  </r>
  <r>
    <x v="83"/>
    <x v="1"/>
    <n v="1.94"/>
    <n v="2035"/>
    <s v="Fresno"/>
  </r>
  <r>
    <x v="84"/>
    <x v="1"/>
    <n v="2.31"/>
    <n v="2035"/>
    <s v="Fresno"/>
  </r>
  <r>
    <x v="85"/>
    <x v="1"/>
    <n v="1.08"/>
    <n v="2035"/>
    <s v="Fresno"/>
  </r>
  <r>
    <x v="86"/>
    <x v="1"/>
    <n v="1.4"/>
    <n v="2035"/>
    <s v="Fresno"/>
  </r>
  <r>
    <x v="87"/>
    <x v="1"/>
    <n v="0.56000000000000005"/>
    <n v="2035"/>
    <s v="Fresno"/>
  </r>
  <r>
    <x v="88"/>
    <x v="1"/>
    <n v="0.62"/>
    <n v="2035"/>
    <s v="Fresno"/>
  </r>
  <r>
    <x v="89"/>
    <x v="1"/>
    <n v="0.74"/>
    <n v="2035"/>
    <s v="Fresno"/>
  </r>
  <r>
    <x v="90"/>
    <x v="1"/>
    <n v="1.28"/>
    <n v="2035"/>
    <s v="Fresno"/>
  </r>
  <r>
    <x v="91"/>
    <x v="1"/>
    <n v="0.87"/>
    <n v="2035"/>
    <s v="Fresno"/>
  </r>
  <r>
    <x v="92"/>
    <x v="1"/>
    <n v="0.4"/>
    <n v="2035"/>
    <s v="Fresno"/>
  </r>
  <r>
    <x v="93"/>
    <x v="1"/>
    <n v="0.28999999999999998"/>
    <n v="2035"/>
    <s v="Fresno"/>
  </r>
  <r>
    <x v="94"/>
    <x v="1"/>
    <n v="0.51"/>
    <n v="2035"/>
    <s v="Fresno"/>
  </r>
  <r>
    <x v="95"/>
    <x v="1"/>
    <n v="0"/>
    <n v="2035"/>
    <s v="Fresno"/>
  </r>
  <r>
    <x v="96"/>
    <x v="1"/>
    <n v="0.62"/>
    <n v="2035"/>
    <s v="Fresno"/>
  </r>
  <r>
    <x v="97"/>
    <x v="1"/>
    <n v="0.37"/>
    <n v="2035"/>
    <s v="Fresno"/>
  </r>
  <r>
    <x v="98"/>
    <x v="1"/>
    <n v="0"/>
    <n v="2035"/>
    <s v="Fresno"/>
  </r>
  <r>
    <x v="99"/>
    <x v="1"/>
    <n v="0.15"/>
    <n v="2035"/>
    <s v="Fresno"/>
  </r>
  <r>
    <x v="100"/>
    <x v="1"/>
    <n v="0"/>
    <n v="2035"/>
    <s v="Fresno"/>
  </r>
  <r>
    <x v="0"/>
    <x v="0"/>
    <n v="6000.57"/>
    <n v="2035"/>
    <s v="Fresno"/>
  </r>
  <r>
    <x v="1"/>
    <x v="0"/>
    <n v="5996.74"/>
    <n v="2035"/>
    <s v="Fresno"/>
  </r>
  <r>
    <x v="2"/>
    <x v="0"/>
    <n v="6001.12"/>
    <n v="2035"/>
    <s v="Fresno"/>
  </r>
  <r>
    <x v="3"/>
    <x v="0"/>
    <n v="6003.14"/>
    <n v="2035"/>
    <s v="Fresno"/>
  </r>
  <r>
    <x v="4"/>
    <x v="0"/>
    <n v="5999.25"/>
    <n v="2035"/>
    <s v="Fresno"/>
  </r>
  <r>
    <x v="5"/>
    <x v="0"/>
    <n v="5982.82"/>
    <n v="2035"/>
    <s v="Fresno"/>
  </r>
  <r>
    <x v="6"/>
    <x v="0"/>
    <n v="5960.24"/>
    <n v="2035"/>
    <s v="Fresno"/>
  </r>
  <r>
    <x v="7"/>
    <x v="0"/>
    <n v="5919.88"/>
    <n v="2035"/>
    <s v="Fresno"/>
  </r>
  <r>
    <x v="8"/>
    <x v="0"/>
    <n v="5877.53"/>
    <n v="2035"/>
    <s v="Fresno"/>
  </r>
  <r>
    <x v="9"/>
    <x v="0"/>
    <n v="5841.69"/>
    <n v="2035"/>
    <s v="Fresno"/>
  </r>
  <r>
    <x v="10"/>
    <x v="0"/>
    <n v="5804.28"/>
    <n v="2035"/>
    <s v="Fresno"/>
  </r>
  <r>
    <x v="11"/>
    <x v="0"/>
    <n v="5771.84"/>
    <n v="2035"/>
    <s v="Fresno"/>
  </r>
  <r>
    <x v="12"/>
    <x v="0"/>
    <n v="5742.56"/>
    <n v="2035"/>
    <s v="Fresno"/>
  </r>
  <r>
    <x v="13"/>
    <x v="0"/>
    <n v="5718.85"/>
    <n v="2035"/>
    <s v="Fresno"/>
  </r>
  <r>
    <x v="14"/>
    <x v="0"/>
    <n v="5696.68"/>
    <n v="2035"/>
    <s v="Fresno"/>
  </r>
  <r>
    <x v="15"/>
    <x v="0"/>
    <n v="5674.64"/>
    <n v="2035"/>
    <s v="Fresno"/>
  </r>
  <r>
    <x v="16"/>
    <x v="0"/>
    <n v="5642.07"/>
    <n v="2035"/>
    <s v="Fresno"/>
  </r>
  <r>
    <x v="17"/>
    <x v="0"/>
    <n v="6056.86"/>
    <n v="2035"/>
    <s v="Fresno"/>
  </r>
  <r>
    <x v="18"/>
    <x v="0"/>
    <n v="6017.33"/>
    <n v="2035"/>
    <s v="Fresno"/>
  </r>
  <r>
    <x v="19"/>
    <x v="0"/>
    <n v="5782.5"/>
    <n v="2035"/>
    <s v="Fresno"/>
  </r>
  <r>
    <x v="20"/>
    <x v="0"/>
    <n v="5565.87"/>
    <n v="2035"/>
    <s v="Fresno"/>
  </r>
  <r>
    <x v="21"/>
    <x v="0"/>
    <n v="5487.27"/>
    <n v="2035"/>
    <s v="Fresno"/>
  </r>
  <r>
    <x v="22"/>
    <x v="0"/>
    <n v="5430.52"/>
    <n v="2035"/>
    <s v="Fresno"/>
  </r>
  <r>
    <x v="23"/>
    <x v="0"/>
    <n v="5333.63"/>
    <n v="2035"/>
    <s v="Fresno"/>
  </r>
  <r>
    <x v="24"/>
    <x v="0"/>
    <n v="5365.53"/>
    <n v="2035"/>
    <s v="Fresno"/>
  </r>
  <r>
    <x v="25"/>
    <x v="0"/>
    <n v="5607.95"/>
    <n v="2035"/>
    <s v="Fresno"/>
  </r>
  <r>
    <x v="26"/>
    <x v="0"/>
    <n v="5747.99"/>
    <n v="2035"/>
    <s v="Fresno"/>
  </r>
  <r>
    <x v="27"/>
    <x v="0"/>
    <n v="5978.78"/>
    <n v="2035"/>
    <s v="Fresno"/>
  </r>
  <r>
    <x v="28"/>
    <x v="0"/>
    <n v="6028.06"/>
    <n v="2035"/>
    <s v="Fresno"/>
  </r>
  <r>
    <x v="29"/>
    <x v="0"/>
    <n v="5869.5"/>
    <n v="2035"/>
    <s v="Fresno"/>
  </r>
  <r>
    <x v="30"/>
    <x v="0"/>
    <n v="5895.88"/>
    <n v="2035"/>
    <s v="Fresno"/>
  </r>
  <r>
    <x v="31"/>
    <x v="0"/>
    <n v="5793.52"/>
    <n v="2035"/>
    <s v="Fresno"/>
  </r>
  <r>
    <x v="32"/>
    <x v="0"/>
    <n v="5656.84"/>
    <n v="2035"/>
    <s v="Fresno"/>
  </r>
  <r>
    <x v="33"/>
    <x v="0"/>
    <n v="5573.26"/>
    <n v="2035"/>
    <s v="Fresno"/>
  </r>
  <r>
    <x v="34"/>
    <x v="0"/>
    <n v="5553.32"/>
    <n v="2035"/>
    <s v="Fresno"/>
  </r>
  <r>
    <x v="35"/>
    <x v="0"/>
    <n v="5497.03"/>
    <n v="2035"/>
    <s v="Fresno"/>
  </r>
  <r>
    <x v="36"/>
    <x v="0"/>
    <n v="5404.38"/>
    <n v="2035"/>
    <s v="Fresno"/>
  </r>
  <r>
    <x v="37"/>
    <x v="0"/>
    <n v="5270.11"/>
    <n v="2035"/>
    <s v="Fresno"/>
  </r>
  <r>
    <x v="38"/>
    <x v="0"/>
    <n v="5316.05"/>
    <n v="2035"/>
    <s v="Fresno"/>
  </r>
  <r>
    <x v="39"/>
    <x v="0"/>
    <n v="5254.8"/>
    <n v="2035"/>
    <s v="Fresno"/>
  </r>
  <r>
    <x v="40"/>
    <x v="0"/>
    <n v="5205.84"/>
    <n v="2035"/>
    <s v="Fresno"/>
  </r>
  <r>
    <x v="41"/>
    <x v="0"/>
    <n v="5344.9"/>
    <n v="2035"/>
    <s v="Fresno"/>
  </r>
  <r>
    <x v="42"/>
    <x v="0"/>
    <n v="5015.0600000000004"/>
    <n v="2035"/>
    <s v="Fresno"/>
  </r>
  <r>
    <x v="43"/>
    <x v="0"/>
    <n v="4917.51"/>
    <n v="2035"/>
    <s v="Fresno"/>
  </r>
  <r>
    <x v="44"/>
    <x v="0"/>
    <n v="4883.91"/>
    <n v="2035"/>
    <s v="Fresno"/>
  </r>
  <r>
    <x v="45"/>
    <x v="0"/>
    <n v="4758.9799999999996"/>
    <n v="2035"/>
    <s v="Fresno"/>
  </r>
  <r>
    <x v="46"/>
    <x v="0"/>
    <n v="4565.53"/>
    <n v="2035"/>
    <s v="Fresno"/>
  </r>
  <r>
    <x v="47"/>
    <x v="0"/>
    <n v="4422.96"/>
    <n v="2035"/>
    <s v="Fresno"/>
  </r>
  <r>
    <x v="48"/>
    <x v="0"/>
    <n v="4398"/>
    <n v="2035"/>
    <s v="Fresno"/>
  </r>
  <r>
    <x v="49"/>
    <x v="0"/>
    <n v="4334.09"/>
    <n v="2035"/>
    <s v="Fresno"/>
  </r>
  <r>
    <x v="50"/>
    <x v="0"/>
    <n v="4249.6000000000004"/>
    <n v="2035"/>
    <s v="Fresno"/>
  </r>
  <r>
    <x v="51"/>
    <x v="0"/>
    <n v="4035.12"/>
    <n v="2035"/>
    <s v="Fresno"/>
  </r>
  <r>
    <x v="52"/>
    <x v="0"/>
    <n v="4127.84"/>
    <n v="2035"/>
    <s v="Fresno"/>
  </r>
  <r>
    <x v="53"/>
    <x v="0"/>
    <n v="4103.59"/>
    <n v="2035"/>
    <s v="Fresno"/>
  </r>
  <r>
    <x v="54"/>
    <x v="0"/>
    <n v="3983.43"/>
    <n v="2035"/>
    <s v="Fresno"/>
  </r>
  <r>
    <x v="55"/>
    <x v="0"/>
    <n v="3916.93"/>
    <n v="2035"/>
    <s v="Fresno"/>
  </r>
  <r>
    <x v="56"/>
    <x v="0"/>
    <n v="3700.15"/>
    <n v="2035"/>
    <s v="Fresno"/>
  </r>
  <r>
    <x v="57"/>
    <x v="0"/>
    <n v="3686.51"/>
    <n v="2035"/>
    <s v="Fresno"/>
  </r>
  <r>
    <x v="58"/>
    <x v="0"/>
    <n v="3585.49"/>
    <n v="2035"/>
    <s v="Fresno"/>
  </r>
  <r>
    <x v="59"/>
    <x v="0"/>
    <n v="3406.99"/>
    <n v="2035"/>
    <s v="Fresno"/>
  </r>
  <r>
    <x v="60"/>
    <x v="0"/>
    <n v="3465.48"/>
    <n v="2035"/>
    <s v="Fresno"/>
  </r>
  <r>
    <x v="61"/>
    <x v="0"/>
    <n v="3246.11"/>
    <n v="2035"/>
    <s v="Fresno"/>
  </r>
  <r>
    <x v="62"/>
    <x v="0"/>
    <n v="3219.97"/>
    <n v="2035"/>
    <s v="Fresno"/>
  </r>
  <r>
    <x v="63"/>
    <x v="0"/>
    <n v="3182.86"/>
    <n v="2035"/>
    <s v="Fresno"/>
  </r>
  <r>
    <x v="64"/>
    <x v="0"/>
    <n v="3151.29"/>
    <n v="2035"/>
    <s v="Fresno"/>
  </r>
  <r>
    <x v="65"/>
    <x v="0"/>
    <n v="2996.75"/>
    <n v="2035"/>
    <s v="Fresno"/>
  </r>
  <r>
    <x v="66"/>
    <x v="0"/>
    <n v="2739.53"/>
    <n v="2035"/>
    <s v="Fresno"/>
  </r>
  <r>
    <x v="67"/>
    <x v="0"/>
    <n v="2762.42"/>
    <n v="2035"/>
    <s v="Fresno"/>
  </r>
  <r>
    <x v="68"/>
    <x v="0"/>
    <n v="2706.27"/>
    <n v="2035"/>
    <s v="Fresno"/>
  </r>
  <r>
    <x v="69"/>
    <x v="0"/>
    <n v="2673.84"/>
    <n v="2035"/>
    <s v="Fresno"/>
  </r>
  <r>
    <x v="70"/>
    <x v="0"/>
    <n v="2643.04"/>
    <n v="2035"/>
    <s v="Fresno"/>
  </r>
  <r>
    <x v="71"/>
    <x v="0"/>
    <n v="2605.08"/>
    <n v="2035"/>
    <s v="Fresno"/>
  </r>
  <r>
    <x v="72"/>
    <x v="0"/>
    <n v="2476.89"/>
    <n v="2035"/>
    <s v="Fresno"/>
  </r>
  <r>
    <x v="73"/>
    <x v="0"/>
    <n v="2316.2399999999998"/>
    <n v="2035"/>
    <s v="Fresno"/>
  </r>
  <r>
    <x v="74"/>
    <x v="0"/>
    <n v="2234.6"/>
    <n v="2035"/>
    <s v="Fresno"/>
  </r>
  <r>
    <x v="75"/>
    <x v="0"/>
    <n v="2141.06"/>
    <n v="2035"/>
    <s v="Fresno"/>
  </r>
  <r>
    <x v="76"/>
    <x v="0"/>
    <n v="2001.37"/>
    <n v="2035"/>
    <s v="Fresno"/>
  </r>
  <r>
    <x v="77"/>
    <x v="0"/>
    <n v="1933.6"/>
    <n v="2035"/>
    <s v="Fresno"/>
  </r>
  <r>
    <x v="78"/>
    <x v="0"/>
    <n v="1804.24"/>
    <n v="2035"/>
    <s v="Fresno"/>
  </r>
  <r>
    <x v="79"/>
    <x v="0"/>
    <n v="1718.48"/>
    <n v="2035"/>
    <s v="Fresno"/>
  </r>
  <r>
    <x v="80"/>
    <x v="0"/>
    <n v="1641.03"/>
    <n v="2035"/>
    <s v="Fresno"/>
  </r>
  <r>
    <x v="81"/>
    <x v="0"/>
    <n v="1437.97"/>
    <n v="2035"/>
    <s v="Fresno"/>
  </r>
  <r>
    <x v="82"/>
    <x v="0"/>
    <n v="1305.0899999999999"/>
    <n v="2035"/>
    <s v="Fresno"/>
  </r>
  <r>
    <x v="83"/>
    <x v="0"/>
    <n v="1217.49"/>
    <n v="2035"/>
    <s v="Fresno"/>
  </r>
  <r>
    <x v="84"/>
    <x v="0"/>
    <n v="1120.83"/>
    <n v="2035"/>
    <s v="Fresno"/>
  </r>
  <r>
    <x v="85"/>
    <x v="0"/>
    <n v="1019.74"/>
    <n v="2035"/>
    <s v="Fresno"/>
  </r>
  <r>
    <x v="86"/>
    <x v="0"/>
    <n v="883.81"/>
    <n v="2035"/>
    <s v="Fresno"/>
  </r>
  <r>
    <x v="87"/>
    <x v="0"/>
    <n v="795.58"/>
    <n v="2035"/>
    <s v="Fresno"/>
  </r>
  <r>
    <x v="88"/>
    <x v="0"/>
    <n v="660.17"/>
    <n v="2035"/>
    <s v="Fresno"/>
  </r>
  <r>
    <x v="89"/>
    <x v="0"/>
    <n v="567.71"/>
    <n v="2035"/>
    <s v="Fresno"/>
  </r>
  <r>
    <x v="90"/>
    <x v="0"/>
    <n v="521.84"/>
    <n v="2035"/>
    <s v="Fresno"/>
  </r>
  <r>
    <x v="91"/>
    <x v="0"/>
    <n v="442.95"/>
    <n v="2035"/>
    <s v="Fresno"/>
  </r>
  <r>
    <x v="92"/>
    <x v="0"/>
    <n v="353.02"/>
    <n v="2035"/>
    <s v="Fresno"/>
  </r>
  <r>
    <x v="93"/>
    <x v="0"/>
    <n v="304.54000000000002"/>
    <n v="2035"/>
    <s v="Fresno"/>
  </r>
  <r>
    <x v="94"/>
    <x v="0"/>
    <n v="265.01"/>
    <n v="2035"/>
    <s v="Fresno"/>
  </r>
  <r>
    <x v="95"/>
    <x v="0"/>
    <n v="213.37"/>
    <n v="2035"/>
    <s v="Fresno"/>
  </r>
  <r>
    <x v="96"/>
    <x v="0"/>
    <n v="172.01"/>
    <n v="2035"/>
    <s v="Fresno"/>
  </r>
  <r>
    <x v="97"/>
    <x v="0"/>
    <n v="143.59"/>
    <n v="2035"/>
    <s v="Fresno"/>
  </r>
  <r>
    <x v="98"/>
    <x v="0"/>
    <n v="116.23"/>
    <n v="2035"/>
    <s v="Fresno"/>
  </r>
  <r>
    <x v="99"/>
    <x v="0"/>
    <n v="93.1"/>
    <n v="2035"/>
    <s v="Fresno"/>
  </r>
  <r>
    <x v="100"/>
    <x v="0"/>
    <n v="75.150000000000006"/>
    <n v="2035"/>
    <s v="Fresno"/>
  </r>
  <r>
    <x v="0"/>
    <x v="1"/>
    <n v="6497.68"/>
    <n v="2035"/>
    <s v="Fresno"/>
  </r>
  <r>
    <x v="1"/>
    <x v="1"/>
    <n v="6485.12"/>
    <n v="2035"/>
    <s v="Fresno"/>
  </r>
  <r>
    <x v="2"/>
    <x v="1"/>
    <n v="6492.97"/>
    <n v="2035"/>
    <s v="Fresno"/>
  </r>
  <r>
    <x v="3"/>
    <x v="1"/>
    <n v="6499.99"/>
    <n v="2035"/>
    <s v="Fresno"/>
  </r>
  <r>
    <x v="4"/>
    <x v="1"/>
    <n v="6501.03"/>
    <n v="2035"/>
    <s v="Fresno"/>
  </r>
  <r>
    <x v="5"/>
    <x v="1"/>
    <n v="6487.91"/>
    <n v="2035"/>
    <s v="Fresno"/>
  </r>
  <r>
    <x v="6"/>
    <x v="1"/>
    <n v="6470.15"/>
    <n v="2035"/>
    <s v="Fresno"/>
  </r>
  <r>
    <x v="7"/>
    <x v="1"/>
    <n v="6433.92"/>
    <n v="2035"/>
    <s v="Fresno"/>
  </r>
  <r>
    <x v="8"/>
    <x v="1"/>
    <n v="6394.18"/>
    <n v="2035"/>
    <s v="Fresno"/>
  </r>
  <r>
    <x v="9"/>
    <x v="1"/>
    <n v="6361.23"/>
    <n v="2035"/>
    <s v="Fresno"/>
  </r>
  <r>
    <x v="10"/>
    <x v="1"/>
    <n v="6323.22"/>
    <n v="2035"/>
    <s v="Fresno"/>
  </r>
  <r>
    <x v="11"/>
    <x v="1"/>
    <n v="6292.69"/>
    <n v="2035"/>
    <s v="Fresno"/>
  </r>
  <r>
    <x v="12"/>
    <x v="1"/>
    <n v="6267.16"/>
    <n v="2035"/>
    <s v="Fresno"/>
  </r>
  <r>
    <x v="13"/>
    <x v="1"/>
    <n v="6250.44"/>
    <n v="2035"/>
    <s v="Fresno"/>
  </r>
  <r>
    <x v="14"/>
    <x v="1"/>
    <n v="6236.58"/>
    <n v="2035"/>
    <s v="Fresno"/>
  </r>
  <r>
    <x v="15"/>
    <x v="1"/>
    <n v="6224.27"/>
    <n v="2035"/>
    <s v="Fresno"/>
  </r>
  <r>
    <x v="16"/>
    <x v="1"/>
    <n v="6199.72"/>
    <n v="2035"/>
    <s v="Fresno"/>
  </r>
  <r>
    <x v="17"/>
    <x v="1"/>
    <n v="6178.24"/>
    <n v="2035"/>
    <s v="Fresno"/>
  </r>
  <r>
    <x v="18"/>
    <x v="1"/>
    <n v="6917.46"/>
    <n v="2035"/>
    <s v="Fresno"/>
  </r>
  <r>
    <x v="19"/>
    <x v="1"/>
    <n v="6608.61"/>
    <n v="2035"/>
    <s v="Fresno"/>
  </r>
  <r>
    <x v="20"/>
    <x v="1"/>
    <n v="6310.07"/>
    <n v="2035"/>
    <s v="Fresno"/>
  </r>
  <r>
    <x v="21"/>
    <x v="1"/>
    <n v="6037.21"/>
    <n v="2035"/>
    <s v="Fresno"/>
  </r>
  <r>
    <x v="22"/>
    <x v="1"/>
    <n v="5969.21"/>
    <n v="2035"/>
    <s v="Fresno"/>
  </r>
  <r>
    <x v="23"/>
    <x v="1"/>
    <n v="5899.99"/>
    <n v="2035"/>
    <s v="Fresno"/>
  </r>
  <r>
    <x v="24"/>
    <x v="1"/>
    <n v="5905.82"/>
    <n v="2035"/>
    <s v="Fresno"/>
  </r>
  <r>
    <x v="25"/>
    <x v="1"/>
    <n v="5659.66"/>
    <n v="2035"/>
    <s v="Fresno"/>
  </r>
  <r>
    <x v="26"/>
    <x v="1"/>
    <n v="5807.84"/>
    <n v="2035"/>
    <s v="Fresno"/>
  </r>
  <r>
    <x v="27"/>
    <x v="1"/>
    <n v="6192.91"/>
    <n v="2035"/>
    <s v="Fresno"/>
  </r>
  <r>
    <x v="28"/>
    <x v="1"/>
    <n v="6211.93"/>
    <n v="2035"/>
    <s v="Fresno"/>
  </r>
  <r>
    <x v="29"/>
    <x v="1"/>
    <n v="6014.96"/>
    <n v="2035"/>
    <s v="Fresno"/>
  </r>
  <r>
    <x v="30"/>
    <x v="1"/>
    <n v="5832.29"/>
    <n v="2035"/>
    <s v="Fresno"/>
  </r>
  <r>
    <x v="31"/>
    <x v="1"/>
    <n v="5737.3"/>
    <n v="2035"/>
    <s v="Fresno"/>
  </r>
  <r>
    <x v="32"/>
    <x v="1"/>
    <n v="5607.56"/>
    <n v="2035"/>
    <s v="Fresno"/>
  </r>
  <r>
    <x v="33"/>
    <x v="1"/>
    <n v="5333.49"/>
    <n v="2035"/>
    <s v="Fresno"/>
  </r>
  <r>
    <x v="34"/>
    <x v="1"/>
    <n v="5324.45"/>
    <n v="2035"/>
    <s v="Fresno"/>
  </r>
  <r>
    <x v="35"/>
    <x v="1"/>
    <n v="5287.32"/>
    <n v="2035"/>
    <s v="Fresno"/>
  </r>
  <r>
    <x v="36"/>
    <x v="1"/>
    <n v="5147.1499999999996"/>
    <n v="2035"/>
    <s v="Fresno"/>
  </r>
  <r>
    <x v="37"/>
    <x v="1"/>
    <n v="5093.3599999999997"/>
    <n v="2035"/>
    <s v="Fresno"/>
  </r>
  <r>
    <x v="38"/>
    <x v="1"/>
    <n v="4891.03"/>
    <n v="2035"/>
    <s v="Fresno"/>
  </r>
  <r>
    <x v="39"/>
    <x v="1"/>
    <n v="4748.6099999999997"/>
    <n v="2035"/>
    <s v="Fresno"/>
  </r>
  <r>
    <x v="40"/>
    <x v="1"/>
    <n v="4825.49"/>
    <n v="2035"/>
    <s v="Fresno"/>
  </r>
  <r>
    <x v="41"/>
    <x v="1"/>
    <n v="4930.32"/>
    <n v="2035"/>
    <s v="Fresno"/>
  </r>
  <r>
    <x v="42"/>
    <x v="1"/>
    <n v="4983.82"/>
    <n v="2035"/>
    <s v="Fresno"/>
  </r>
  <r>
    <x v="43"/>
    <x v="1"/>
    <n v="4424.8"/>
    <n v="2035"/>
    <s v="Fresno"/>
  </r>
  <r>
    <x v="44"/>
    <x v="1"/>
    <n v="4382.99"/>
    <n v="2035"/>
    <s v="Fresno"/>
  </r>
  <r>
    <x v="45"/>
    <x v="1"/>
    <n v="4313.5200000000004"/>
    <n v="2035"/>
    <s v="Fresno"/>
  </r>
  <r>
    <x v="46"/>
    <x v="1"/>
    <n v="4170.16"/>
    <n v="2035"/>
    <s v="Fresno"/>
  </r>
  <r>
    <x v="47"/>
    <x v="1"/>
    <n v="4188.29"/>
    <n v="2035"/>
    <s v="Fresno"/>
  </r>
  <r>
    <x v="48"/>
    <x v="1"/>
    <n v="4156.4399999999996"/>
    <n v="2035"/>
    <s v="Fresno"/>
  </r>
  <r>
    <x v="49"/>
    <x v="1"/>
    <n v="4215.71"/>
    <n v="2035"/>
    <s v="Fresno"/>
  </r>
  <r>
    <x v="50"/>
    <x v="1"/>
    <n v="4148.6400000000003"/>
    <n v="2035"/>
    <s v="Fresno"/>
  </r>
  <r>
    <x v="51"/>
    <x v="1"/>
    <n v="3902.77"/>
    <n v="2035"/>
    <s v="Fresno"/>
  </r>
  <r>
    <x v="52"/>
    <x v="1"/>
    <n v="3924.99"/>
    <n v="2035"/>
    <s v="Fresno"/>
  </r>
  <r>
    <x v="53"/>
    <x v="1"/>
    <n v="3752.58"/>
    <n v="2035"/>
    <s v="Fresno"/>
  </r>
  <r>
    <x v="54"/>
    <x v="1"/>
    <n v="3766.19"/>
    <n v="2035"/>
    <s v="Fresno"/>
  </r>
  <r>
    <x v="55"/>
    <x v="1"/>
    <n v="3737.89"/>
    <n v="2035"/>
    <s v="Fresno"/>
  </r>
  <r>
    <x v="56"/>
    <x v="1"/>
    <n v="3446.59"/>
    <n v="2035"/>
    <s v="Fresno"/>
  </r>
  <r>
    <x v="57"/>
    <x v="1"/>
    <n v="3392.21"/>
    <n v="2035"/>
    <s v="Fresno"/>
  </r>
  <r>
    <x v="58"/>
    <x v="1"/>
    <n v="3297.34"/>
    <n v="2035"/>
    <s v="Fresno"/>
  </r>
  <r>
    <x v="59"/>
    <x v="1"/>
    <n v="3320.48"/>
    <n v="2035"/>
    <s v="Fresno"/>
  </r>
  <r>
    <x v="60"/>
    <x v="1"/>
    <n v="3239.98"/>
    <n v="2035"/>
    <s v="Fresno"/>
  </r>
  <r>
    <x v="61"/>
    <x v="1"/>
    <n v="3047.62"/>
    <n v="2035"/>
    <s v="Fresno"/>
  </r>
  <r>
    <x v="62"/>
    <x v="1"/>
    <n v="2916.27"/>
    <n v="2035"/>
    <s v="Fresno"/>
  </r>
  <r>
    <x v="63"/>
    <x v="1"/>
    <n v="2820.21"/>
    <n v="2035"/>
    <s v="Fresno"/>
  </r>
  <r>
    <x v="64"/>
    <x v="1"/>
    <n v="2870.59"/>
    <n v="2035"/>
    <s v="Fresno"/>
  </r>
  <r>
    <x v="65"/>
    <x v="1"/>
    <n v="2876.93"/>
    <n v="2035"/>
    <s v="Fresno"/>
  </r>
  <r>
    <x v="66"/>
    <x v="1"/>
    <n v="2684"/>
    <n v="2035"/>
    <s v="Fresno"/>
  </r>
  <r>
    <x v="67"/>
    <x v="1"/>
    <n v="2593.96"/>
    <n v="2035"/>
    <s v="Fresno"/>
  </r>
  <r>
    <x v="68"/>
    <x v="1"/>
    <n v="2504.04"/>
    <n v="2035"/>
    <s v="Fresno"/>
  </r>
  <r>
    <x v="69"/>
    <x v="1"/>
    <n v="2515.9699999999998"/>
    <n v="2035"/>
    <s v="Fresno"/>
  </r>
  <r>
    <x v="70"/>
    <x v="1"/>
    <n v="2481.35"/>
    <n v="2035"/>
    <s v="Fresno"/>
  </r>
  <r>
    <x v="71"/>
    <x v="1"/>
    <n v="2375.69"/>
    <n v="2035"/>
    <s v="Fresno"/>
  </r>
  <r>
    <x v="72"/>
    <x v="1"/>
    <n v="2174.2399999999998"/>
    <n v="2035"/>
    <s v="Fresno"/>
  </r>
  <r>
    <x v="73"/>
    <x v="1"/>
    <n v="2085.16"/>
    <n v="2035"/>
    <s v="Fresno"/>
  </r>
  <r>
    <x v="74"/>
    <x v="1"/>
    <n v="1995.29"/>
    <n v="2035"/>
    <s v="Fresno"/>
  </r>
  <r>
    <x v="75"/>
    <x v="1"/>
    <n v="1958.68"/>
    <n v="2035"/>
    <s v="Fresno"/>
  </r>
  <r>
    <x v="76"/>
    <x v="1"/>
    <n v="1765.09"/>
    <n v="2035"/>
    <s v="Fresno"/>
  </r>
  <r>
    <x v="77"/>
    <x v="1"/>
    <n v="1657.4"/>
    <n v="2035"/>
    <s v="Fresno"/>
  </r>
  <r>
    <x v="78"/>
    <x v="1"/>
    <n v="1539.64"/>
    <n v="2035"/>
    <s v="Fresno"/>
  </r>
  <r>
    <x v="79"/>
    <x v="1"/>
    <n v="1413.46"/>
    <n v="2035"/>
    <s v="Fresno"/>
  </r>
  <r>
    <x v="80"/>
    <x v="1"/>
    <n v="1304.17"/>
    <n v="2035"/>
    <s v="Fresno"/>
  </r>
  <r>
    <x v="81"/>
    <x v="1"/>
    <n v="1166.51"/>
    <n v="2035"/>
    <s v="Fresno"/>
  </r>
  <r>
    <x v="82"/>
    <x v="1"/>
    <n v="1018.43"/>
    <n v="2035"/>
    <s v="Fresno"/>
  </r>
  <r>
    <x v="83"/>
    <x v="1"/>
    <n v="948.77"/>
    <n v="2035"/>
    <s v="Fresno"/>
  </r>
  <r>
    <x v="84"/>
    <x v="1"/>
    <n v="842.94"/>
    <n v="2035"/>
    <s v="Fresno"/>
  </r>
  <r>
    <x v="85"/>
    <x v="1"/>
    <n v="760.28"/>
    <n v="2035"/>
    <s v="Fresno"/>
  </r>
  <r>
    <x v="86"/>
    <x v="1"/>
    <n v="661.39"/>
    <n v="2035"/>
    <s v="Fresno"/>
  </r>
  <r>
    <x v="87"/>
    <x v="1"/>
    <n v="553.91999999999996"/>
    <n v="2035"/>
    <s v="Fresno"/>
  </r>
  <r>
    <x v="88"/>
    <x v="1"/>
    <n v="485.04"/>
    <n v="2035"/>
    <s v="Fresno"/>
  </r>
  <r>
    <x v="89"/>
    <x v="1"/>
    <n v="410.71"/>
    <n v="2035"/>
    <s v="Fresno"/>
  </r>
  <r>
    <x v="90"/>
    <x v="1"/>
    <n v="348.73"/>
    <n v="2035"/>
    <s v="Fresno"/>
  </r>
  <r>
    <x v="91"/>
    <x v="1"/>
    <n v="276.81"/>
    <n v="2035"/>
    <s v="Fresno"/>
  </r>
  <r>
    <x v="92"/>
    <x v="1"/>
    <n v="235.41"/>
    <n v="2035"/>
    <s v="Fresno"/>
  </r>
  <r>
    <x v="93"/>
    <x v="1"/>
    <n v="189.71"/>
    <n v="2035"/>
    <s v="Fresno"/>
  </r>
  <r>
    <x v="94"/>
    <x v="1"/>
    <n v="153.74"/>
    <n v="2035"/>
    <s v="Fresno"/>
  </r>
  <r>
    <x v="95"/>
    <x v="1"/>
    <n v="126.59"/>
    <n v="2035"/>
    <s v="Fresno"/>
  </r>
  <r>
    <x v="96"/>
    <x v="1"/>
    <n v="103.91"/>
    <n v="2035"/>
    <s v="Fresno"/>
  </r>
  <r>
    <x v="97"/>
    <x v="1"/>
    <n v="81.27"/>
    <n v="2035"/>
    <s v="Fresno"/>
  </r>
  <r>
    <x v="98"/>
    <x v="1"/>
    <n v="70.31"/>
    <n v="2035"/>
    <s v="Fresno"/>
  </r>
  <r>
    <x v="99"/>
    <x v="1"/>
    <n v="55.42"/>
    <n v="2035"/>
    <s v="Fresno"/>
  </r>
  <r>
    <x v="100"/>
    <x v="1"/>
    <n v="39.93"/>
    <n v="2035"/>
    <s v="Fresno"/>
  </r>
  <r>
    <x v="0"/>
    <x v="0"/>
    <n v="213.72"/>
    <n v="2035"/>
    <s v="Fresno"/>
  </r>
  <r>
    <x v="1"/>
    <x v="0"/>
    <n v="215.09"/>
    <n v="2035"/>
    <s v="Fresno"/>
  </r>
  <r>
    <x v="2"/>
    <x v="0"/>
    <n v="213.87"/>
    <n v="2035"/>
    <s v="Fresno"/>
  </r>
  <r>
    <x v="3"/>
    <x v="0"/>
    <n v="213.57"/>
    <n v="2035"/>
    <s v="Fresno"/>
  </r>
  <r>
    <x v="4"/>
    <x v="0"/>
    <n v="212.29"/>
    <n v="2035"/>
    <s v="Fresno"/>
  </r>
  <r>
    <x v="5"/>
    <x v="0"/>
    <n v="213.38"/>
    <n v="2035"/>
    <s v="Fresno"/>
  </r>
  <r>
    <x v="6"/>
    <x v="0"/>
    <n v="215.79"/>
    <n v="2035"/>
    <s v="Fresno"/>
  </r>
  <r>
    <x v="7"/>
    <x v="0"/>
    <n v="216.66"/>
    <n v="2035"/>
    <s v="Fresno"/>
  </r>
  <r>
    <x v="8"/>
    <x v="0"/>
    <n v="216.54"/>
    <n v="2035"/>
    <s v="Fresno"/>
  </r>
  <r>
    <x v="9"/>
    <x v="0"/>
    <n v="212.97"/>
    <n v="2035"/>
    <s v="Fresno"/>
  </r>
  <r>
    <x v="10"/>
    <x v="0"/>
    <n v="212.22"/>
    <n v="2035"/>
    <s v="Fresno"/>
  </r>
  <r>
    <x v="11"/>
    <x v="0"/>
    <n v="212.32"/>
    <n v="2035"/>
    <s v="Fresno"/>
  </r>
  <r>
    <x v="12"/>
    <x v="0"/>
    <n v="213.12"/>
    <n v="2035"/>
    <s v="Fresno"/>
  </r>
  <r>
    <x v="13"/>
    <x v="0"/>
    <n v="214.15"/>
    <n v="2035"/>
    <s v="Fresno"/>
  </r>
  <r>
    <x v="14"/>
    <x v="0"/>
    <n v="214.1"/>
    <n v="2035"/>
    <s v="Fresno"/>
  </r>
  <r>
    <x v="15"/>
    <x v="0"/>
    <n v="214.11"/>
    <n v="2035"/>
    <s v="Fresno"/>
  </r>
  <r>
    <x v="16"/>
    <x v="0"/>
    <n v="211.58"/>
    <n v="2035"/>
    <s v="Fresno"/>
  </r>
  <r>
    <x v="17"/>
    <x v="0"/>
    <n v="241.98"/>
    <n v="2035"/>
    <s v="Fresno"/>
  </r>
  <r>
    <x v="18"/>
    <x v="0"/>
    <n v="228.81"/>
    <n v="2035"/>
    <s v="Fresno"/>
  </r>
  <r>
    <x v="19"/>
    <x v="0"/>
    <n v="215.42"/>
    <n v="2035"/>
    <s v="Fresno"/>
  </r>
  <r>
    <x v="20"/>
    <x v="0"/>
    <n v="203.12"/>
    <n v="2035"/>
    <s v="Fresno"/>
  </r>
  <r>
    <x v="21"/>
    <x v="0"/>
    <n v="197.6"/>
    <n v="2035"/>
    <s v="Fresno"/>
  </r>
  <r>
    <x v="22"/>
    <x v="0"/>
    <n v="193.63"/>
    <n v="2035"/>
    <s v="Fresno"/>
  </r>
  <r>
    <x v="23"/>
    <x v="0"/>
    <n v="187.3"/>
    <n v="2035"/>
    <s v="Fresno"/>
  </r>
  <r>
    <x v="24"/>
    <x v="0"/>
    <n v="249.12"/>
    <n v="2035"/>
    <s v="Fresno"/>
  </r>
  <r>
    <x v="25"/>
    <x v="0"/>
    <n v="222.62"/>
    <n v="2035"/>
    <s v="Fresno"/>
  </r>
  <r>
    <x v="26"/>
    <x v="0"/>
    <n v="187.7"/>
    <n v="2035"/>
    <s v="Fresno"/>
  </r>
  <r>
    <x v="27"/>
    <x v="0"/>
    <n v="184.66"/>
    <n v="2035"/>
    <s v="Fresno"/>
  </r>
  <r>
    <x v="28"/>
    <x v="0"/>
    <n v="197.36"/>
    <n v="2035"/>
    <s v="Fresno"/>
  </r>
  <r>
    <x v="29"/>
    <x v="0"/>
    <n v="214.4"/>
    <n v="2035"/>
    <s v="Fresno"/>
  </r>
  <r>
    <x v="30"/>
    <x v="0"/>
    <n v="193.94"/>
    <n v="2035"/>
    <s v="Fresno"/>
  </r>
  <r>
    <x v="31"/>
    <x v="0"/>
    <n v="193.89"/>
    <n v="2035"/>
    <s v="Fresno"/>
  </r>
  <r>
    <x v="32"/>
    <x v="0"/>
    <n v="187.52"/>
    <n v="2035"/>
    <s v="Fresno"/>
  </r>
  <r>
    <x v="33"/>
    <x v="0"/>
    <n v="164.73"/>
    <n v="2035"/>
    <s v="Fresno"/>
  </r>
  <r>
    <x v="34"/>
    <x v="0"/>
    <n v="184.09"/>
    <n v="2035"/>
    <s v="Fresno"/>
  </r>
  <r>
    <x v="35"/>
    <x v="0"/>
    <n v="182.88"/>
    <n v="2035"/>
    <s v="Fresno"/>
  </r>
  <r>
    <x v="36"/>
    <x v="0"/>
    <n v="206.52"/>
    <n v="2035"/>
    <s v="Fresno"/>
  </r>
  <r>
    <x v="37"/>
    <x v="0"/>
    <n v="191.69"/>
    <n v="2035"/>
    <s v="Fresno"/>
  </r>
  <r>
    <x v="38"/>
    <x v="0"/>
    <n v="198.77"/>
    <n v="2035"/>
    <s v="Fresno"/>
  </r>
  <r>
    <x v="39"/>
    <x v="0"/>
    <n v="188.59"/>
    <n v="2035"/>
    <s v="Fresno"/>
  </r>
  <r>
    <x v="40"/>
    <x v="0"/>
    <n v="196.91"/>
    <n v="2035"/>
    <s v="Fresno"/>
  </r>
  <r>
    <x v="41"/>
    <x v="0"/>
    <n v="193.19"/>
    <n v="2035"/>
    <s v="Fresno"/>
  </r>
  <r>
    <x v="42"/>
    <x v="0"/>
    <n v="162.07"/>
    <n v="2035"/>
    <s v="Fresno"/>
  </r>
  <r>
    <x v="43"/>
    <x v="0"/>
    <n v="159.5"/>
    <n v="2035"/>
    <s v="Fresno"/>
  </r>
  <r>
    <x v="44"/>
    <x v="0"/>
    <n v="152.38"/>
    <n v="2035"/>
    <s v="Fresno"/>
  </r>
  <r>
    <x v="45"/>
    <x v="0"/>
    <n v="152.69999999999999"/>
    <n v="2035"/>
    <s v="Fresno"/>
  </r>
  <r>
    <x v="46"/>
    <x v="0"/>
    <n v="147.96"/>
    <n v="2035"/>
    <s v="Fresno"/>
  </r>
  <r>
    <x v="47"/>
    <x v="0"/>
    <n v="141.84"/>
    <n v="2035"/>
    <s v="Fresno"/>
  </r>
  <r>
    <x v="48"/>
    <x v="0"/>
    <n v="144.35"/>
    <n v="2035"/>
    <s v="Fresno"/>
  </r>
  <r>
    <x v="49"/>
    <x v="0"/>
    <n v="153.31"/>
    <n v="2035"/>
    <s v="Fresno"/>
  </r>
  <r>
    <x v="50"/>
    <x v="0"/>
    <n v="147.28"/>
    <n v="2035"/>
    <s v="Fresno"/>
  </r>
  <r>
    <x v="51"/>
    <x v="0"/>
    <n v="125.98"/>
    <n v="2035"/>
    <s v="Fresno"/>
  </r>
  <r>
    <x v="52"/>
    <x v="0"/>
    <n v="138.27000000000001"/>
    <n v="2035"/>
    <s v="Fresno"/>
  </r>
  <r>
    <x v="53"/>
    <x v="0"/>
    <n v="127.34"/>
    <n v="2035"/>
    <s v="Fresno"/>
  </r>
  <r>
    <x v="54"/>
    <x v="0"/>
    <n v="115.47"/>
    <n v="2035"/>
    <s v="Fresno"/>
  </r>
  <r>
    <x v="55"/>
    <x v="0"/>
    <n v="117.82"/>
    <n v="2035"/>
    <s v="Fresno"/>
  </r>
  <r>
    <x v="56"/>
    <x v="0"/>
    <n v="103.34"/>
    <n v="2035"/>
    <s v="Fresno"/>
  </r>
  <r>
    <x v="57"/>
    <x v="0"/>
    <n v="95.12"/>
    <n v="2035"/>
    <s v="Fresno"/>
  </r>
  <r>
    <x v="58"/>
    <x v="0"/>
    <n v="92.12"/>
    <n v="2035"/>
    <s v="Fresno"/>
  </r>
  <r>
    <x v="59"/>
    <x v="0"/>
    <n v="94.69"/>
    <n v="2035"/>
    <s v="Fresno"/>
  </r>
  <r>
    <x v="60"/>
    <x v="0"/>
    <n v="98.27"/>
    <n v="2035"/>
    <s v="Fresno"/>
  </r>
  <r>
    <x v="61"/>
    <x v="0"/>
    <n v="73.36"/>
    <n v="2035"/>
    <s v="Fresno"/>
  </r>
  <r>
    <x v="62"/>
    <x v="0"/>
    <n v="77.37"/>
    <n v="2035"/>
    <s v="Fresno"/>
  </r>
  <r>
    <x v="63"/>
    <x v="0"/>
    <n v="76.34"/>
    <n v="2035"/>
    <s v="Fresno"/>
  </r>
  <r>
    <x v="64"/>
    <x v="0"/>
    <n v="74.819999999999993"/>
    <n v="2035"/>
    <s v="Fresno"/>
  </r>
  <r>
    <x v="65"/>
    <x v="0"/>
    <n v="79.33"/>
    <n v="2035"/>
    <s v="Fresno"/>
  </r>
  <r>
    <x v="66"/>
    <x v="0"/>
    <n v="76.72"/>
    <n v="2035"/>
    <s v="Fresno"/>
  </r>
  <r>
    <x v="67"/>
    <x v="0"/>
    <n v="67.75"/>
    <n v="2035"/>
    <s v="Fresno"/>
  </r>
  <r>
    <x v="68"/>
    <x v="0"/>
    <n v="81.290000000000006"/>
    <n v="2035"/>
    <s v="Fresno"/>
  </r>
  <r>
    <x v="69"/>
    <x v="0"/>
    <n v="71.95"/>
    <n v="2035"/>
    <s v="Fresno"/>
  </r>
  <r>
    <x v="70"/>
    <x v="0"/>
    <n v="69.05"/>
    <n v="2035"/>
    <s v="Fresno"/>
  </r>
  <r>
    <x v="71"/>
    <x v="0"/>
    <n v="70.959999999999994"/>
    <n v="2035"/>
    <s v="Fresno"/>
  </r>
  <r>
    <x v="72"/>
    <x v="0"/>
    <n v="60.14"/>
    <n v="2035"/>
    <s v="Fresno"/>
  </r>
  <r>
    <x v="73"/>
    <x v="0"/>
    <n v="72.33"/>
    <n v="2035"/>
    <s v="Fresno"/>
  </r>
  <r>
    <x v="74"/>
    <x v="0"/>
    <n v="82.51"/>
    <n v="2035"/>
    <s v="Fresno"/>
  </r>
  <r>
    <x v="75"/>
    <x v="0"/>
    <n v="78.14"/>
    <n v="2035"/>
    <s v="Fresno"/>
  </r>
  <r>
    <x v="76"/>
    <x v="0"/>
    <n v="62.3"/>
    <n v="2035"/>
    <s v="Fresno"/>
  </r>
  <r>
    <x v="77"/>
    <x v="0"/>
    <n v="69.28"/>
    <n v="2035"/>
    <s v="Fresno"/>
  </r>
  <r>
    <x v="78"/>
    <x v="0"/>
    <n v="54.43"/>
    <n v="2035"/>
    <s v="Fresno"/>
  </r>
  <r>
    <x v="79"/>
    <x v="0"/>
    <n v="43.18"/>
    <n v="2035"/>
    <s v="Fresno"/>
  </r>
  <r>
    <x v="80"/>
    <x v="0"/>
    <n v="49.59"/>
    <n v="2035"/>
    <s v="Fresno"/>
  </r>
  <r>
    <x v="81"/>
    <x v="0"/>
    <n v="45.18"/>
    <n v="2035"/>
    <s v="Fresno"/>
  </r>
  <r>
    <x v="82"/>
    <x v="0"/>
    <n v="42.39"/>
    <n v="2035"/>
    <s v="Fresno"/>
  </r>
  <r>
    <x v="83"/>
    <x v="0"/>
    <n v="37.700000000000003"/>
    <n v="2035"/>
    <s v="Fresno"/>
  </r>
  <r>
    <x v="84"/>
    <x v="0"/>
    <n v="34.64"/>
    <n v="2035"/>
    <s v="Fresno"/>
  </r>
  <r>
    <x v="85"/>
    <x v="0"/>
    <n v="32.130000000000003"/>
    <n v="2035"/>
    <s v="Fresno"/>
  </r>
  <r>
    <x v="86"/>
    <x v="0"/>
    <n v="27.69"/>
    <n v="2035"/>
    <s v="Fresno"/>
  </r>
  <r>
    <x v="87"/>
    <x v="0"/>
    <n v="25.05"/>
    <n v="2035"/>
    <s v="Fresno"/>
  </r>
  <r>
    <x v="88"/>
    <x v="0"/>
    <n v="27.82"/>
    <n v="2035"/>
    <s v="Fresno"/>
  </r>
  <r>
    <x v="89"/>
    <x v="0"/>
    <n v="20.34"/>
    <n v="2035"/>
    <s v="Fresno"/>
  </r>
  <r>
    <x v="90"/>
    <x v="0"/>
    <n v="17.61"/>
    <n v="2035"/>
    <s v="Fresno"/>
  </r>
  <r>
    <x v="91"/>
    <x v="0"/>
    <n v="26.18"/>
    <n v="2035"/>
    <s v="Fresno"/>
  </r>
  <r>
    <x v="92"/>
    <x v="0"/>
    <n v="17.07"/>
    <n v="2035"/>
    <s v="Fresno"/>
  </r>
  <r>
    <x v="93"/>
    <x v="0"/>
    <n v="13.78"/>
    <n v="2035"/>
    <s v="Fresno"/>
  </r>
  <r>
    <x v="94"/>
    <x v="0"/>
    <n v="16.190000000000001"/>
    <n v="2035"/>
    <s v="Fresno"/>
  </r>
  <r>
    <x v="95"/>
    <x v="0"/>
    <n v="18.010000000000002"/>
    <n v="2035"/>
    <s v="Fresno"/>
  </r>
  <r>
    <x v="96"/>
    <x v="0"/>
    <n v="12.95"/>
    <n v="2035"/>
    <s v="Fresno"/>
  </r>
  <r>
    <x v="97"/>
    <x v="0"/>
    <n v="11.55"/>
    <n v="2035"/>
    <s v="Fresno"/>
  </r>
  <r>
    <x v="98"/>
    <x v="0"/>
    <n v="7.31"/>
    <n v="2035"/>
    <s v="Fresno"/>
  </r>
  <r>
    <x v="99"/>
    <x v="0"/>
    <n v="6.27"/>
    <n v="2035"/>
    <s v="Fresno"/>
  </r>
  <r>
    <x v="100"/>
    <x v="0"/>
    <n v="7.16"/>
    <n v="2035"/>
    <s v="Fresno"/>
  </r>
  <r>
    <x v="0"/>
    <x v="1"/>
    <n v="235.23"/>
    <n v="2035"/>
    <s v="Fresno"/>
  </r>
  <r>
    <x v="1"/>
    <x v="1"/>
    <n v="237"/>
    <n v="2035"/>
    <s v="Fresno"/>
  </r>
  <r>
    <x v="2"/>
    <x v="1"/>
    <n v="238.25"/>
    <n v="2035"/>
    <s v="Fresno"/>
  </r>
  <r>
    <x v="3"/>
    <x v="1"/>
    <n v="238.23"/>
    <n v="2035"/>
    <s v="Fresno"/>
  </r>
  <r>
    <x v="4"/>
    <x v="1"/>
    <n v="235.69"/>
    <n v="2035"/>
    <s v="Fresno"/>
  </r>
  <r>
    <x v="5"/>
    <x v="1"/>
    <n v="235.03"/>
    <n v="2035"/>
    <s v="Fresno"/>
  </r>
  <r>
    <x v="6"/>
    <x v="1"/>
    <n v="237.06"/>
    <n v="2035"/>
    <s v="Fresno"/>
  </r>
  <r>
    <x v="7"/>
    <x v="1"/>
    <n v="238.88"/>
    <n v="2035"/>
    <s v="Fresno"/>
  </r>
  <r>
    <x v="8"/>
    <x v="1"/>
    <n v="240.67"/>
    <n v="2035"/>
    <s v="Fresno"/>
  </r>
  <r>
    <x v="9"/>
    <x v="1"/>
    <n v="239.43"/>
    <n v="2035"/>
    <s v="Fresno"/>
  </r>
  <r>
    <x v="10"/>
    <x v="1"/>
    <n v="239.45"/>
    <n v="2035"/>
    <s v="Fresno"/>
  </r>
  <r>
    <x v="11"/>
    <x v="1"/>
    <n v="239.36"/>
    <n v="2035"/>
    <s v="Fresno"/>
  </r>
  <r>
    <x v="12"/>
    <x v="1"/>
    <n v="239.74"/>
    <n v="2035"/>
    <s v="Fresno"/>
  </r>
  <r>
    <x v="13"/>
    <x v="1"/>
    <n v="240.13"/>
    <n v="2035"/>
    <s v="Fresno"/>
  </r>
  <r>
    <x v="14"/>
    <x v="1"/>
    <n v="239.09"/>
    <n v="2035"/>
    <s v="Fresno"/>
  </r>
  <r>
    <x v="15"/>
    <x v="1"/>
    <n v="238.65"/>
    <n v="2035"/>
    <s v="Fresno"/>
  </r>
  <r>
    <x v="16"/>
    <x v="1"/>
    <n v="236.07"/>
    <n v="2035"/>
    <s v="Fresno"/>
  </r>
  <r>
    <x v="17"/>
    <x v="1"/>
    <n v="234.98"/>
    <n v="2035"/>
    <s v="Fresno"/>
  </r>
  <r>
    <x v="18"/>
    <x v="1"/>
    <n v="240.05"/>
    <n v="2035"/>
    <s v="Fresno"/>
  </r>
  <r>
    <x v="19"/>
    <x v="1"/>
    <n v="235.73"/>
    <n v="2035"/>
    <s v="Fresno"/>
  </r>
  <r>
    <x v="20"/>
    <x v="1"/>
    <n v="230.73"/>
    <n v="2035"/>
    <s v="Fresno"/>
  </r>
  <r>
    <x v="21"/>
    <x v="1"/>
    <n v="222.24"/>
    <n v="2035"/>
    <s v="Fresno"/>
  </r>
  <r>
    <x v="22"/>
    <x v="1"/>
    <n v="216.4"/>
    <n v="2035"/>
    <s v="Fresno"/>
  </r>
  <r>
    <x v="23"/>
    <x v="1"/>
    <n v="209.55"/>
    <n v="2035"/>
    <s v="Fresno"/>
  </r>
  <r>
    <x v="24"/>
    <x v="1"/>
    <n v="277.51"/>
    <n v="2035"/>
    <s v="Fresno"/>
  </r>
  <r>
    <x v="25"/>
    <x v="1"/>
    <n v="238.86"/>
    <n v="2035"/>
    <s v="Fresno"/>
  </r>
  <r>
    <x v="26"/>
    <x v="1"/>
    <n v="215.39"/>
    <n v="2035"/>
    <s v="Fresno"/>
  </r>
  <r>
    <x v="27"/>
    <x v="1"/>
    <n v="200"/>
    <n v="2035"/>
    <s v="Fresno"/>
  </r>
  <r>
    <x v="28"/>
    <x v="1"/>
    <n v="202.31"/>
    <n v="2035"/>
    <s v="Fresno"/>
  </r>
  <r>
    <x v="29"/>
    <x v="1"/>
    <n v="195.82"/>
    <n v="2035"/>
    <s v="Fresno"/>
  </r>
  <r>
    <x v="30"/>
    <x v="1"/>
    <n v="205.76"/>
    <n v="2035"/>
    <s v="Fresno"/>
  </r>
  <r>
    <x v="31"/>
    <x v="1"/>
    <n v="190.75"/>
    <n v="2035"/>
    <s v="Fresno"/>
  </r>
  <r>
    <x v="32"/>
    <x v="1"/>
    <n v="187.99"/>
    <n v="2035"/>
    <s v="Fresno"/>
  </r>
  <r>
    <x v="33"/>
    <x v="1"/>
    <n v="183.08"/>
    <n v="2035"/>
    <s v="Fresno"/>
  </r>
  <r>
    <x v="34"/>
    <x v="1"/>
    <n v="176"/>
    <n v="2035"/>
    <s v="Fresno"/>
  </r>
  <r>
    <x v="35"/>
    <x v="1"/>
    <n v="218.06"/>
    <n v="2035"/>
    <s v="Fresno"/>
  </r>
  <r>
    <x v="36"/>
    <x v="1"/>
    <n v="202.9"/>
    <n v="2035"/>
    <s v="Fresno"/>
  </r>
  <r>
    <x v="37"/>
    <x v="1"/>
    <n v="179.32"/>
    <n v="2035"/>
    <s v="Fresno"/>
  </r>
  <r>
    <x v="38"/>
    <x v="1"/>
    <n v="191.5"/>
    <n v="2035"/>
    <s v="Fresno"/>
  </r>
  <r>
    <x v="39"/>
    <x v="1"/>
    <n v="186.34"/>
    <n v="2035"/>
    <s v="Fresno"/>
  </r>
  <r>
    <x v="40"/>
    <x v="1"/>
    <n v="201.15"/>
    <n v="2035"/>
    <s v="Fresno"/>
  </r>
  <r>
    <x v="41"/>
    <x v="1"/>
    <n v="205.87"/>
    <n v="2035"/>
    <s v="Fresno"/>
  </r>
  <r>
    <x v="42"/>
    <x v="1"/>
    <n v="200.21"/>
    <n v="2035"/>
    <s v="Fresno"/>
  </r>
  <r>
    <x v="43"/>
    <x v="1"/>
    <n v="172.81"/>
    <n v="2035"/>
    <s v="Fresno"/>
  </r>
  <r>
    <x v="44"/>
    <x v="1"/>
    <n v="177.04"/>
    <n v="2035"/>
    <s v="Fresno"/>
  </r>
  <r>
    <x v="45"/>
    <x v="1"/>
    <n v="142.46"/>
    <n v="2035"/>
    <s v="Fresno"/>
  </r>
  <r>
    <x v="46"/>
    <x v="1"/>
    <n v="130.94999999999999"/>
    <n v="2035"/>
    <s v="Fresno"/>
  </r>
  <r>
    <x v="47"/>
    <x v="1"/>
    <n v="127.87"/>
    <n v="2035"/>
    <s v="Fresno"/>
  </r>
  <r>
    <x v="48"/>
    <x v="1"/>
    <n v="127.13"/>
    <n v="2035"/>
    <s v="Fresno"/>
  </r>
  <r>
    <x v="49"/>
    <x v="1"/>
    <n v="113.37"/>
    <n v="2035"/>
    <s v="Fresno"/>
  </r>
  <r>
    <x v="50"/>
    <x v="1"/>
    <n v="135.69"/>
    <n v="2035"/>
    <s v="Fresno"/>
  </r>
  <r>
    <x v="51"/>
    <x v="1"/>
    <n v="137.77000000000001"/>
    <n v="2035"/>
    <s v="Fresno"/>
  </r>
  <r>
    <x v="52"/>
    <x v="1"/>
    <n v="119.04"/>
    <n v="2035"/>
    <s v="Fresno"/>
  </r>
  <r>
    <x v="53"/>
    <x v="1"/>
    <n v="137.88"/>
    <n v="2035"/>
    <s v="Fresno"/>
  </r>
  <r>
    <x v="54"/>
    <x v="1"/>
    <n v="115.98"/>
    <n v="2035"/>
    <s v="Fresno"/>
  </r>
  <r>
    <x v="55"/>
    <x v="1"/>
    <n v="104.51"/>
    <n v="2035"/>
    <s v="Fresno"/>
  </r>
  <r>
    <x v="56"/>
    <x v="1"/>
    <n v="111.6"/>
    <n v="2035"/>
    <s v="Fresno"/>
  </r>
  <r>
    <x v="57"/>
    <x v="1"/>
    <n v="100.57"/>
    <n v="2035"/>
    <s v="Fresno"/>
  </r>
  <r>
    <x v="58"/>
    <x v="1"/>
    <n v="90.47"/>
    <n v="2035"/>
    <s v="Fresno"/>
  </r>
  <r>
    <x v="59"/>
    <x v="1"/>
    <n v="80.400000000000006"/>
    <n v="2035"/>
    <s v="Fresno"/>
  </r>
  <r>
    <x v="60"/>
    <x v="1"/>
    <n v="72.78"/>
    <n v="2035"/>
    <s v="Fresno"/>
  </r>
  <r>
    <x v="61"/>
    <x v="1"/>
    <n v="82.84"/>
    <n v="2035"/>
    <s v="Fresno"/>
  </r>
  <r>
    <x v="62"/>
    <x v="1"/>
    <n v="86.47"/>
    <n v="2035"/>
    <s v="Fresno"/>
  </r>
  <r>
    <x v="63"/>
    <x v="1"/>
    <n v="70.19"/>
    <n v="2035"/>
    <s v="Fresno"/>
  </r>
  <r>
    <x v="64"/>
    <x v="1"/>
    <n v="73.760000000000005"/>
    <n v="2035"/>
    <s v="Fresno"/>
  </r>
  <r>
    <x v="65"/>
    <x v="1"/>
    <n v="61.4"/>
    <n v="2035"/>
    <s v="Fresno"/>
  </r>
  <r>
    <x v="66"/>
    <x v="1"/>
    <n v="61.86"/>
    <n v="2035"/>
    <s v="Fresno"/>
  </r>
  <r>
    <x v="67"/>
    <x v="1"/>
    <n v="59.52"/>
    <n v="2035"/>
    <s v="Fresno"/>
  </r>
  <r>
    <x v="68"/>
    <x v="1"/>
    <n v="62.55"/>
    <n v="2035"/>
    <s v="Fresno"/>
  </r>
  <r>
    <x v="69"/>
    <x v="1"/>
    <n v="54.77"/>
    <n v="2035"/>
    <s v="Fresno"/>
  </r>
  <r>
    <x v="70"/>
    <x v="1"/>
    <n v="64.58"/>
    <n v="2035"/>
    <s v="Fresno"/>
  </r>
  <r>
    <x v="71"/>
    <x v="1"/>
    <n v="57.27"/>
    <n v="2035"/>
    <s v="Fresno"/>
  </r>
  <r>
    <x v="72"/>
    <x v="1"/>
    <n v="52.4"/>
    <n v="2035"/>
    <s v="Fresno"/>
  </r>
  <r>
    <x v="73"/>
    <x v="1"/>
    <n v="46.26"/>
    <n v="2035"/>
    <s v="Fresno"/>
  </r>
  <r>
    <x v="74"/>
    <x v="1"/>
    <n v="44.69"/>
    <n v="2035"/>
    <s v="Fresno"/>
  </r>
  <r>
    <x v="75"/>
    <x v="1"/>
    <n v="41.27"/>
    <n v="2035"/>
    <s v="Fresno"/>
  </r>
  <r>
    <x v="76"/>
    <x v="1"/>
    <n v="38.53"/>
    <n v="2035"/>
    <s v="Fresno"/>
  </r>
  <r>
    <x v="77"/>
    <x v="1"/>
    <n v="34.409999999999997"/>
    <n v="2035"/>
    <s v="Fresno"/>
  </r>
  <r>
    <x v="78"/>
    <x v="1"/>
    <n v="30.4"/>
    <n v="2035"/>
    <s v="Fresno"/>
  </r>
  <r>
    <x v="79"/>
    <x v="1"/>
    <n v="24.38"/>
    <n v="2035"/>
    <s v="Fresno"/>
  </r>
  <r>
    <x v="80"/>
    <x v="1"/>
    <n v="22.33"/>
    <n v="2035"/>
    <s v="Fresno"/>
  </r>
  <r>
    <x v="81"/>
    <x v="1"/>
    <n v="22.51"/>
    <n v="2035"/>
    <s v="Fresno"/>
  </r>
  <r>
    <x v="82"/>
    <x v="1"/>
    <n v="20.79"/>
    <n v="2035"/>
    <s v="Fresno"/>
  </r>
  <r>
    <x v="83"/>
    <x v="1"/>
    <n v="18.3"/>
    <n v="2035"/>
    <s v="Fresno"/>
  </r>
  <r>
    <x v="84"/>
    <x v="1"/>
    <n v="15.89"/>
    <n v="2035"/>
    <s v="Fresno"/>
  </r>
  <r>
    <x v="85"/>
    <x v="1"/>
    <n v="16.100000000000001"/>
    <n v="2035"/>
    <s v="Fresno"/>
  </r>
  <r>
    <x v="86"/>
    <x v="1"/>
    <n v="12.11"/>
    <n v="2035"/>
    <s v="Fresno"/>
  </r>
  <r>
    <x v="87"/>
    <x v="1"/>
    <n v="11.33"/>
    <n v="2035"/>
    <s v="Fresno"/>
  </r>
  <r>
    <x v="88"/>
    <x v="1"/>
    <n v="10.48"/>
    <n v="2035"/>
    <s v="Fresno"/>
  </r>
  <r>
    <x v="89"/>
    <x v="1"/>
    <n v="7.73"/>
    <n v="2035"/>
    <s v="Fresno"/>
  </r>
  <r>
    <x v="90"/>
    <x v="1"/>
    <n v="7.11"/>
    <n v="2035"/>
    <s v="Fresno"/>
  </r>
  <r>
    <x v="91"/>
    <x v="1"/>
    <n v="8.5"/>
    <n v="2035"/>
    <s v="Fresno"/>
  </r>
  <r>
    <x v="92"/>
    <x v="1"/>
    <n v="9.99"/>
    <n v="2035"/>
    <s v="Fresno"/>
  </r>
  <r>
    <x v="93"/>
    <x v="1"/>
    <n v="7.32"/>
    <n v="2035"/>
    <s v="Fresno"/>
  </r>
  <r>
    <x v="94"/>
    <x v="1"/>
    <n v="4.91"/>
    <n v="2035"/>
    <s v="Fresno"/>
  </r>
  <r>
    <x v="95"/>
    <x v="1"/>
    <n v="5.58"/>
    <n v="2035"/>
    <s v="Fresno"/>
  </r>
  <r>
    <x v="96"/>
    <x v="1"/>
    <n v="5.2"/>
    <n v="2035"/>
    <s v="Fresno"/>
  </r>
  <r>
    <x v="97"/>
    <x v="1"/>
    <n v="4.8600000000000003"/>
    <n v="2035"/>
    <s v="Fresno"/>
  </r>
  <r>
    <x v="98"/>
    <x v="1"/>
    <n v="5.01"/>
    <n v="2035"/>
    <s v="Fresno"/>
  </r>
  <r>
    <x v="99"/>
    <x v="1"/>
    <n v="3.52"/>
    <n v="2035"/>
    <s v="Fresno"/>
  </r>
  <r>
    <x v="100"/>
    <x v="1"/>
    <n v="3.66"/>
    <n v="2035"/>
    <s v="Fres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:J104" firstHeaderRow="1" firstDataRow="2" firstDataCol="1"/>
  <pivotFields count="5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opula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9"/>
  <sheetViews>
    <sheetView showGridLines="0" tabSelected="1" workbookViewId="0"/>
  </sheetViews>
  <sheetFormatPr defaultRowHeight="12.75" x14ac:dyDescent="0.2"/>
  <cols>
    <col min="1" max="1" width="4" style="7" customWidth="1"/>
    <col min="2" max="2" width="4.7109375" style="7" customWidth="1"/>
    <col min="3" max="16384" width="9.140625" style="7"/>
  </cols>
  <sheetData>
    <row r="2" spans="2:12" ht="18" x14ac:dyDescent="0.25">
      <c r="B2" s="409" t="s">
        <v>245</v>
      </c>
    </row>
    <row r="3" spans="2:12" x14ac:dyDescent="0.2">
      <c r="B3" s="407" t="s">
        <v>246</v>
      </c>
    </row>
    <row r="4" spans="2:12" x14ac:dyDescent="0.2">
      <c r="B4" s="407" t="s">
        <v>256</v>
      </c>
    </row>
    <row r="5" spans="2:12" x14ac:dyDescent="0.2">
      <c r="B5" s="406" t="s">
        <v>257</v>
      </c>
      <c r="C5" s="405"/>
      <c r="D5" s="405"/>
      <c r="E5" s="405"/>
    </row>
    <row r="6" spans="2:12" x14ac:dyDescent="0.2">
      <c r="B6" s="406"/>
      <c r="C6" s="405"/>
      <c r="D6" s="405"/>
      <c r="E6" s="405"/>
    </row>
    <row r="7" spans="2:12" x14ac:dyDescent="0.2">
      <c r="B7" s="406" t="s">
        <v>247</v>
      </c>
      <c r="C7" s="406"/>
      <c r="D7" s="406"/>
      <c r="E7" s="406"/>
      <c r="F7" s="407"/>
      <c r="G7" s="407"/>
      <c r="H7" s="407"/>
      <c r="I7" s="407"/>
      <c r="J7" s="407"/>
      <c r="K7" s="407"/>
      <c r="L7" s="407"/>
    </row>
    <row r="8" spans="2:12" x14ac:dyDescent="0.2">
      <c r="B8" s="407" t="s">
        <v>267</v>
      </c>
      <c r="C8" s="407"/>
      <c r="D8" s="407"/>
      <c r="E8" s="407"/>
      <c r="F8" s="407"/>
      <c r="G8" s="407"/>
      <c r="H8" s="407"/>
      <c r="I8" s="407"/>
      <c r="J8" s="407"/>
      <c r="K8" s="407"/>
      <c r="L8" s="407"/>
    </row>
    <row r="9" spans="2:12" x14ac:dyDescent="0.2">
      <c r="B9" s="407"/>
      <c r="C9" s="407"/>
      <c r="D9" s="407"/>
      <c r="E9" s="407"/>
      <c r="F9" s="407"/>
      <c r="G9" s="407"/>
      <c r="H9" s="407"/>
      <c r="I9" s="407"/>
      <c r="J9" s="407"/>
      <c r="K9" s="407"/>
      <c r="L9" s="407"/>
    </row>
    <row r="10" spans="2:12" x14ac:dyDescent="0.2">
      <c r="B10" s="407" t="s">
        <v>236</v>
      </c>
      <c r="C10" s="407"/>
      <c r="D10" s="407"/>
      <c r="E10" s="407"/>
      <c r="F10" s="407"/>
      <c r="G10" s="407"/>
      <c r="H10" s="407"/>
      <c r="I10" s="407"/>
      <c r="J10" s="407"/>
      <c r="K10" s="407"/>
      <c r="L10" s="407"/>
    </row>
    <row r="11" spans="2:12" x14ac:dyDescent="0.2">
      <c r="B11" s="407" t="s">
        <v>237</v>
      </c>
      <c r="C11" s="407"/>
      <c r="D11" s="407"/>
      <c r="E11" s="407"/>
      <c r="F11" s="407"/>
      <c r="G11" s="407"/>
      <c r="H11" s="407"/>
      <c r="I11" s="407"/>
      <c r="J11" s="407"/>
      <c r="K11" s="407"/>
      <c r="L11" s="407"/>
    </row>
    <row r="12" spans="2:12" x14ac:dyDescent="0.2">
      <c r="B12" s="407" t="s">
        <v>238</v>
      </c>
      <c r="C12" s="407"/>
      <c r="D12" s="407"/>
      <c r="E12" s="407"/>
      <c r="F12" s="407"/>
      <c r="G12" s="407"/>
      <c r="H12" s="407"/>
      <c r="I12" s="407"/>
      <c r="J12" s="407"/>
      <c r="K12" s="407"/>
      <c r="L12" s="407"/>
    </row>
    <row r="13" spans="2:12" x14ac:dyDescent="0.2">
      <c r="B13" s="407" t="s">
        <v>239</v>
      </c>
      <c r="C13" s="407"/>
      <c r="D13" s="407"/>
      <c r="E13" s="407"/>
      <c r="F13" s="407"/>
      <c r="G13" s="407"/>
      <c r="H13" s="407"/>
      <c r="I13" s="407"/>
      <c r="J13" s="407"/>
      <c r="K13" s="407"/>
      <c r="L13" s="407"/>
    </row>
    <row r="14" spans="2:12" x14ac:dyDescent="0.2"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</row>
    <row r="15" spans="2:12" x14ac:dyDescent="0.2">
      <c r="B15" s="407" t="s">
        <v>235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7"/>
    </row>
    <row r="16" spans="2:12" x14ac:dyDescent="0.2">
      <c r="B16" s="407" t="s">
        <v>240</v>
      </c>
      <c r="C16" s="407"/>
      <c r="D16" s="407"/>
      <c r="E16" s="407"/>
      <c r="F16" s="407"/>
      <c r="G16" s="407"/>
      <c r="H16" s="407"/>
      <c r="I16" s="407"/>
      <c r="J16" s="407"/>
      <c r="K16" s="407"/>
      <c r="L16" s="407"/>
    </row>
    <row r="17" spans="2:12" x14ac:dyDescent="0.2">
      <c r="B17" s="407" t="s">
        <v>241</v>
      </c>
      <c r="C17" s="407"/>
      <c r="D17" s="407"/>
      <c r="E17" s="407"/>
      <c r="F17" s="407"/>
      <c r="G17" s="407"/>
      <c r="H17" s="407"/>
      <c r="I17" s="407"/>
      <c r="J17" s="407"/>
      <c r="K17" s="407"/>
      <c r="L17" s="407"/>
    </row>
    <row r="18" spans="2:12" x14ac:dyDescent="0.2">
      <c r="B18" s="407" t="s">
        <v>242</v>
      </c>
      <c r="C18" s="407"/>
      <c r="D18" s="407"/>
      <c r="E18" s="407"/>
      <c r="F18" s="407"/>
      <c r="G18" s="407"/>
      <c r="H18" s="407"/>
      <c r="I18" s="407"/>
      <c r="J18" s="407"/>
      <c r="K18" s="407"/>
      <c r="L18" s="407"/>
    </row>
    <row r="19" spans="2:12" x14ac:dyDescent="0.2">
      <c r="B19" s="407" t="s">
        <v>243</v>
      </c>
      <c r="C19" s="407"/>
      <c r="D19" s="407"/>
      <c r="E19" s="407"/>
      <c r="F19" s="407"/>
      <c r="G19" s="407"/>
      <c r="H19" s="407"/>
      <c r="I19" s="407"/>
      <c r="J19" s="407"/>
      <c r="K19" s="407"/>
      <c r="L19" s="407"/>
    </row>
    <row r="20" spans="2:12" x14ac:dyDescent="0.2">
      <c r="B20" s="407"/>
      <c r="C20" s="407"/>
      <c r="D20" s="407"/>
      <c r="E20" s="407"/>
      <c r="F20" s="407"/>
      <c r="G20" s="407"/>
      <c r="H20" s="407"/>
      <c r="I20" s="407"/>
      <c r="J20" s="407"/>
      <c r="K20" s="407"/>
      <c r="L20" s="407"/>
    </row>
    <row r="21" spans="2:12" x14ac:dyDescent="0.2">
      <c r="B21" s="407" t="s">
        <v>244</v>
      </c>
      <c r="C21" s="407"/>
      <c r="D21" s="407"/>
      <c r="E21" s="407"/>
      <c r="F21" s="407"/>
      <c r="G21" s="407"/>
      <c r="H21" s="407"/>
      <c r="I21" s="407"/>
      <c r="J21" s="407"/>
      <c r="K21" s="407"/>
      <c r="L21" s="407"/>
    </row>
    <row r="22" spans="2:12" x14ac:dyDescent="0.2">
      <c r="B22" s="407" t="s">
        <v>299</v>
      </c>
      <c r="C22" s="407"/>
      <c r="D22" s="407"/>
      <c r="E22" s="407"/>
      <c r="F22" s="407"/>
      <c r="G22" s="407"/>
      <c r="H22" s="407"/>
      <c r="I22" s="407"/>
      <c r="J22" s="407"/>
      <c r="K22" s="407"/>
      <c r="L22" s="407"/>
    </row>
    <row r="24" spans="2:12" x14ac:dyDescent="0.2">
      <c r="B24" s="415" t="s">
        <v>233</v>
      </c>
    </row>
    <row r="25" spans="2:12" x14ac:dyDescent="0.2">
      <c r="B25" s="7" t="s">
        <v>253</v>
      </c>
    </row>
    <row r="26" spans="2:12" x14ac:dyDescent="0.2">
      <c r="B26" s="7" t="s">
        <v>309</v>
      </c>
    </row>
    <row r="28" spans="2:12" x14ac:dyDescent="0.2">
      <c r="B28" s="7" t="s">
        <v>254</v>
      </c>
    </row>
    <row r="29" spans="2:12" x14ac:dyDescent="0.2">
      <c r="B29" s="7" t="s">
        <v>301</v>
      </c>
    </row>
    <row r="30" spans="2:12" x14ac:dyDescent="0.2">
      <c r="B30" s="7" t="s">
        <v>304</v>
      </c>
    </row>
    <row r="32" spans="2:12" x14ac:dyDescent="0.2">
      <c r="B32" s="76" t="s">
        <v>305</v>
      </c>
    </row>
    <row r="33" spans="2:3" x14ac:dyDescent="0.2">
      <c r="C33" s="7" t="s">
        <v>306</v>
      </c>
    </row>
    <row r="34" spans="2:3" x14ac:dyDescent="0.2">
      <c r="C34" s="7" t="s">
        <v>302</v>
      </c>
    </row>
    <row r="35" spans="2:3" x14ac:dyDescent="0.2">
      <c r="C35" s="7" t="s">
        <v>303</v>
      </c>
    </row>
    <row r="37" spans="2:3" x14ac:dyDescent="0.2">
      <c r="B37" s="76" t="s">
        <v>307</v>
      </c>
    </row>
    <row r="38" spans="2:3" x14ac:dyDescent="0.2">
      <c r="C38" s="7" t="s">
        <v>310</v>
      </c>
    </row>
    <row r="39" spans="2:3" x14ac:dyDescent="0.2">
      <c r="C39" s="7" t="s">
        <v>311</v>
      </c>
    </row>
    <row r="40" spans="2:3" ht="12.75" customHeight="1" x14ac:dyDescent="0.2">
      <c r="C40" s="7" t="s">
        <v>313</v>
      </c>
    </row>
    <row r="41" spans="2:3" ht="12.75" customHeight="1" x14ac:dyDescent="0.2"/>
    <row r="42" spans="2:3" ht="12.75" customHeight="1" x14ac:dyDescent="0.2">
      <c r="B42" s="76" t="s">
        <v>308</v>
      </c>
    </row>
    <row r="43" spans="2:3" ht="12.75" customHeight="1" x14ac:dyDescent="0.2">
      <c r="C43" s="7" t="s">
        <v>314</v>
      </c>
    </row>
    <row r="44" spans="2:3" ht="12.75" customHeight="1" x14ac:dyDescent="0.2"/>
    <row r="45" spans="2:3" ht="12.75" customHeight="1" x14ac:dyDescent="0.2">
      <c r="B45" s="76" t="s">
        <v>315</v>
      </c>
    </row>
    <row r="46" spans="2:3" ht="12.75" customHeight="1" x14ac:dyDescent="0.2">
      <c r="C46" s="7" t="s">
        <v>316</v>
      </c>
    </row>
    <row r="47" spans="2:3" ht="12.75" customHeight="1" x14ac:dyDescent="0.2">
      <c r="C47" s="7" t="s">
        <v>255</v>
      </c>
    </row>
    <row r="48" spans="2:3" ht="12.75" customHeight="1" x14ac:dyDescent="0.2"/>
    <row r="49" spans="2:3" ht="12.75" customHeight="1" x14ac:dyDescent="0.2">
      <c r="B49" s="7" t="s">
        <v>259</v>
      </c>
    </row>
    <row r="50" spans="2:3" ht="12.75" customHeight="1" x14ac:dyDescent="0.2">
      <c r="B50" s="7" t="s">
        <v>260</v>
      </c>
    </row>
    <row r="51" spans="2:3" ht="12.75" customHeight="1" x14ac:dyDescent="0.2">
      <c r="B51" s="7" t="s">
        <v>266</v>
      </c>
    </row>
    <row r="52" spans="2:3" ht="12.75" customHeight="1" x14ac:dyDescent="0.2"/>
    <row r="53" spans="2:3" ht="12.75" customHeight="1" x14ac:dyDescent="0.2"/>
    <row r="54" spans="2:3" x14ac:dyDescent="0.2">
      <c r="B54" s="415" t="s">
        <v>234</v>
      </c>
    </row>
    <row r="55" spans="2:3" x14ac:dyDescent="0.2">
      <c r="B55" s="410"/>
      <c r="C55" s="7" t="s">
        <v>248</v>
      </c>
    </row>
    <row r="56" spans="2:3" x14ac:dyDescent="0.2">
      <c r="B56" s="29"/>
      <c r="C56" s="7" t="s">
        <v>263</v>
      </c>
    </row>
    <row r="57" spans="2:3" x14ac:dyDescent="0.2">
      <c r="C57" s="7" t="s">
        <v>261</v>
      </c>
    </row>
    <row r="58" spans="2:3" x14ac:dyDescent="0.2">
      <c r="B58" s="32"/>
      <c r="C58" s="7" t="s">
        <v>262</v>
      </c>
    </row>
    <row r="59" spans="2:3" x14ac:dyDescent="0.2">
      <c r="B59" s="416"/>
      <c r="C59" s="7" t="s">
        <v>264</v>
      </c>
    </row>
    <row r="60" spans="2:3" x14ac:dyDescent="0.2">
      <c r="B60" s="11"/>
    </row>
    <row r="62" spans="2:3" x14ac:dyDescent="0.2">
      <c r="B62" s="415" t="s">
        <v>232</v>
      </c>
    </row>
    <row r="63" spans="2:3" x14ac:dyDescent="0.2">
      <c r="B63" s="410"/>
      <c r="C63" s="7" t="s">
        <v>248</v>
      </c>
    </row>
    <row r="64" spans="2:3" x14ac:dyDescent="0.2">
      <c r="B64" s="411"/>
      <c r="C64" s="7" t="s">
        <v>249</v>
      </c>
    </row>
    <row r="65" spans="2:17" x14ac:dyDescent="0.2">
      <c r="B65" s="412"/>
      <c r="C65" s="7" t="s">
        <v>250</v>
      </c>
    </row>
    <row r="66" spans="2:17" x14ac:dyDescent="0.2">
      <c r="B66" s="413"/>
      <c r="C66" s="7" t="s">
        <v>251</v>
      </c>
    </row>
    <row r="67" spans="2:17" x14ac:dyDescent="0.2">
      <c r="B67" s="414"/>
      <c r="C67" s="7" t="s">
        <v>252</v>
      </c>
    </row>
    <row r="68" spans="2:17" x14ac:dyDescent="0.2">
      <c r="B68" s="11"/>
    </row>
    <row r="70" spans="2:17" x14ac:dyDescent="0.2">
      <c r="B70" s="415" t="s">
        <v>200</v>
      </c>
    </row>
    <row r="71" spans="2:17" x14ac:dyDescent="0.2">
      <c r="B71" s="509" t="s">
        <v>201</v>
      </c>
      <c r="C71" s="509"/>
      <c r="D71" s="509"/>
      <c r="E71" s="509"/>
      <c r="F71" s="509"/>
      <c r="G71" s="509"/>
      <c r="H71" s="509"/>
      <c r="I71" s="509"/>
      <c r="J71" s="509"/>
      <c r="K71" s="509"/>
      <c r="L71" s="509"/>
      <c r="M71" s="509"/>
      <c r="N71" s="509"/>
      <c r="O71" s="509"/>
      <c r="P71" s="509"/>
      <c r="Q71" s="509"/>
    </row>
    <row r="72" spans="2:17" x14ac:dyDescent="0.2">
      <c r="B72" s="509"/>
      <c r="C72" s="509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</row>
    <row r="73" spans="2:17" x14ac:dyDescent="0.2">
      <c r="B73" s="509"/>
      <c r="C73" s="509"/>
      <c r="D73" s="509"/>
      <c r="E73" s="509"/>
      <c r="F73" s="509"/>
      <c r="G73" s="509"/>
      <c r="H73" s="509"/>
      <c r="I73" s="509"/>
      <c r="J73" s="509"/>
      <c r="K73" s="509"/>
      <c r="L73" s="509"/>
      <c r="M73" s="509"/>
      <c r="N73" s="509"/>
      <c r="O73" s="509"/>
      <c r="P73" s="509"/>
      <c r="Q73" s="509"/>
    </row>
    <row r="74" spans="2:17" x14ac:dyDescent="0.2">
      <c r="C74" s="408"/>
      <c r="D74" s="408"/>
      <c r="E74" s="408"/>
      <c r="F74" s="408"/>
      <c r="G74" s="408"/>
      <c r="H74" s="408"/>
      <c r="I74" s="408"/>
      <c r="J74" s="408"/>
    </row>
    <row r="75" spans="2:17" x14ac:dyDescent="0.2">
      <c r="B75" s="510" t="s">
        <v>258</v>
      </c>
      <c r="C75" s="510"/>
      <c r="D75" s="510"/>
      <c r="E75" s="510"/>
      <c r="F75" s="510"/>
      <c r="G75" s="510"/>
      <c r="H75" s="510"/>
      <c r="I75" s="510"/>
      <c r="J75" s="510"/>
      <c r="K75" s="510"/>
      <c r="L75" s="510"/>
      <c r="M75" s="510"/>
      <c r="N75" s="510"/>
      <c r="O75" s="510"/>
      <c r="P75" s="510"/>
      <c r="Q75" s="510"/>
    </row>
    <row r="76" spans="2:17" x14ac:dyDescent="0.2">
      <c r="B76" s="510"/>
      <c r="C76" s="510"/>
      <c r="D76" s="510"/>
      <c r="E76" s="510"/>
      <c r="F76" s="510"/>
      <c r="G76" s="510"/>
      <c r="H76" s="510"/>
      <c r="I76" s="510"/>
      <c r="J76" s="510"/>
      <c r="K76" s="510"/>
      <c r="L76" s="510"/>
      <c r="M76" s="510"/>
      <c r="N76" s="510"/>
      <c r="O76" s="510"/>
      <c r="P76" s="510"/>
      <c r="Q76" s="510"/>
    </row>
    <row r="77" spans="2:17" x14ac:dyDescent="0.2">
      <c r="B77" s="510"/>
      <c r="C77" s="510"/>
      <c r="D77" s="510"/>
      <c r="E77" s="510"/>
      <c r="F77" s="510"/>
      <c r="G77" s="510"/>
      <c r="H77" s="510"/>
      <c r="I77" s="510"/>
      <c r="J77" s="510"/>
      <c r="K77" s="510"/>
      <c r="L77" s="510"/>
      <c r="M77" s="510"/>
      <c r="N77" s="510"/>
      <c r="O77" s="510"/>
      <c r="P77" s="510"/>
      <c r="Q77" s="510"/>
    </row>
    <row r="78" spans="2:17" x14ac:dyDescent="0.2">
      <c r="C78" s="408"/>
      <c r="D78" s="408"/>
      <c r="E78" s="408"/>
      <c r="F78" s="408"/>
      <c r="G78" s="408"/>
      <c r="H78" s="408"/>
      <c r="I78" s="408"/>
      <c r="J78" s="408"/>
    </row>
    <row r="79" spans="2:17" x14ac:dyDescent="0.2">
      <c r="C79" s="408"/>
      <c r="D79" s="408"/>
      <c r="E79" s="408"/>
      <c r="F79" s="408"/>
      <c r="G79" s="408"/>
      <c r="H79" s="408"/>
      <c r="I79" s="408"/>
      <c r="J79" s="408"/>
    </row>
  </sheetData>
  <mergeCells count="2">
    <mergeCell ref="B71:Q73"/>
    <mergeCell ref="B75:Q77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J48"/>
  <sheetViews>
    <sheetView showGridLines="0" workbookViewId="0"/>
  </sheetViews>
  <sheetFormatPr defaultRowHeight="12.75" x14ac:dyDescent="0.2"/>
  <cols>
    <col min="1" max="1" width="5" style="7" customWidth="1"/>
    <col min="2" max="2" width="8.7109375" style="7" customWidth="1"/>
    <col min="3" max="3" width="6.140625" style="7" bestFit="1" customWidth="1"/>
    <col min="4" max="6" width="3.5703125" style="7" bestFit="1" customWidth="1"/>
    <col min="7" max="7" width="4.5703125" style="7" customWidth="1"/>
    <col min="8" max="13" width="4.5703125" style="7" bestFit="1" customWidth="1"/>
    <col min="14" max="14" width="6.28515625" style="7" customWidth="1"/>
    <col min="15" max="20" width="4.5703125" style="7" bestFit="1" customWidth="1"/>
    <col min="21" max="21" width="5.7109375" style="7" customWidth="1"/>
    <col min="22" max="24" width="7.5703125" style="7" bestFit="1" customWidth="1"/>
    <col min="25" max="25" width="6.42578125" style="7" customWidth="1"/>
    <col min="26" max="26" width="5.5703125" style="7" customWidth="1"/>
    <col min="27" max="27" width="5.28515625" style="7" customWidth="1"/>
    <col min="28" max="28" width="5.140625" style="7" customWidth="1"/>
    <col min="29" max="29" width="5.5703125" style="7" customWidth="1"/>
    <col min="30" max="30" width="7.28515625" style="7" customWidth="1"/>
    <col min="31" max="31" width="7.42578125" style="7" customWidth="1"/>
    <col min="32" max="36" width="4.5703125" style="7" bestFit="1" customWidth="1"/>
    <col min="37" max="46" width="5.5703125" style="7" bestFit="1" customWidth="1"/>
    <col min="47" max="47" width="8.85546875" style="7" bestFit="1" customWidth="1"/>
    <col min="48" max="48" width="6.140625" style="7" bestFit="1" customWidth="1"/>
    <col min="49" max="49" width="6.5703125" style="7" bestFit="1" customWidth="1"/>
    <col min="50" max="50" width="7.42578125" style="7" bestFit="1" customWidth="1"/>
    <col min="51" max="16384" width="9.140625" style="7"/>
  </cols>
  <sheetData>
    <row r="2" spans="2:62" x14ac:dyDescent="0.2">
      <c r="B2" s="76" t="s">
        <v>222</v>
      </c>
    </row>
    <row r="3" spans="2:62" x14ac:dyDescent="0.2">
      <c r="T3" s="581" t="s">
        <v>173</v>
      </c>
      <c r="U3" s="581"/>
      <c r="V3" s="581"/>
      <c r="W3" s="581"/>
      <c r="X3" s="581"/>
      <c r="Y3" s="582" t="s">
        <v>207</v>
      </c>
      <c r="Z3" s="582"/>
      <c r="AA3" s="582"/>
      <c r="AB3" s="582"/>
      <c r="AC3" s="582"/>
    </row>
    <row r="4" spans="2:62" ht="12.75" customHeight="1" x14ac:dyDescent="0.2">
      <c r="B4" s="216" t="s">
        <v>99</v>
      </c>
      <c r="C4" s="224"/>
      <c r="D4" s="583" t="s">
        <v>182</v>
      </c>
      <c r="E4" s="584"/>
      <c r="F4" s="584"/>
      <c r="G4" s="584"/>
      <c r="H4" s="585"/>
      <c r="I4" s="583" t="s">
        <v>183</v>
      </c>
      <c r="J4" s="584"/>
      <c r="K4" s="584"/>
      <c r="L4" s="584"/>
      <c r="M4" s="585"/>
      <c r="N4" s="586" t="s">
        <v>177</v>
      </c>
      <c r="O4" s="582" t="s">
        <v>204</v>
      </c>
      <c r="P4" s="581"/>
      <c r="Q4" s="581"/>
      <c r="R4" s="581"/>
      <c r="S4" s="588"/>
      <c r="T4" s="581"/>
      <c r="U4" s="581"/>
      <c r="V4" s="581"/>
      <c r="W4" s="581"/>
      <c r="X4" s="581"/>
      <c r="Y4" s="582"/>
      <c r="Z4" s="582"/>
      <c r="AA4" s="582"/>
      <c r="AB4" s="582"/>
      <c r="AC4" s="582"/>
      <c r="AD4" s="586" t="s">
        <v>2</v>
      </c>
      <c r="AE4" s="589" t="s">
        <v>206</v>
      </c>
      <c r="AF4" s="582" t="s">
        <v>205</v>
      </c>
      <c r="AG4" s="581"/>
      <c r="AH4" s="581"/>
      <c r="AI4" s="581"/>
      <c r="AJ4" s="588"/>
      <c r="AK4" s="581" t="s">
        <v>174</v>
      </c>
      <c r="AL4" s="581"/>
      <c r="AM4" s="581"/>
      <c r="AN4" s="581"/>
      <c r="AO4" s="588"/>
      <c r="AP4" s="591" t="s">
        <v>175</v>
      </c>
      <c r="AQ4" s="591"/>
      <c r="AR4" s="591"/>
      <c r="AS4" s="591"/>
      <c r="AT4" s="592"/>
      <c r="AU4" s="580" t="s">
        <v>176</v>
      </c>
      <c r="AV4" s="580"/>
      <c r="AW4" s="580"/>
      <c r="AX4" s="580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</row>
    <row r="5" spans="2:62" x14ac:dyDescent="0.2">
      <c r="B5" s="219" t="s">
        <v>1</v>
      </c>
      <c r="C5" s="225" t="s">
        <v>0</v>
      </c>
      <c r="D5" s="220">
        <v>1</v>
      </c>
      <c r="E5" s="220">
        <v>2</v>
      </c>
      <c r="F5" s="220">
        <v>3</v>
      </c>
      <c r="G5" s="220">
        <v>4</v>
      </c>
      <c r="H5" s="221">
        <v>5</v>
      </c>
      <c r="I5" s="220">
        <v>1</v>
      </c>
      <c r="J5" s="220">
        <v>2</v>
      </c>
      <c r="K5" s="220">
        <v>3</v>
      </c>
      <c r="L5" s="220">
        <v>4</v>
      </c>
      <c r="M5" s="221">
        <v>5</v>
      </c>
      <c r="N5" s="587"/>
      <c r="O5" s="263">
        <v>1</v>
      </c>
      <c r="P5" s="263">
        <v>2</v>
      </c>
      <c r="Q5" s="263">
        <v>3</v>
      </c>
      <c r="R5" s="263">
        <v>4</v>
      </c>
      <c r="S5" s="270">
        <v>5</v>
      </c>
      <c r="T5" s="281">
        <v>1</v>
      </c>
      <c r="U5" s="282">
        <v>2</v>
      </c>
      <c r="V5" s="282">
        <v>3</v>
      </c>
      <c r="W5" s="282">
        <v>4</v>
      </c>
      <c r="X5" s="283">
        <v>5</v>
      </c>
      <c r="Y5" s="282">
        <v>1</v>
      </c>
      <c r="Z5" s="282">
        <v>2</v>
      </c>
      <c r="AA5" s="282">
        <v>3</v>
      </c>
      <c r="AB5" s="282">
        <v>4</v>
      </c>
      <c r="AC5" s="283">
        <v>5</v>
      </c>
      <c r="AD5" s="586"/>
      <c r="AE5" s="590"/>
      <c r="AF5" s="281">
        <v>1</v>
      </c>
      <c r="AG5" s="282">
        <v>2</v>
      </c>
      <c r="AH5" s="282">
        <v>3</v>
      </c>
      <c r="AI5" s="282">
        <v>4</v>
      </c>
      <c r="AJ5" s="283">
        <v>5</v>
      </c>
      <c r="AK5" s="297">
        <v>1</v>
      </c>
      <c r="AL5" s="220">
        <v>2</v>
      </c>
      <c r="AM5" s="220">
        <v>3</v>
      </c>
      <c r="AN5" s="220">
        <v>4</v>
      </c>
      <c r="AO5" s="221">
        <v>5</v>
      </c>
      <c r="AP5" s="282">
        <v>1</v>
      </c>
      <c r="AQ5" s="282">
        <v>2</v>
      </c>
      <c r="AR5" s="282">
        <v>3</v>
      </c>
      <c r="AS5" s="282">
        <v>4</v>
      </c>
      <c r="AT5" s="283">
        <v>5</v>
      </c>
      <c r="AU5" s="298" t="s">
        <v>178</v>
      </c>
      <c r="AV5" s="282" t="s">
        <v>179</v>
      </c>
      <c r="AW5" s="282" t="s">
        <v>180</v>
      </c>
      <c r="AX5" s="282" t="s">
        <v>181</v>
      </c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</row>
    <row r="6" spans="2:62" x14ac:dyDescent="0.2">
      <c r="B6" s="217">
        <v>1</v>
      </c>
      <c r="C6" s="224" t="s">
        <v>9</v>
      </c>
      <c r="D6" s="218">
        <f>Baseline!AL31</f>
        <v>0.34178944291052044</v>
      </c>
      <c r="E6" s="218">
        <f>Baseline!AM31</f>
        <v>0.86022138962281691</v>
      </c>
      <c r="F6" s="218">
        <f>Baseline!AN31</f>
        <v>1.6301922696081339</v>
      </c>
      <c r="G6" s="218">
        <f>Baseline!AO31</f>
        <v>3.089352192294788</v>
      </c>
      <c r="H6" s="222">
        <f>Baseline!AP31</f>
        <v>7.7753332966046385</v>
      </c>
      <c r="I6" s="218">
        <f>IF(D6+'Non-travel METs'!D6&gt;2.5, D6+'Non-travel METs'!D6, 0.1)</f>
        <v>0.1</v>
      </c>
      <c r="J6" s="218">
        <f>IF(E6+'Non-travel METs'!E6&gt;2.5, E6+'Non-travel METs'!E6, 0.1)</f>
        <v>0.1</v>
      </c>
      <c r="K6" s="218">
        <f>IF(F6+'Non-travel METs'!F6&gt;2.5, F6+'Non-travel METs'!F6, 0.1)</f>
        <v>0.1</v>
      </c>
      <c r="L6" s="218">
        <f>IF(G6+'Non-travel METs'!G6&gt;2.5, G6+'Non-travel METs'!G6, 0.1)</f>
        <v>3.089352192294788</v>
      </c>
      <c r="M6" s="223">
        <f>IF(H6+'Non-travel METs'!H6&gt;2.5, H6+'Non-travel METs'!H6, 0.1)</f>
        <v>7.7753332966046385</v>
      </c>
      <c r="N6" s="268">
        <f>'Phy activity RRs'!$F$8</f>
        <v>0.93831941951583364</v>
      </c>
      <c r="O6" s="261">
        <f>$N6^(I6^0.5)</f>
        <v>0.98006871247951299</v>
      </c>
      <c r="P6" s="261">
        <f t="shared" ref="P6:S21" si="0">$N6^(J6^0.5)</f>
        <v>0.98006871247951299</v>
      </c>
      <c r="Q6" s="261">
        <f t="shared" si="0"/>
        <v>0.98006871247951299</v>
      </c>
      <c r="R6" s="261">
        <f t="shared" si="0"/>
        <v>0.89413288739404662</v>
      </c>
      <c r="S6" s="271">
        <f t="shared" si="0"/>
        <v>0.83734015352737656</v>
      </c>
      <c r="T6" s="275"/>
      <c r="U6" s="275"/>
      <c r="V6" s="275"/>
      <c r="W6" s="275"/>
      <c r="X6" s="276"/>
      <c r="Y6" s="262">
        <f>O6/$O6</f>
        <v>1</v>
      </c>
      <c r="Z6" s="262">
        <f t="shared" ref="Z6:AC21" si="1">P6/$O6</f>
        <v>1</v>
      </c>
      <c r="AA6" s="262">
        <f t="shared" si="1"/>
        <v>1</v>
      </c>
      <c r="AB6" s="262">
        <f t="shared" si="1"/>
        <v>0.91231653047258898</v>
      </c>
      <c r="AC6" s="286">
        <f t="shared" si="1"/>
        <v>0.8543688242112718</v>
      </c>
      <c r="AD6" s="289"/>
      <c r="AE6" s="290"/>
      <c r="AF6" s="215">
        <f>GBDUS!K58/(Y6+Z6+AA6+AB6+AC6)</f>
        <v>0</v>
      </c>
      <c r="AG6" s="215">
        <f>$AF6*Z6</f>
        <v>0</v>
      </c>
      <c r="AH6" s="215">
        <f t="shared" ref="AH6:AJ21" si="2">$AF6*AA6</f>
        <v>0</v>
      </c>
      <c r="AI6" s="215">
        <f t="shared" si="2"/>
        <v>0</v>
      </c>
      <c r="AJ6" s="321">
        <f t="shared" si="2"/>
        <v>0</v>
      </c>
      <c r="AK6" s="301">
        <f>GBDUS!L58/(Y6+Z6+AA6+AB6+AC6)</f>
        <v>5.4418938350518564</v>
      </c>
      <c r="AL6" s="301">
        <f>$AK6*Z6</f>
        <v>5.4418938350518564</v>
      </c>
      <c r="AM6" s="301">
        <f t="shared" ref="AM6:AO21" si="3">$AK6*AA6</f>
        <v>5.4418938350518564</v>
      </c>
      <c r="AN6" s="301">
        <f t="shared" si="3"/>
        <v>4.9647297027946813</v>
      </c>
      <c r="AO6" s="303">
        <f t="shared" si="3"/>
        <v>4.6493844373358231</v>
      </c>
      <c r="AP6" s="301">
        <f>GBDUS!M58/(Y6+Z6+AA6+AB6+AC6)</f>
        <v>4.8019407808391944E-2</v>
      </c>
      <c r="AQ6" s="301">
        <f>$AP6*Z6</f>
        <v>4.8019407808391944E-2</v>
      </c>
      <c r="AR6" s="301">
        <f t="shared" ref="AR6:AT21" si="4">$AP6*AA6</f>
        <v>4.8019407808391944E-2</v>
      </c>
      <c r="AS6" s="301">
        <f t="shared" si="4"/>
        <v>4.3808899527100487E-2</v>
      </c>
      <c r="AT6" s="302">
        <f t="shared" si="4"/>
        <v>4.102628498857739E-2</v>
      </c>
      <c r="AU6" s="299"/>
      <c r="AV6" s="299"/>
      <c r="AW6" s="299"/>
      <c r="AX6" s="299"/>
    </row>
    <row r="7" spans="2:62" x14ac:dyDescent="0.2">
      <c r="B7" s="217">
        <v>1</v>
      </c>
      <c r="C7" s="224" t="s">
        <v>10</v>
      </c>
      <c r="D7" s="218">
        <f>Baseline!AL32</f>
        <v>0.70925660709360083</v>
      </c>
      <c r="E7" s="218">
        <f>Baseline!AM32</f>
        <v>1.7850688978505065</v>
      </c>
      <c r="F7" s="218">
        <f>Baseline!AN32</f>
        <v>3.382856498452989</v>
      </c>
      <c r="G7" s="218">
        <f>Baseline!AO32</f>
        <v>6.410799102995739</v>
      </c>
      <c r="H7" s="223">
        <f>Baseline!AP32</f>
        <v>16.134806464503455</v>
      </c>
      <c r="I7" s="218">
        <f>IF(D7+'Non-travel METs'!D7&gt;2.5, D7+'Non-travel METs'!D7, 0.1)</f>
        <v>0.1</v>
      </c>
      <c r="J7" s="218">
        <f>IF(E7+'Non-travel METs'!E7&gt;2.5, E7+'Non-travel METs'!E7, 0.1)</f>
        <v>0.1</v>
      </c>
      <c r="K7" s="218">
        <f>IF(F7+'Non-travel METs'!F7&gt;2.5, F7+'Non-travel METs'!F7, 0.1)</f>
        <v>3.382856498452989</v>
      </c>
      <c r="L7" s="218">
        <f>IF(G7+'Non-travel METs'!G7&gt;2.5, G7+'Non-travel METs'!G7, 0.1)</f>
        <v>6.410799102995739</v>
      </c>
      <c r="M7" s="223">
        <f>IF(H7+'Non-travel METs'!H7&gt;2.5, H7+'Non-travel METs'!H7, 0.1)</f>
        <v>16.134806464503455</v>
      </c>
      <c r="N7" s="268">
        <f>'Phy activity RRs'!$F$8</f>
        <v>0.93831941951583364</v>
      </c>
      <c r="O7" s="261">
        <f t="shared" ref="O7:O13" si="5">$N7^(I7^0.5)</f>
        <v>0.98006871247951299</v>
      </c>
      <c r="P7" s="261">
        <f t="shared" si="0"/>
        <v>0.98006871247951299</v>
      </c>
      <c r="Q7" s="261">
        <f t="shared" si="0"/>
        <v>0.8894999206153511</v>
      </c>
      <c r="R7" s="261">
        <f t="shared" si="0"/>
        <v>0.85112473506105424</v>
      </c>
      <c r="S7" s="271">
        <f t="shared" si="0"/>
        <v>0.77435103418340323</v>
      </c>
      <c r="T7" s="275"/>
      <c r="U7" s="275"/>
      <c r="V7" s="275"/>
      <c r="W7" s="275"/>
      <c r="X7" s="276"/>
      <c r="Y7" s="262">
        <f t="shared" ref="Y7:Y21" si="6">O7/$O7</f>
        <v>1</v>
      </c>
      <c r="Z7" s="262">
        <f t="shared" si="1"/>
        <v>1</v>
      </c>
      <c r="AA7" s="262">
        <f t="shared" si="1"/>
        <v>0.90758934479703113</v>
      </c>
      <c r="AB7" s="262">
        <f t="shared" si="1"/>
        <v>0.86843373757719655</v>
      </c>
      <c r="AC7" s="273">
        <f t="shared" si="1"/>
        <v>0.79009871891976147</v>
      </c>
      <c r="AD7" s="290"/>
      <c r="AE7" s="290"/>
      <c r="AF7" s="215">
        <f>GBDUS!K59/(Y7+Z7+AA7+AB7+AC7)</f>
        <v>0</v>
      </c>
      <c r="AG7" s="215">
        <f t="shared" ref="AG7:AG21" si="7">$AF7*Z7</f>
        <v>0</v>
      </c>
      <c r="AH7" s="215">
        <f t="shared" si="2"/>
        <v>0</v>
      </c>
      <c r="AI7" s="215">
        <f t="shared" si="2"/>
        <v>0</v>
      </c>
      <c r="AJ7" s="321">
        <f t="shared" si="2"/>
        <v>0</v>
      </c>
      <c r="AK7" s="301">
        <f>GBDUS!L59/(Y7+Z7+AA7+AB7+AC7)</f>
        <v>2.7423757316216681</v>
      </c>
      <c r="AL7" s="301">
        <f t="shared" ref="AL7:AL21" si="8">$AK7*Z7</f>
        <v>2.7423757316216681</v>
      </c>
      <c r="AM7" s="301">
        <f t="shared" si="3"/>
        <v>2.4889509934497887</v>
      </c>
      <c r="AN7" s="301">
        <f t="shared" si="3"/>
        <v>2.3815716064532042</v>
      </c>
      <c r="AO7" s="303">
        <f t="shared" si="3"/>
        <v>2.1667475523509236</v>
      </c>
      <c r="AP7" s="301">
        <f>GBDUS!M59/(Y7+Z7+AA7+AB7+AC7)</f>
        <v>0.19875925325655089</v>
      </c>
      <c r="AQ7" s="301">
        <f t="shared" ref="AQ7:AQ21" si="9">$AP7*Z7</f>
        <v>0.19875925325655089</v>
      </c>
      <c r="AR7" s="301">
        <f t="shared" si="4"/>
        <v>0.1803917804354602</v>
      </c>
      <c r="AS7" s="301">
        <f t="shared" si="4"/>
        <v>0.17260924118363907</v>
      </c>
      <c r="AT7" s="303">
        <f t="shared" si="4"/>
        <v>0.1570394313714493</v>
      </c>
      <c r="AU7" s="299"/>
      <c r="AV7" s="299"/>
      <c r="AW7" s="299"/>
      <c r="AX7" s="299"/>
    </row>
    <row r="8" spans="2:62" x14ac:dyDescent="0.2">
      <c r="B8" s="217">
        <v>1</v>
      </c>
      <c r="C8" s="224" t="s">
        <v>11</v>
      </c>
      <c r="D8" s="218">
        <f>Baseline!AL33</f>
        <v>0.54814846293685915</v>
      </c>
      <c r="E8" s="218">
        <f>Baseline!AM33</f>
        <v>1.3795892245583525</v>
      </c>
      <c r="F8" s="218">
        <f>Baseline!AN33</f>
        <v>2.614438232111187</v>
      </c>
      <c r="G8" s="218">
        <f>Baseline!AO33</f>
        <v>4.9545815144452483</v>
      </c>
      <c r="H8" s="223">
        <f>Baseline!AP33</f>
        <v>12.469773668437746</v>
      </c>
      <c r="I8" s="218">
        <f>IF(D8+'Non-travel METs'!D8&gt;2.5, D8+'Non-travel METs'!D8, 0.1)</f>
        <v>65.425648462936863</v>
      </c>
      <c r="J8" s="218">
        <f>IF(E8+'Non-travel METs'!E8&gt;2.5, E8+'Non-travel METs'!E8, 0.1)</f>
        <v>66.257089224558356</v>
      </c>
      <c r="K8" s="218">
        <f>IF(F8+'Non-travel METs'!F8&gt;2.5, F8+'Non-travel METs'!F8, 0.1)</f>
        <v>67.491938232111181</v>
      </c>
      <c r="L8" s="218">
        <f>IF(G8+'Non-travel METs'!G8&gt;2.5, G8+'Non-travel METs'!G8, 0.1)</f>
        <v>69.83208151444525</v>
      </c>
      <c r="M8" s="223">
        <f>IF(H8+'Non-travel METs'!H8&gt;2.5, H8+'Non-travel METs'!H8, 0.1)</f>
        <v>77.347273668437737</v>
      </c>
      <c r="N8" s="268">
        <f>'Phy activity RRs'!$F$8</f>
        <v>0.93831941951583364</v>
      </c>
      <c r="O8" s="261">
        <f t="shared" si="5"/>
        <v>0.59752429753096747</v>
      </c>
      <c r="P8" s="261">
        <f t="shared" si="0"/>
        <v>0.59557848368459065</v>
      </c>
      <c r="Q8" s="261">
        <f t="shared" si="0"/>
        <v>0.59272251423508937</v>
      </c>
      <c r="R8" s="261">
        <f t="shared" si="0"/>
        <v>0.58741769720809844</v>
      </c>
      <c r="S8" s="271">
        <f t="shared" si="0"/>
        <v>0.57125750088237492</v>
      </c>
      <c r="T8" s="275"/>
      <c r="U8" s="275"/>
      <c r="V8" s="275"/>
      <c r="W8" s="275"/>
      <c r="X8" s="276"/>
      <c r="Y8" s="262">
        <f t="shared" si="6"/>
        <v>1</v>
      </c>
      <c r="Z8" s="262">
        <f t="shared" si="1"/>
        <v>0.99674354021348233</v>
      </c>
      <c r="AA8" s="262">
        <f t="shared" si="1"/>
        <v>0.99196386939289405</v>
      </c>
      <c r="AB8" s="262">
        <f t="shared" si="1"/>
        <v>0.98308587556249916</v>
      </c>
      <c r="AC8" s="273">
        <f t="shared" si="1"/>
        <v>0.95604062168328607</v>
      </c>
      <c r="AD8" s="290"/>
      <c r="AE8" s="290"/>
      <c r="AF8" s="215">
        <f>GBDUS!K60/(Y8+Z8+AA8+AB8+AC8)</f>
        <v>0</v>
      </c>
      <c r="AG8" s="215">
        <f t="shared" si="7"/>
        <v>0</v>
      </c>
      <c r="AH8" s="215">
        <f t="shared" si="2"/>
        <v>0</v>
      </c>
      <c r="AI8" s="215">
        <f t="shared" si="2"/>
        <v>0</v>
      </c>
      <c r="AJ8" s="321">
        <f t="shared" si="2"/>
        <v>0</v>
      </c>
      <c r="AK8" s="301">
        <f>GBDUS!L60/(Y8+Z8+AA8+AB8+AC8)</f>
        <v>26.244810909622583</v>
      </c>
      <c r="AL8" s="301">
        <f t="shared" si="8"/>
        <v>26.159345738290636</v>
      </c>
      <c r="AM8" s="301">
        <f t="shared" si="3"/>
        <v>26.033904181394057</v>
      </c>
      <c r="AN8" s="301">
        <f t="shared" si="3"/>
        <v>25.800902912058547</v>
      </c>
      <c r="AO8" s="303">
        <f t="shared" si="3"/>
        <v>25.091105337995863</v>
      </c>
      <c r="AP8" s="301">
        <f>GBDUS!M60/(Y8+Z8+AA8+AB8+AC8)</f>
        <v>4.3302585913949345</v>
      </c>
      <c r="AQ8" s="301">
        <f t="shared" si="9"/>
        <v>4.3161572784268341</v>
      </c>
      <c r="AR8" s="301">
        <f t="shared" si="4"/>
        <v>4.2954600677919421</v>
      </c>
      <c r="AS8" s="301">
        <f t="shared" si="4"/>
        <v>4.2570160587335231</v>
      </c>
      <c r="AT8" s="303">
        <f t="shared" si="4"/>
        <v>4.1399031157666037</v>
      </c>
      <c r="AU8" s="299"/>
      <c r="AV8" s="299"/>
      <c r="AW8" s="299"/>
      <c r="AX8" s="299"/>
    </row>
    <row r="9" spans="2:62" x14ac:dyDescent="0.2">
      <c r="B9" s="217">
        <v>1</v>
      </c>
      <c r="C9" s="224" t="s">
        <v>12</v>
      </c>
      <c r="D9" s="218">
        <f>Baseline!AL34</f>
        <v>0.47247961244187975</v>
      </c>
      <c r="E9" s="218">
        <f>Baseline!AM34</f>
        <v>1.1891445953455264</v>
      </c>
      <c r="F9" s="218">
        <f>Baseline!AN34</f>
        <v>2.253529556651181</v>
      </c>
      <c r="G9" s="218">
        <f>Baseline!AO34</f>
        <v>4.2706290577092139</v>
      </c>
      <c r="H9" s="223">
        <f>Baseline!AP34</f>
        <v>10.7483906796617</v>
      </c>
      <c r="I9" s="218">
        <f>IF(D9+'Non-travel METs'!D9&gt;2.5, D9+'Non-travel METs'!D9, 0.1)</f>
        <v>68.166229612441867</v>
      </c>
      <c r="J9" s="218">
        <f>IF(E9+'Non-travel METs'!E9&gt;2.5, E9+'Non-travel METs'!E9, 0.1)</f>
        <v>68.882894595345519</v>
      </c>
      <c r="K9" s="218">
        <f>IF(F9+'Non-travel METs'!F9&gt;2.5, F9+'Non-travel METs'!F9, 0.1)</f>
        <v>69.947279556651182</v>
      </c>
      <c r="L9" s="218">
        <f>IF(G9+'Non-travel METs'!G9&gt;2.5, G9+'Non-travel METs'!G9, 0.1)</f>
        <v>71.964379057709209</v>
      </c>
      <c r="M9" s="223">
        <f>IF(H9+'Non-travel METs'!H9&gt;2.5, H9+'Non-travel METs'!H9, 0.1)</f>
        <v>78.442140679661691</v>
      </c>
      <c r="N9" s="268">
        <f>'Phy activity RRs'!$F$8</f>
        <v>0.93831941951583364</v>
      </c>
      <c r="O9" s="261">
        <f t="shared" si="5"/>
        <v>0.59117976141601847</v>
      </c>
      <c r="P9" s="261">
        <f t="shared" si="0"/>
        <v>0.58955276890311081</v>
      </c>
      <c r="Q9" s="261">
        <f t="shared" si="0"/>
        <v>0.5871600887315086</v>
      </c>
      <c r="R9" s="261">
        <f t="shared" si="0"/>
        <v>0.58270130587566638</v>
      </c>
      <c r="S9" s="271">
        <f t="shared" si="0"/>
        <v>0.56900609116370449</v>
      </c>
      <c r="T9" s="275"/>
      <c r="U9" s="275"/>
      <c r="V9" s="275"/>
      <c r="W9" s="275"/>
      <c r="X9" s="276"/>
      <c r="Y9" s="262">
        <f t="shared" si="6"/>
        <v>1</v>
      </c>
      <c r="Z9" s="262">
        <f t="shared" si="1"/>
        <v>0.99724788868108305</v>
      </c>
      <c r="AA9" s="262">
        <f t="shared" si="1"/>
        <v>0.99320059151740614</v>
      </c>
      <c r="AB9" s="262">
        <f t="shared" si="1"/>
        <v>0.98565841374534857</v>
      </c>
      <c r="AC9" s="273">
        <f t="shared" si="1"/>
        <v>0.96249250786393181</v>
      </c>
      <c r="AD9" s="290"/>
      <c r="AE9" s="290"/>
      <c r="AF9" s="215">
        <f>GBDUS!K61/(Y9+Z9+AA9+AB9+AC9)</f>
        <v>2.0248655917180711</v>
      </c>
      <c r="AG9" s="215">
        <f t="shared" si="7"/>
        <v>2.0192929362038186</v>
      </c>
      <c r="AH9" s="215">
        <f t="shared" si="2"/>
        <v>2.0110977034376307</v>
      </c>
      <c r="AI9" s="215">
        <f t="shared" si="2"/>
        <v>1.9958258071803705</v>
      </c>
      <c r="AJ9" s="321">
        <f t="shared" si="2"/>
        <v>1.9489179614601104</v>
      </c>
      <c r="AK9" s="301">
        <f>GBDUS!L61/(Y9+Z9+AA9+AB9+AC9)</f>
        <v>94.121366439992627</v>
      </c>
      <c r="AL9" s="301">
        <f t="shared" si="8"/>
        <v>93.8623339620612</v>
      </c>
      <c r="AM9" s="301">
        <f t="shared" si="3"/>
        <v>93.481396822627218</v>
      </c>
      <c r="AN9" s="301">
        <f t="shared" si="3"/>
        <v>92.771516744787817</v>
      </c>
      <c r="AO9" s="303">
        <f t="shared" si="3"/>
        <v>90.591110028408607</v>
      </c>
      <c r="AP9" s="301">
        <f>GBDUS!M61/(Y9+Z9+AA9+AB9+AC9)</f>
        <v>9.5904387233881856</v>
      </c>
      <c r="AQ9" s="301">
        <f t="shared" si="9"/>
        <v>9.5640447684241696</v>
      </c>
      <c r="AR9" s="301">
        <f t="shared" si="4"/>
        <v>9.5252294129805826</v>
      </c>
      <c r="AS9" s="301">
        <f t="shared" si="4"/>
        <v>9.4528966192167641</v>
      </c>
      <c r="AT9" s="303">
        <f t="shared" si="4"/>
        <v>9.2307254183892589</v>
      </c>
      <c r="AU9" s="299"/>
      <c r="AV9" s="299"/>
      <c r="AW9" s="299"/>
      <c r="AX9" s="299"/>
    </row>
    <row r="10" spans="2:62" x14ac:dyDescent="0.2">
      <c r="B10" s="217">
        <v>1</v>
      </c>
      <c r="C10" s="224" t="s">
        <v>13</v>
      </c>
      <c r="D10" s="218">
        <f>Baseline!AL35</f>
        <v>0.40064658164119982</v>
      </c>
      <c r="E10" s="218">
        <f>Baseline!AM35</f>
        <v>1.0083540213301772</v>
      </c>
      <c r="F10" s="218">
        <f>Baseline!AN35</f>
        <v>1.9109161320918737</v>
      </c>
      <c r="G10" s="218">
        <f>Baseline!AO35</f>
        <v>3.6213476483903273</v>
      </c>
      <c r="H10" s="223">
        <f>Baseline!AP35</f>
        <v>9.1142683632308312</v>
      </c>
      <c r="I10" s="218">
        <f>IF(D10+'Non-travel METs'!D10&gt;2.5, D10+'Non-travel METs'!D10, 0.1)</f>
        <v>58.175646581641196</v>
      </c>
      <c r="J10" s="218">
        <f>IF(E10+'Non-travel METs'!E10&gt;2.5, E10+'Non-travel METs'!E10, 0.1)</f>
        <v>58.783354021330176</v>
      </c>
      <c r="K10" s="218">
        <f>IF(F10+'Non-travel METs'!F10&gt;2.5, F10+'Non-travel METs'!F10, 0.1)</f>
        <v>59.685916132091876</v>
      </c>
      <c r="L10" s="218">
        <f>IF(G10+'Non-travel METs'!G10&gt;2.5, G10+'Non-travel METs'!G10, 0.1)</f>
        <v>61.396347648390325</v>
      </c>
      <c r="M10" s="223">
        <f>IF(H10+'Non-travel METs'!H10&gt;2.5, H10+'Non-travel METs'!H10, 0.1)</f>
        <v>66.889268363230826</v>
      </c>
      <c r="N10" s="268">
        <f>'Phy activity RRs'!$F$8</f>
        <v>0.93831941951583364</v>
      </c>
      <c r="O10" s="261">
        <f t="shared" si="5"/>
        <v>0.61533360772840173</v>
      </c>
      <c r="P10" s="261">
        <f t="shared" si="0"/>
        <v>0.6137789836348031</v>
      </c>
      <c r="Q10" s="261">
        <f t="shared" si="0"/>
        <v>0.61149199609064542</v>
      </c>
      <c r="R10" s="261">
        <f t="shared" si="0"/>
        <v>0.60722783965438998</v>
      </c>
      <c r="S10" s="271">
        <f t="shared" si="0"/>
        <v>0.59411136570731327</v>
      </c>
      <c r="T10" s="275"/>
      <c r="U10" s="275"/>
      <c r="V10" s="275"/>
      <c r="W10" s="275"/>
      <c r="X10" s="276"/>
      <c r="Y10" s="262">
        <f t="shared" si="6"/>
        <v>1</v>
      </c>
      <c r="Z10" s="262">
        <f t="shared" si="1"/>
        <v>0.99747352643497278</v>
      </c>
      <c r="AA10" s="262">
        <f t="shared" si="1"/>
        <v>0.99375686361104476</v>
      </c>
      <c r="AB10" s="262">
        <f t="shared" si="1"/>
        <v>0.98682703500636759</v>
      </c>
      <c r="AC10" s="273">
        <f t="shared" si="1"/>
        <v>0.9655109980106017</v>
      </c>
      <c r="AD10" s="290"/>
      <c r="AE10" s="290"/>
      <c r="AF10" s="215">
        <f>GBDUS!K62/(Y10+Z10+AA10+AB10+AC10)</f>
        <v>17.800906646595188</v>
      </c>
      <c r="AG10" s="215">
        <f t="shared" si="7"/>
        <v>17.755933126519047</v>
      </c>
      <c r="AH10" s="215">
        <f t="shared" si="2"/>
        <v>17.689773158553432</v>
      </c>
      <c r="AI10" s="215">
        <f t="shared" si="2"/>
        <v>17.56641592648467</v>
      </c>
      <c r="AJ10" s="321">
        <f t="shared" si="2"/>
        <v>17.186971141847671</v>
      </c>
      <c r="AK10" s="301">
        <f>GBDUS!L62/(Y10+Z10+AA10+AB10+AC10)</f>
        <v>595.22437283894499</v>
      </c>
      <c r="AL10" s="301">
        <f t="shared" si="8"/>
        <v>593.72055419570745</v>
      </c>
      <c r="AM10" s="301">
        <f t="shared" si="3"/>
        <v>591.50830589728116</v>
      </c>
      <c r="AN10" s="301">
        <f t="shared" si="3"/>
        <v>587.38350301218077</v>
      </c>
      <c r="AO10" s="303">
        <f t="shared" si="3"/>
        <v>574.69567825996421</v>
      </c>
      <c r="AP10" s="301">
        <f>GBDUS!M62/(Y10+Z10+AA10+AB10+AC10)</f>
        <v>44.734276623113502</v>
      </c>
      <c r="AQ10" s="301">
        <f t="shared" si="9"/>
        <v>44.621256655774587</v>
      </c>
      <c r="AR10" s="301">
        <f t="shared" si="4"/>
        <v>44.454994432894154</v>
      </c>
      <c r="AS10" s="301">
        <f t="shared" si="4"/>
        <v>44.14499356314176</v>
      </c>
      <c r="AT10" s="303">
        <f t="shared" si="4"/>
        <v>43.191436067664647</v>
      </c>
      <c r="AU10" s="299"/>
      <c r="AV10" s="299"/>
      <c r="AW10" s="299"/>
      <c r="AX10" s="299"/>
    </row>
    <row r="11" spans="2:62" x14ac:dyDescent="0.2">
      <c r="B11" s="217">
        <v>1</v>
      </c>
      <c r="C11" s="224" t="s">
        <v>14</v>
      </c>
      <c r="D11" s="218">
        <f>Baseline!AL36</f>
        <v>0.32427865889454843</v>
      </c>
      <c r="E11" s="218">
        <f>Baseline!AM36</f>
        <v>0.8161499553756566</v>
      </c>
      <c r="F11" s="218">
        <f>Baseline!AN36</f>
        <v>1.5466731752366658</v>
      </c>
      <c r="G11" s="218">
        <f>Baseline!AO36</f>
        <v>2.9310764464792394</v>
      </c>
      <c r="H11" s="223">
        <f>Baseline!AP36</f>
        <v>7.3769822508566136</v>
      </c>
      <c r="I11" s="218">
        <f>IF(D11+'Non-travel METs'!D11&gt;2.5, D11+'Non-travel METs'!D11, 0.1)</f>
        <v>23.407611992227849</v>
      </c>
      <c r="J11" s="218">
        <f>IF(E11+'Non-travel METs'!E11&gt;2.5, E11+'Non-travel METs'!E11, 0.1)</f>
        <v>23.899483288708957</v>
      </c>
      <c r="K11" s="218">
        <f>IF(F11+'Non-travel METs'!F11&gt;2.5, F11+'Non-travel METs'!F11, 0.1)</f>
        <v>24.630006508569966</v>
      </c>
      <c r="L11" s="218">
        <f>IF(G11+'Non-travel METs'!G11&gt;2.5, G11+'Non-travel METs'!G11, 0.1)</f>
        <v>26.014409779812539</v>
      </c>
      <c r="M11" s="223">
        <f>IF(H11+'Non-travel METs'!H11&gt;2.5, H11+'Non-travel METs'!H11, 0.1)</f>
        <v>30.460315584189914</v>
      </c>
      <c r="N11" s="268">
        <f>'Phy activity RRs'!$F$8</f>
        <v>0.93831941951583364</v>
      </c>
      <c r="O11" s="261">
        <f t="shared" si="5"/>
        <v>0.73490093491614672</v>
      </c>
      <c r="P11" s="261">
        <f t="shared" si="0"/>
        <v>0.7325387773488885</v>
      </c>
      <c r="Q11" s="261">
        <f t="shared" si="0"/>
        <v>0.72908865808876611</v>
      </c>
      <c r="R11" s="261">
        <f t="shared" si="0"/>
        <v>0.72273092857219057</v>
      </c>
      <c r="S11" s="271">
        <f t="shared" si="0"/>
        <v>0.70372203122064114</v>
      </c>
      <c r="T11" s="275"/>
      <c r="U11" s="275"/>
      <c r="V11" s="275"/>
      <c r="W11" s="275"/>
      <c r="X11" s="276"/>
      <c r="Y11" s="262">
        <f t="shared" si="6"/>
        <v>1</v>
      </c>
      <c r="Z11" s="262">
        <f t="shared" si="1"/>
        <v>0.99678574695577471</v>
      </c>
      <c r="AA11" s="262">
        <f t="shared" si="1"/>
        <v>0.99209107438672151</v>
      </c>
      <c r="AB11" s="262">
        <f t="shared" si="1"/>
        <v>0.98343993623392956</v>
      </c>
      <c r="AC11" s="273">
        <f t="shared" si="1"/>
        <v>0.95757400458462727</v>
      </c>
      <c r="AD11" s="290"/>
      <c r="AE11" s="290"/>
      <c r="AF11" s="215">
        <f>GBDUS!K63/(Y11+Z11+AA11+AB11+AC11)</f>
        <v>19.878736614650869</v>
      </c>
      <c r="AG11" s="215">
        <f t="shared" si="7"/>
        <v>19.814841324971873</v>
      </c>
      <c r="AH11" s="215">
        <f t="shared" si="2"/>
        <v>19.721517165479639</v>
      </c>
      <c r="AI11" s="215">
        <f t="shared" si="2"/>
        <v>19.549543468723332</v>
      </c>
      <c r="AJ11" s="321">
        <f t="shared" si="2"/>
        <v>19.035361426174291</v>
      </c>
      <c r="AK11" s="301">
        <f>GBDUS!L63/(Y11+Z11+AA11+AB11+AC11)</f>
        <v>460.80816555060778</v>
      </c>
      <c r="AL11" s="301">
        <f t="shared" si="8"/>
        <v>459.32701150168288</v>
      </c>
      <c r="AM11" s="301">
        <f t="shared" si="3"/>
        <v>457.1636680472767</v>
      </c>
      <c r="AN11" s="301">
        <f t="shared" si="3"/>
        <v>453.17715294516375</v>
      </c>
      <c r="AO11" s="303">
        <f t="shared" si="3"/>
        <v>441.2579204315914</v>
      </c>
      <c r="AP11" s="301">
        <f>GBDUS!M63/(Y11+Z11+AA11+AB11+AC11)</f>
        <v>39.197379892584202</v>
      </c>
      <c r="AQ11" s="301">
        <f t="shared" si="9"/>
        <v>39.071389594938807</v>
      </c>
      <c r="AR11" s="301">
        <f t="shared" si="4"/>
        <v>38.887370730778336</v>
      </c>
      <c r="AS11" s="301">
        <f t="shared" si="4"/>
        <v>38.548268782100124</v>
      </c>
      <c r="AT11" s="303">
        <f t="shared" si="4"/>
        <v>37.534392032966799</v>
      </c>
      <c r="AU11" s="299"/>
      <c r="AV11" s="299"/>
      <c r="AW11" s="299"/>
      <c r="AX11" s="299"/>
    </row>
    <row r="12" spans="2:62" x14ac:dyDescent="0.2">
      <c r="B12" s="217">
        <v>1</v>
      </c>
      <c r="C12" s="224" t="s">
        <v>15</v>
      </c>
      <c r="D12" s="218">
        <f>Baseline!AL37</f>
        <v>0.187470361714002</v>
      </c>
      <c r="E12" s="218">
        <f>Baseline!AM37</f>
        <v>0.47182854360112558</v>
      </c>
      <c r="F12" s="218">
        <f>Baseline!AN37</f>
        <v>0.89415498572556928</v>
      </c>
      <c r="G12" s="218">
        <f>Baseline!AO37</f>
        <v>1.69449930348806</v>
      </c>
      <c r="H12" s="223">
        <f>Baseline!AP37</f>
        <v>4.2647442037669991</v>
      </c>
      <c r="I12" s="218">
        <f>IF(D12+'Non-travel METs'!D12&gt;2.5, D12+'Non-travel METs'!D12, 0.1)</f>
        <v>0.1</v>
      </c>
      <c r="J12" s="218">
        <f>IF(E12+'Non-travel METs'!E12&gt;2.5, E12+'Non-travel METs'!E12, 0.1)</f>
        <v>0.1</v>
      </c>
      <c r="K12" s="218">
        <f>IF(F12+'Non-travel METs'!F12&gt;2.5, F12+'Non-travel METs'!F12, 0.1)</f>
        <v>2.7691549857255691</v>
      </c>
      <c r="L12" s="218">
        <f>IF(G12+'Non-travel METs'!G12&gt;2.5, G12+'Non-travel METs'!G12, 0.1)</f>
        <v>3.56949930348806</v>
      </c>
      <c r="M12" s="223">
        <f>IF(H12+'Non-travel METs'!H12&gt;2.5, H12+'Non-travel METs'!H12, 0.1)</f>
        <v>6.1397442037669991</v>
      </c>
      <c r="N12" s="268">
        <f>'Phy activity RRs'!$F$8</f>
        <v>0.93831941951583364</v>
      </c>
      <c r="O12" s="261">
        <f t="shared" si="5"/>
        <v>0.98006871247951299</v>
      </c>
      <c r="P12" s="261">
        <f t="shared" si="0"/>
        <v>0.98006871247951299</v>
      </c>
      <c r="Q12" s="261">
        <f t="shared" si="0"/>
        <v>0.89947567055378164</v>
      </c>
      <c r="R12" s="261">
        <f t="shared" si="0"/>
        <v>0.88666968089109222</v>
      </c>
      <c r="S12" s="271">
        <f t="shared" si="0"/>
        <v>0.85406155615180068</v>
      </c>
      <c r="T12" s="275"/>
      <c r="U12" s="275"/>
      <c r="V12" s="275"/>
      <c r="W12" s="275"/>
      <c r="X12" s="276"/>
      <c r="Y12" s="262">
        <f t="shared" si="6"/>
        <v>1</v>
      </c>
      <c r="Z12" s="262">
        <f t="shared" si="1"/>
        <v>1</v>
      </c>
      <c r="AA12" s="262">
        <f t="shared" si="1"/>
        <v>0.9177679677970374</v>
      </c>
      <c r="AB12" s="262">
        <f t="shared" si="1"/>
        <v>0.90470154755565346</v>
      </c>
      <c r="AC12" s="273">
        <f t="shared" si="1"/>
        <v>0.87143028369008735</v>
      </c>
      <c r="AD12" s="290"/>
      <c r="AE12" s="290"/>
      <c r="AF12" s="215">
        <f>GBDUS!K64/(Y12+Z12+AA12+AB12+AC12)</f>
        <v>24.925968812512714</v>
      </c>
      <c r="AG12" s="215">
        <f t="shared" si="7"/>
        <v>24.925968812512714</v>
      </c>
      <c r="AH12" s="215">
        <f t="shared" si="2"/>
        <v>22.876255742432129</v>
      </c>
      <c r="AI12" s="215">
        <f t="shared" si="2"/>
        <v>22.550562559004206</v>
      </c>
      <c r="AJ12" s="321">
        <f t="shared" si="2"/>
        <v>21.721244073538223</v>
      </c>
      <c r="AK12" s="301">
        <f>GBDUS!L64/(Y12+Z12+AA12+AB12+AC12)</f>
        <v>364.13619232199108</v>
      </c>
      <c r="AL12" s="301">
        <f t="shared" si="8"/>
        <v>364.13619232199108</v>
      </c>
      <c r="AM12" s="301">
        <f t="shared" si="3"/>
        <v>334.19253322870492</v>
      </c>
      <c r="AN12" s="301">
        <f t="shared" si="3"/>
        <v>329.43457671472839</v>
      </c>
      <c r="AO12" s="303">
        <f t="shared" si="3"/>
        <v>317.31930537698088</v>
      </c>
      <c r="AP12" s="301">
        <f>GBDUS!M64/(Y12+Z12+AA12+AB12+AC12)</f>
        <v>32.448559329005725</v>
      </c>
      <c r="AQ12" s="301">
        <f t="shared" si="9"/>
        <v>32.448559329005725</v>
      </c>
      <c r="AR12" s="301">
        <f t="shared" si="4"/>
        <v>29.780248353323184</v>
      </c>
      <c r="AS12" s="301">
        <f t="shared" si="4"/>
        <v>29.356261840902917</v>
      </c>
      <c r="AT12" s="303">
        <f t="shared" si="4"/>
        <v>28.27665726141009</v>
      </c>
      <c r="AU12" s="299"/>
      <c r="AV12" s="299"/>
      <c r="AW12" s="299"/>
      <c r="AX12" s="299"/>
    </row>
    <row r="13" spans="2:62" x14ac:dyDescent="0.2">
      <c r="B13" s="226">
        <v>1</v>
      </c>
      <c r="C13" s="227" t="s">
        <v>16</v>
      </c>
      <c r="D13" s="228">
        <f>Baseline!AL38</f>
        <v>0.17399761857642834</v>
      </c>
      <c r="E13" s="228">
        <f>Baseline!AM38</f>
        <v>0.4379201182116701</v>
      </c>
      <c r="F13" s="228">
        <f>Baseline!AN38</f>
        <v>0.82989565247565811</v>
      </c>
      <c r="G13" s="228">
        <f>Baseline!AO38</f>
        <v>1.5727224335126344</v>
      </c>
      <c r="H13" s="229">
        <f>Baseline!AP38</f>
        <v>3.9582541395270634</v>
      </c>
      <c r="I13" s="230">
        <f>IF(D13+'Non-travel METs'!D13&gt;2.5, D13+'Non-travel METs'!D13, 0.1)</f>
        <v>0.1</v>
      </c>
      <c r="J13" s="228">
        <f>IF(E13+'Non-travel METs'!E13&gt;2.5, E13+'Non-travel METs'!E13, 0.1)</f>
        <v>0.1</v>
      </c>
      <c r="K13" s="228">
        <f>IF(F13+'Non-travel METs'!F13&gt;2.5, F13+'Non-travel METs'!F13, 0.1)</f>
        <v>0.1</v>
      </c>
      <c r="L13" s="228">
        <f>IF(G13+'Non-travel METs'!G13&gt;2.5, G13+'Non-travel METs'!G13, 0.1)</f>
        <v>0.1</v>
      </c>
      <c r="M13" s="229">
        <f>IF(H13+'Non-travel METs'!H13&gt;2.5, H13+'Non-travel METs'!H13, 0.1)</f>
        <v>4.291587472860396</v>
      </c>
      <c r="N13" s="375">
        <f>'Phy activity RRs'!$F$8</f>
        <v>0.93831941951583364</v>
      </c>
      <c r="O13" s="265">
        <f t="shared" si="5"/>
        <v>0.98006871247951299</v>
      </c>
      <c r="P13" s="265">
        <f t="shared" si="0"/>
        <v>0.98006871247951299</v>
      </c>
      <c r="Q13" s="265">
        <f t="shared" si="0"/>
        <v>0.98006871247951299</v>
      </c>
      <c r="R13" s="265">
        <f t="shared" si="0"/>
        <v>0.98006871247951299</v>
      </c>
      <c r="S13" s="272">
        <f t="shared" si="0"/>
        <v>0.87643823010380562</v>
      </c>
      <c r="T13" s="275"/>
      <c r="U13" s="275"/>
      <c r="V13" s="275"/>
      <c r="W13" s="275"/>
      <c r="X13" s="276"/>
      <c r="Y13" s="287">
        <f t="shared" si="6"/>
        <v>1</v>
      </c>
      <c r="Z13" s="264">
        <f t="shared" si="1"/>
        <v>1</v>
      </c>
      <c r="AA13" s="264">
        <f t="shared" si="1"/>
        <v>1</v>
      </c>
      <c r="AB13" s="264">
        <f t="shared" si="1"/>
        <v>1</v>
      </c>
      <c r="AC13" s="274">
        <f t="shared" si="1"/>
        <v>0.8942620236151313</v>
      </c>
      <c r="AD13" s="290"/>
      <c r="AE13" s="290"/>
      <c r="AF13" s="215">
        <f>GBDUS!K65/(Y13+Z13+AA13+AB13+AC13)</f>
        <v>49.854298528089458</v>
      </c>
      <c r="AG13" s="320">
        <f t="shared" si="7"/>
        <v>49.854298528089458</v>
      </c>
      <c r="AH13" s="320">
        <f t="shared" si="2"/>
        <v>49.854298528089458</v>
      </c>
      <c r="AI13" s="320">
        <f t="shared" si="2"/>
        <v>49.854298528089458</v>
      </c>
      <c r="AJ13" s="322">
        <f t="shared" si="2"/>
        <v>44.582805887642138</v>
      </c>
      <c r="AK13" s="301">
        <f>GBDUS!L65/(Y13+Z13+AA13+AB13+AC13)</f>
        <v>317.33231915522924</v>
      </c>
      <c r="AL13" s="305">
        <f t="shared" si="8"/>
        <v>317.33231915522924</v>
      </c>
      <c r="AM13" s="305">
        <f t="shared" si="3"/>
        <v>317.33231915522924</v>
      </c>
      <c r="AN13" s="305">
        <f t="shared" si="3"/>
        <v>317.33231915522924</v>
      </c>
      <c r="AO13" s="306">
        <f t="shared" si="3"/>
        <v>283.77824188623799</v>
      </c>
      <c r="AP13" s="301">
        <f>GBDUS!M65/(Y13+Z13+AA13+AB13+AC13)</f>
        <v>26.46243402318192</v>
      </c>
      <c r="AQ13" s="305">
        <f t="shared" si="9"/>
        <v>26.46243402318192</v>
      </c>
      <c r="AR13" s="305">
        <f t="shared" si="4"/>
        <v>26.46243402318192</v>
      </c>
      <c r="AS13" s="305">
        <f t="shared" si="4"/>
        <v>26.46243402318192</v>
      </c>
      <c r="AT13" s="306">
        <f t="shared" si="4"/>
        <v>23.664349799352564</v>
      </c>
      <c r="AU13" s="299"/>
      <c r="AV13" s="299"/>
      <c r="AW13" s="299"/>
      <c r="AX13" s="299"/>
    </row>
    <row r="14" spans="2:62" x14ac:dyDescent="0.2">
      <c r="B14" s="217">
        <v>2</v>
      </c>
      <c r="C14" s="224" t="s">
        <v>9</v>
      </c>
      <c r="D14" s="218">
        <f>Baseline!AL39</f>
        <v>0.62051946258483393</v>
      </c>
      <c r="E14" s="218">
        <f>Baseline!AM39</f>
        <v>1.5617337675712608</v>
      </c>
      <c r="F14" s="218">
        <f>Baseline!AN39</f>
        <v>2.9596175424061157</v>
      </c>
      <c r="G14" s="218">
        <f>Baseline!AO39</f>
        <v>5.6087254941923606</v>
      </c>
      <c r="H14" s="223">
        <f>Baseline!AP39</f>
        <v>14.116134183495483</v>
      </c>
      <c r="I14" s="218">
        <f>IF(D14+'Non-travel METs'!D14&gt;2.5, D14+'Non-travel METs'!D14, 0.1)</f>
        <v>0.1</v>
      </c>
      <c r="J14" s="218">
        <f>IF(E14+'Non-travel METs'!E14&gt;2.5, E14+'Non-travel METs'!E14, 0.1)</f>
        <v>0.1</v>
      </c>
      <c r="K14" s="218">
        <f>IF(F14+'Non-travel METs'!F14&gt;2.5, F14+'Non-travel METs'!F14, 0.1)</f>
        <v>2.9596175424061157</v>
      </c>
      <c r="L14" s="218">
        <f>IF(G14+'Non-travel METs'!G14&gt;2.5, G14+'Non-travel METs'!G14, 0.1)</f>
        <v>5.6087254941923606</v>
      </c>
      <c r="M14" s="223">
        <f>IF(H14+'Non-travel METs'!H14&gt;2.5, H14+'Non-travel METs'!H14, 0.1)</f>
        <v>14.116134183495483</v>
      </c>
      <c r="N14" s="268">
        <f>'Phy activity RRs'!$F$8</f>
        <v>0.93831941951583364</v>
      </c>
      <c r="O14" s="262">
        <f>$N14^(I14^0.5)</f>
        <v>0.98006871247951299</v>
      </c>
      <c r="P14" s="262">
        <f t="shared" si="0"/>
        <v>0.98006871247951299</v>
      </c>
      <c r="Q14" s="262">
        <f t="shared" si="0"/>
        <v>0.8962587875479654</v>
      </c>
      <c r="R14" s="262">
        <f t="shared" si="0"/>
        <v>0.86004043598125779</v>
      </c>
      <c r="S14" s="273">
        <f t="shared" si="0"/>
        <v>0.78725894543200259</v>
      </c>
      <c r="T14" s="275"/>
      <c r="U14" s="275"/>
      <c r="V14" s="275"/>
      <c r="W14" s="275"/>
      <c r="X14" s="276"/>
      <c r="Y14" s="262">
        <f t="shared" si="6"/>
        <v>1</v>
      </c>
      <c r="Z14" s="262">
        <f t="shared" si="1"/>
        <v>1</v>
      </c>
      <c r="AA14" s="262">
        <f t="shared" si="1"/>
        <v>0.91448566425560751</v>
      </c>
      <c r="AB14" s="262">
        <f t="shared" si="1"/>
        <v>0.87753075374216249</v>
      </c>
      <c r="AC14" s="273">
        <f t="shared" si="1"/>
        <v>0.80326913348788198</v>
      </c>
      <c r="AD14" s="290"/>
      <c r="AE14" s="290"/>
      <c r="AF14" s="421">
        <f>GBDUS!K66/(Y14+Z14+AA14+AB14+AC14)</f>
        <v>0</v>
      </c>
      <c r="AG14" s="215">
        <f t="shared" si="7"/>
        <v>0</v>
      </c>
      <c r="AH14" s="215">
        <f t="shared" si="2"/>
        <v>0</v>
      </c>
      <c r="AI14" s="215">
        <f t="shared" si="2"/>
        <v>0</v>
      </c>
      <c r="AJ14" s="321">
        <f t="shared" si="2"/>
        <v>0</v>
      </c>
      <c r="AK14" s="422">
        <f>GBDUS!L66/(Y14+Z14+AA14+AB14+AC14)</f>
        <v>4.435580452024559</v>
      </c>
      <c r="AL14" s="301">
        <f t="shared" si="8"/>
        <v>4.435580452024559</v>
      </c>
      <c r="AM14" s="301">
        <f t="shared" si="3"/>
        <v>4.0562747360288665</v>
      </c>
      <c r="AN14" s="301">
        <f t="shared" si="3"/>
        <v>3.8923582573491129</v>
      </c>
      <c r="AO14" s="303">
        <f t="shared" si="3"/>
        <v>3.5629648662135556</v>
      </c>
      <c r="AP14" s="422">
        <f>GBDUS!M66/(Y14+Z14+AA14+AB14+AC14)</f>
        <v>1.9509445615772357E-2</v>
      </c>
      <c r="AQ14" s="301">
        <f t="shared" si="9"/>
        <v>1.9509445615772357E-2</v>
      </c>
      <c r="AR14" s="301">
        <f t="shared" si="4"/>
        <v>1.7841108333198234E-2</v>
      </c>
      <c r="AS14" s="301">
        <f t="shared" si="4"/>
        <v>1.7120138516300443E-2</v>
      </c>
      <c r="AT14" s="303">
        <f t="shared" si="4"/>
        <v>1.5671335474610418E-2</v>
      </c>
      <c r="AU14" s="299"/>
      <c r="AV14" s="299"/>
      <c r="AW14" s="299"/>
      <c r="AX14" s="299"/>
    </row>
    <row r="15" spans="2:62" x14ac:dyDescent="0.2">
      <c r="B15" s="217">
        <v>2</v>
      </c>
      <c r="C15" s="224" t="s">
        <v>10</v>
      </c>
      <c r="D15" s="218">
        <f>Baseline!AL40</f>
        <v>0.46042772990101311</v>
      </c>
      <c r="E15" s="218">
        <f>Baseline!AM40</f>
        <v>1.1588122156833804</v>
      </c>
      <c r="F15" s="218">
        <f>Baseline!AN40</f>
        <v>2.1960471324281206</v>
      </c>
      <c r="G15" s="218">
        <f>Baseline!AO40</f>
        <v>4.1616950033632074</v>
      </c>
      <c r="H15" s="223">
        <f>Baseline!AP40</f>
        <v>10.474223628717107</v>
      </c>
      <c r="I15" s="218">
        <f>IF(D15+'Non-travel METs'!D15&gt;2.5, D15+'Non-travel METs'!D15, 0.1)</f>
        <v>0.1</v>
      </c>
      <c r="J15" s="218">
        <f>IF(E15+'Non-travel METs'!E15&gt;2.5, E15+'Non-travel METs'!E15, 0.1)</f>
        <v>0.1</v>
      </c>
      <c r="K15" s="218">
        <f>IF(F15+'Non-travel METs'!F15&gt;2.5, F15+'Non-travel METs'!F15, 0.1)</f>
        <v>0.1</v>
      </c>
      <c r="L15" s="218">
        <f>IF(G15+'Non-travel METs'!G15&gt;2.5, G15+'Non-travel METs'!G15, 0.1)</f>
        <v>4.1616950033632074</v>
      </c>
      <c r="M15" s="223">
        <f>IF(H15+'Non-travel METs'!H15&gt;2.5, H15+'Non-travel METs'!H15, 0.1)</f>
        <v>10.474223628717107</v>
      </c>
      <c r="N15" s="268">
        <f>'Phy activity RRs'!$F$8</f>
        <v>0.93831941951583364</v>
      </c>
      <c r="O15" s="262">
        <f t="shared" ref="O15:O21" si="10">$N15^(I15^0.5)</f>
        <v>0.98006871247951299</v>
      </c>
      <c r="P15" s="262">
        <f t="shared" si="0"/>
        <v>0.98006871247951299</v>
      </c>
      <c r="Q15" s="262">
        <f t="shared" si="0"/>
        <v>0.98006871247951299</v>
      </c>
      <c r="R15" s="262">
        <f t="shared" si="0"/>
        <v>0.87820275173811979</v>
      </c>
      <c r="S15" s="273">
        <f t="shared" si="0"/>
        <v>0.81379699594608434</v>
      </c>
      <c r="T15" s="275"/>
      <c r="U15" s="275"/>
      <c r="V15" s="275"/>
      <c r="W15" s="275"/>
      <c r="X15" s="276"/>
      <c r="Y15" s="262">
        <f t="shared" si="6"/>
        <v>1</v>
      </c>
      <c r="Z15" s="262">
        <f t="shared" si="1"/>
        <v>1</v>
      </c>
      <c r="AA15" s="262">
        <f t="shared" si="1"/>
        <v>1</v>
      </c>
      <c r="AB15" s="262">
        <f t="shared" si="1"/>
        <v>0.89606242965997895</v>
      </c>
      <c r="AC15" s="273">
        <f t="shared" si="1"/>
        <v>0.8303468783196114</v>
      </c>
      <c r="AD15" s="290"/>
      <c r="AE15" s="290"/>
      <c r="AF15" s="215">
        <f>GBDUS!K67/(Y15+Z15+AA15+AB15+AC15)</f>
        <v>0</v>
      </c>
      <c r="AG15" s="215">
        <f t="shared" si="7"/>
        <v>0</v>
      </c>
      <c r="AH15" s="215">
        <f t="shared" si="2"/>
        <v>0</v>
      </c>
      <c r="AI15" s="215">
        <f t="shared" si="2"/>
        <v>0</v>
      </c>
      <c r="AJ15" s="321">
        <f t="shared" si="2"/>
        <v>0</v>
      </c>
      <c r="AK15" s="301">
        <f>GBDUS!L67/(Y15+Z15+AA15+AB15+AC15)</f>
        <v>1.8067094960882937</v>
      </c>
      <c r="AL15" s="301">
        <f t="shared" si="8"/>
        <v>1.8067094960882937</v>
      </c>
      <c r="AM15" s="301">
        <f t="shared" si="3"/>
        <v>1.8067094960882937</v>
      </c>
      <c r="AN15" s="301">
        <f t="shared" si="3"/>
        <v>1.6189245007546327</v>
      </c>
      <c r="AO15" s="303">
        <f t="shared" si="3"/>
        <v>1.5001955901073127</v>
      </c>
      <c r="AP15" s="301">
        <f>GBDUS!M67/(Y15+Z15+AA15+AB15+AC15)</f>
        <v>9.7543853156056098E-2</v>
      </c>
      <c r="AQ15" s="301">
        <f t="shared" si="9"/>
        <v>9.7543853156056098E-2</v>
      </c>
      <c r="AR15" s="301">
        <f t="shared" si="4"/>
        <v>9.7543853156056098E-2</v>
      </c>
      <c r="AS15" s="301">
        <f t="shared" si="4"/>
        <v>8.7405382057411829E-2</v>
      </c>
      <c r="AT15" s="303">
        <f t="shared" si="4"/>
        <v>8.0995233967397759E-2</v>
      </c>
      <c r="AU15" s="299"/>
      <c r="AV15" s="299"/>
      <c r="AW15" s="299"/>
      <c r="AX15" s="299"/>
    </row>
    <row r="16" spans="2:62" x14ac:dyDescent="0.2">
      <c r="B16" s="217">
        <v>2</v>
      </c>
      <c r="C16" s="224" t="s">
        <v>11</v>
      </c>
      <c r="D16" s="218">
        <f>Baseline!AL41</f>
        <v>0.44584035626070379</v>
      </c>
      <c r="E16" s="218">
        <f>Baseline!AM41</f>
        <v>1.1220984695917575</v>
      </c>
      <c r="F16" s="218">
        <f>Baseline!AN41</f>
        <v>2.126471479242884</v>
      </c>
      <c r="G16" s="218">
        <f>Baseline!AO41</f>
        <v>4.0298432575873413</v>
      </c>
      <c r="H16" s="223">
        <f>Baseline!AP41</f>
        <v>10.142376948463733</v>
      </c>
      <c r="I16" s="218">
        <f>IF(D16+'Non-travel METs'!D16&gt;2.5, D16+'Non-travel METs'!D16, 0.1)</f>
        <v>37.945840356260703</v>
      </c>
      <c r="J16" s="218">
        <f>IF(E16+'Non-travel METs'!E16&gt;2.5, E16+'Non-travel METs'!E16, 0.1)</f>
        <v>38.622098469591755</v>
      </c>
      <c r="K16" s="218">
        <f>IF(F16+'Non-travel METs'!F16&gt;2.5, F16+'Non-travel METs'!F16, 0.1)</f>
        <v>39.62647147924288</v>
      </c>
      <c r="L16" s="218">
        <f>IF(G16+'Non-travel METs'!G16&gt;2.5, G16+'Non-travel METs'!G16, 0.1)</f>
        <v>41.529843257587345</v>
      </c>
      <c r="M16" s="223">
        <f>IF(H16+'Non-travel METs'!H16&gt;2.5, H16+'Non-travel METs'!H16, 0.1)</f>
        <v>47.642376948463735</v>
      </c>
      <c r="N16" s="268">
        <f>'Phy activity RRs'!$F$8</f>
        <v>0.93831941951583364</v>
      </c>
      <c r="O16" s="262">
        <f t="shared" si="10"/>
        <v>0.67558469286958223</v>
      </c>
      <c r="P16" s="262">
        <f t="shared" si="0"/>
        <v>0.67323829028553461</v>
      </c>
      <c r="Q16" s="262">
        <f t="shared" si="0"/>
        <v>0.66980579570502075</v>
      </c>
      <c r="R16" s="262">
        <f t="shared" si="0"/>
        <v>0.66346473221555802</v>
      </c>
      <c r="S16" s="273">
        <f t="shared" si="0"/>
        <v>0.6443992158081352</v>
      </c>
      <c r="T16" s="275"/>
      <c r="U16" s="275"/>
      <c r="V16" s="275"/>
      <c r="W16" s="275"/>
      <c r="X16" s="276"/>
      <c r="Y16" s="262">
        <f t="shared" si="6"/>
        <v>1</v>
      </c>
      <c r="Z16" s="262">
        <f t="shared" si="1"/>
        <v>0.99652685650102413</v>
      </c>
      <c r="AA16" s="262">
        <f t="shared" si="1"/>
        <v>0.99144608037222492</v>
      </c>
      <c r="AB16" s="262">
        <f t="shared" si="1"/>
        <v>0.9820600425350906</v>
      </c>
      <c r="AC16" s="273">
        <f t="shared" si="1"/>
        <v>0.95383927819769709</v>
      </c>
      <c r="AD16" s="290"/>
      <c r="AE16" s="290"/>
      <c r="AF16" s="215">
        <f>GBDUS!K68/(Y16+Z16+AA16+AB16+AC16)</f>
        <v>0</v>
      </c>
      <c r="AG16" s="215">
        <f t="shared" si="7"/>
        <v>0</v>
      </c>
      <c r="AH16" s="215">
        <f t="shared" si="2"/>
        <v>0</v>
      </c>
      <c r="AI16" s="215">
        <f t="shared" si="2"/>
        <v>0</v>
      </c>
      <c r="AJ16" s="321">
        <f t="shared" si="2"/>
        <v>0</v>
      </c>
      <c r="AK16" s="301">
        <f>GBDUS!L68/(Y16+Z16+AA16+AB16+AC16)</f>
        <v>10.866243454195178</v>
      </c>
      <c r="AL16" s="301">
        <f t="shared" si="8"/>
        <v>10.82850343138395</v>
      </c>
      <c r="AM16" s="301">
        <f t="shared" si="3"/>
        <v>10.773294481032156</v>
      </c>
      <c r="AN16" s="301">
        <f t="shared" si="3"/>
        <v>10.671303508823566</v>
      </c>
      <c r="AO16" s="303">
        <f t="shared" si="3"/>
        <v>10.364649813069979</v>
      </c>
      <c r="AP16" s="301">
        <f>GBDUS!M68/(Y16+Z16+AA16+AB16+AC16)</f>
        <v>2.9034539615383679</v>
      </c>
      <c r="AQ16" s="301">
        <f t="shared" si="9"/>
        <v>2.893369849287275</v>
      </c>
      <c r="AR16" s="301">
        <f t="shared" si="4"/>
        <v>2.8786180497084235</v>
      </c>
      <c r="AS16" s="301">
        <f t="shared" si="4"/>
        <v>2.8513661209670467</v>
      </c>
      <c r="AT16" s="303">
        <f t="shared" si="4"/>
        <v>2.7694284309540009</v>
      </c>
      <c r="AU16" s="299"/>
      <c r="AV16" s="299"/>
      <c r="AW16" s="299"/>
      <c r="AX16" s="299"/>
    </row>
    <row r="17" spans="2:50" x14ac:dyDescent="0.2">
      <c r="B17" s="217">
        <v>2</v>
      </c>
      <c r="C17" s="224" t="s">
        <v>12</v>
      </c>
      <c r="D17" s="218">
        <f>Baseline!AL42</f>
        <v>0.37566343393324825</v>
      </c>
      <c r="E17" s="218">
        <f>Baseline!AM42</f>
        <v>0.94547601709611273</v>
      </c>
      <c r="F17" s="218">
        <f>Baseline!AN42</f>
        <v>1.7917569974001593</v>
      </c>
      <c r="G17" s="218">
        <f>Baseline!AO42</f>
        <v>3.3955310126138083</v>
      </c>
      <c r="H17" s="223">
        <f>Baseline!AP42</f>
        <v>8.5459292753600575</v>
      </c>
      <c r="I17" s="218">
        <f>IF(D17+'Non-travel METs'!D17&gt;2.5, D17+'Non-travel METs'!D17, 0.1)</f>
        <v>37.938996767266545</v>
      </c>
      <c r="J17" s="218">
        <f>IF(E17+'Non-travel METs'!E17&gt;2.5, E17+'Non-travel METs'!E17, 0.1)</f>
        <v>38.508809350429409</v>
      </c>
      <c r="K17" s="218">
        <f>IF(F17+'Non-travel METs'!F17&gt;2.5, F17+'Non-travel METs'!F17, 0.1)</f>
        <v>39.355090330733454</v>
      </c>
      <c r="L17" s="218">
        <f>IF(G17+'Non-travel METs'!G17&gt;2.5, G17+'Non-travel METs'!G17, 0.1)</f>
        <v>40.958864345947106</v>
      </c>
      <c r="M17" s="223">
        <f>IF(H17+'Non-travel METs'!H17&gt;2.5, H17+'Non-travel METs'!H17, 0.1)</f>
        <v>46.109262608693356</v>
      </c>
      <c r="N17" s="268">
        <f>'Phy activity RRs'!$F$8</f>
        <v>0.93831941951583364</v>
      </c>
      <c r="O17" s="262">
        <f t="shared" si="10"/>
        <v>0.67560858630824439</v>
      </c>
      <c r="P17" s="262">
        <f t="shared" si="0"/>
        <v>0.67362935962602111</v>
      </c>
      <c r="Q17" s="262">
        <f t="shared" si="0"/>
        <v>0.67072719878845255</v>
      </c>
      <c r="R17" s="262">
        <f t="shared" si="0"/>
        <v>0.66534509967260758</v>
      </c>
      <c r="S17" s="273">
        <f t="shared" si="0"/>
        <v>0.64900908068629515</v>
      </c>
      <c r="T17" s="275"/>
      <c r="U17" s="275"/>
      <c r="V17" s="275"/>
      <c r="W17" s="275"/>
      <c r="X17" s="276"/>
      <c r="Y17" s="262">
        <f t="shared" si="6"/>
        <v>1</v>
      </c>
      <c r="Z17" s="262">
        <f t="shared" si="1"/>
        <v>0.99707045362901847</v>
      </c>
      <c r="AA17" s="262">
        <f t="shared" si="1"/>
        <v>0.99277482906712988</v>
      </c>
      <c r="AB17" s="262">
        <f t="shared" si="1"/>
        <v>0.98480853138394819</v>
      </c>
      <c r="AC17" s="273">
        <f t="shared" si="1"/>
        <v>0.96062882242616543</v>
      </c>
      <c r="AD17" s="290"/>
      <c r="AE17" s="290"/>
      <c r="AF17" s="215">
        <f>GBDUS!K69/(Y17+Z17+AA17+AB17+AC17)</f>
        <v>0.60786792185092187</v>
      </c>
      <c r="AG17" s="215">
        <f t="shared" si="7"/>
        <v>0.60608714458642743</v>
      </c>
      <c r="AH17" s="215">
        <f t="shared" si="2"/>
        <v>0.6034759722109404</v>
      </c>
      <c r="AI17" s="215">
        <f t="shared" si="2"/>
        <v>0.59863351539341891</v>
      </c>
      <c r="AJ17" s="321">
        <f t="shared" si="2"/>
        <v>0.58393544595829139</v>
      </c>
      <c r="AK17" s="301">
        <f>GBDUS!L69/(Y17+Z17+AA17+AB17+AC17)</f>
        <v>28.279537989669024</v>
      </c>
      <c r="AL17" s="301">
        <f t="shared" si="8"/>
        <v>28.196691771778355</v>
      </c>
      <c r="AM17" s="301">
        <f t="shared" si="3"/>
        <v>28.075213493791072</v>
      </c>
      <c r="AN17" s="301">
        <f t="shared" si="3"/>
        <v>27.849930275822523</v>
      </c>
      <c r="AO17" s="303">
        <f t="shared" si="3"/>
        <v>27.166139277771762</v>
      </c>
      <c r="AP17" s="301">
        <f>GBDUS!M69/(Y17+Z17+AA17+AB17+AC17)</f>
        <v>5.7675371178454693</v>
      </c>
      <c r="AQ17" s="301">
        <f t="shared" si="9"/>
        <v>5.7506408504123838</v>
      </c>
      <c r="AR17" s="301">
        <f t="shared" si="4"/>
        <v>5.7258656763073628</v>
      </c>
      <c r="AS17" s="301">
        <f t="shared" si="4"/>
        <v>5.6799197587278059</v>
      </c>
      <c r="AT17" s="303">
        <f t="shared" si="4"/>
        <v>5.5404623898150929</v>
      </c>
      <c r="AU17" s="299"/>
      <c r="AV17" s="299"/>
      <c r="AW17" s="299"/>
      <c r="AX17" s="299"/>
    </row>
    <row r="18" spans="2:50" x14ac:dyDescent="0.2">
      <c r="B18" s="217">
        <v>2</v>
      </c>
      <c r="C18" s="224" t="s">
        <v>13</v>
      </c>
      <c r="D18" s="218">
        <f>Baseline!AL43</f>
        <v>0.28130171216737176</v>
      </c>
      <c r="E18" s="218">
        <f>Baseline!AM43</f>
        <v>0.70798485665118815</v>
      </c>
      <c r="F18" s="218">
        <f>Baseline!AN43</f>
        <v>1.3416911672220251</v>
      </c>
      <c r="G18" s="218">
        <f>Baseline!AO43</f>
        <v>2.5426182089774487</v>
      </c>
      <c r="H18" s="223">
        <f>Baseline!AP43</f>
        <v>6.3993040580234215</v>
      </c>
      <c r="I18" s="218">
        <f>IF(D18+'Non-travel METs'!D18&gt;2.5, D18+'Non-travel METs'!D18, 0.1)</f>
        <v>38.034635045500671</v>
      </c>
      <c r="J18" s="218">
        <f>IF(E18+'Non-travel METs'!E18&gt;2.5, E18+'Non-travel METs'!E18, 0.1)</f>
        <v>38.461318189984489</v>
      </c>
      <c r="K18" s="218">
        <f>IF(F18+'Non-travel METs'!F18&gt;2.5, F18+'Non-travel METs'!F18, 0.1)</f>
        <v>39.095024500555326</v>
      </c>
      <c r="L18" s="218">
        <f>IF(G18+'Non-travel METs'!G18&gt;2.5, G18+'Non-travel METs'!G18, 0.1)</f>
        <v>40.295951542310753</v>
      </c>
      <c r="M18" s="223">
        <f>IF(H18+'Non-travel METs'!H18&gt;2.5, H18+'Non-travel METs'!H18, 0.1)</f>
        <v>44.15263739135672</v>
      </c>
      <c r="N18" s="268">
        <f>'Phy activity RRs'!$F$8</f>
        <v>0.93831941951583364</v>
      </c>
      <c r="O18" s="262">
        <f t="shared" si="10"/>
        <v>0.67527495019377271</v>
      </c>
      <c r="P18" s="262">
        <f t="shared" si="0"/>
        <v>0.67379353589558688</v>
      </c>
      <c r="Q18" s="262">
        <f t="shared" si="0"/>
        <v>0.67161436468163549</v>
      </c>
      <c r="R18" s="262">
        <f t="shared" si="0"/>
        <v>0.66755151007068259</v>
      </c>
      <c r="S18" s="273">
        <f t="shared" si="0"/>
        <v>0.65505456872734646</v>
      </c>
      <c r="T18" s="275"/>
      <c r="U18" s="275"/>
      <c r="V18" s="275"/>
      <c r="W18" s="275"/>
      <c r="X18" s="276"/>
      <c r="Y18" s="262">
        <f t="shared" si="6"/>
        <v>1</v>
      </c>
      <c r="Z18" s="262">
        <f t="shared" si="1"/>
        <v>0.9978062057569872</v>
      </c>
      <c r="AA18" s="262">
        <f t="shared" si="1"/>
        <v>0.99457911845969293</v>
      </c>
      <c r="AB18" s="262">
        <f t="shared" si="1"/>
        <v>0.98856252535226752</v>
      </c>
      <c r="AC18" s="273">
        <f t="shared" si="1"/>
        <v>0.97005607647577641</v>
      </c>
      <c r="AD18" s="290"/>
      <c r="AE18" s="290"/>
      <c r="AF18" s="215">
        <f>GBDUS!K70/(Y18+Z18+AA18+AB18+AC18)</f>
        <v>3.0296885690380084</v>
      </c>
      <c r="AG18" s="215">
        <f t="shared" si="7"/>
        <v>3.0230420556971311</v>
      </c>
      <c r="AH18" s="215">
        <f t="shared" si="2"/>
        <v>3.0132649862012308</v>
      </c>
      <c r="AI18" s="215">
        <f t="shared" si="2"/>
        <v>2.9950365828391114</v>
      </c>
      <c r="AJ18" s="321">
        <f t="shared" si="2"/>
        <v>2.9389678062245199</v>
      </c>
      <c r="AK18" s="301">
        <f>GBDUS!L70/(Y18+Z18+AA18+AB18+AC18)</f>
        <v>100.73138307390498</v>
      </c>
      <c r="AL18" s="301">
        <f t="shared" si="8"/>
        <v>100.51039914562674</v>
      </c>
      <c r="AM18" s="301">
        <f t="shared" si="3"/>
        <v>100.18533017887005</v>
      </c>
      <c r="AN18" s="301">
        <f t="shared" si="3"/>
        <v>99.579270433766169</v>
      </c>
      <c r="AO18" s="303">
        <f t="shared" si="3"/>
        <v>97.715090242650703</v>
      </c>
      <c r="AP18" s="301">
        <f>GBDUS!M70/(Y18+Z18+AA18+AB18+AC18)</f>
        <v>16.129226781276817</v>
      </c>
      <c r="AQ18" s="301">
        <f t="shared" si="9"/>
        <v>16.093842576419803</v>
      </c>
      <c r="AR18" s="301">
        <f t="shared" si="4"/>
        <v>16.041792153558767</v>
      </c>
      <c r="AS18" s="301">
        <f t="shared" si="4"/>
        <v>15.944749158878436</v>
      </c>
      <c r="AT18" s="303">
        <f t="shared" si="4"/>
        <v>15.646254448033405</v>
      </c>
      <c r="AU18" s="299"/>
      <c r="AV18" s="299"/>
      <c r="AW18" s="299"/>
      <c r="AX18" s="299"/>
    </row>
    <row r="19" spans="2:50" x14ac:dyDescent="0.2">
      <c r="B19" s="217">
        <v>2</v>
      </c>
      <c r="C19" s="224" t="s">
        <v>14</v>
      </c>
      <c r="D19" s="218">
        <f>Baseline!AL44</f>
        <v>0.18531571150483678</v>
      </c>
      <c r="E19" s="218">
        <f>Baseline!AM44</f>
        <v>0.46640568389751447</v>
      </c>
      <c r="F19" s="218">
        <f>Baseline!AN44</f>
        <v>0.88387820805572703</v>
      </c>
      <c r="G19" s="218">
        <f>Baseline!AO44</f>
        <v>1.6750239408477468</v>
      </c>
      <c r="H19" s="223">
        <f>Baseline!AP44</f>
        <v>4.2157282851616866</v>
      </c>
      <c r="I19" s="218">
        <f>IF(D19+'Non-travel METs'!D19&gt;2.5, D19+'Non-travel METs'!D19, 0.1)</f>
        <v>9.1853157115048365</v>
      </c>
      <c r="J19" s="218">
        <f>IF(E19+'Non-travel METs'!E19&gt;2.5, E19+'Non-travel METs'!E19, 0.1)</f>
        <v>9.4664056838975146</v>
      </c>
      <c r="K19" s="218">
        <f>IF(F19+'Non-travel METs'!F19&gt;2.5, F19+'Non-travel METs'!F19, 0.1)</f>
        <v>9.8838782080557266</v>
      </c>
      <c r="L19" s="218">
        <f>IF(G19+'Non-travel METs'!G19&gt;2.5, G19+'Non-travel METs'!G19, 0.1)</f>
        <v>10.675023940847748</v>
      </c>
      <c r="M19" s="223">
        <f>IF(H19+'Non-travel METs'!H19&gt;2.5, H19+'Non-travel METs'!H19, 0.1)</f>
        <v>13.215728285161687</v>
      </c>
      <c r="N19" s="268">
        <f>'Phy activity RRs'!$F$8</f>
        <v>0.93831941951583364</v>
      </c>
      <c r="O19" s="262">
        <f t="shared" si="10"/>
        <v>0.82452245992904361</v>
      </c>
      <c r="P19" s="262">
        <f t="shared" si="0"/>
        <v>0.8221100596801828</v>
      </c>
      <c r="Q19" s="262">
        <f t="shared" si="0"/>
        <v>0.81860498912607016</v>
      </c>
      <c r="R19" s="262">
        <f t="shared" si="0"/>
        <v>0.81219892560082407</v>
      </c>
      <c r="S19" s="273">
        <f t="shared" si="0"/>
        <v>0.79338738563378886</v>
      </c>
      <c r="T19" s="275"/>
      <c r="U19" s="275"/>
      <c r="V19" s="275"/>
      <c r="W19" s="275"/>
      <c r="X19" s="276"/>
      <c r="Y19" s="262">
        <f t="shared" si="6"/>
        <v>1</v>
      </c>
      <c r="Z19" s="262">
        <f t="shared" si="1"/>
        <v>0.99707418491781485</v>
      </c>
      <c r="AA19" s="262">
        <f t="shared" si="1"/>
        <v>0.99282315389749032</v>
      </c>
      <c r="AB19" s="262">
        <f t="shared" si="1"/>
        <v>0.98505373118728623</v>
      </c>
      <c r="AC19" s="273">
        <f t="shared" si="1"/>
        <v>0.96223865836482592</v>
      </c>
      <c r="AD19" s="290"/>
      <c r="AE19" s="290"/>
      <c r="AF19" s="215">
        <f>GBDUS!K71/(Y19+Z19+AA19+AB19+AC19)</f>
        <v>7.4941418166311404</v>
      </c>
      <c r="AG19" s="215">
        <f t="shared" si="7"/>
        <v>7.472215343476007</v>
      </c>
      <c r="AH19" s="215">
        <f t="shared" si="2"/>
        <v>7.4403575141427964</v>
      </c>
      <c r="AI19" s="215">
        <f t="shared" si="2"/>
        <v>7.382132358519172</v>
      </c>
      <c r="AJ19" s="321">
        <f t="shared" si="2"/>
        <v>7.2111529672308876</v>
      </c>
      <c r="AK19" s="301">
        <f>GBDUS!L71/(Y19+Z19+AA19+AB19+AC19)</f>
        <v>172.14042496730136</v>
      </c>
      <c r="AL19" s="301">
        <f t="shared" si="8"/>
        <v>171.63677391567828</v>
      </c>
      <c r="AM19" s="301">
        <f t="shared" si="3"/>
        <v>170.90499962929042</v>
      </c>
      <c r="AN19" s="301">
        <f t="shared" si="3"/>
        <v>169.5675679022053</v>
      </c>
      <c r="AO19" s="303">
        <f t="shared" si="3"/>
        <v>165.64017157088705</v>
      </c>
      <c r="AP19" s="301">
        <f>GBDUS!M71/(Y19+Z19+AA19+AB19+AC19)</f>
        <v>23.150816572390791</v>
      </c>
      <c r="AQ19" s="301">
        <f t="shared" si="9"/>
        <v>23.083081564098389</v>
      </c>
      <c r="AR19" s="301">
        <f t="shared" si="4"/>
        <v>22.984666724703313</v>
      </c>
      <c r="AS19" s="301">
        <f t="shared" si="4"/>
        <v>22.80479824466601</v>
      </c>
      <c r="AT19" s="303">
        <f t="shared" si="4"/>
        <v>22.276610678667492</v>
      </c>
      <c r="AU19" s="299"/>
      <c r="AV19" s="299"/>
      <c r="AW19" s="299"/>
      <c r="AX19" s="299"/>
    </row>
    <row r="20" spans="2:50" x14ac:dyDescent="0.2">
      <c r="B20" s="217">
        <v>2</v>
      </c>
      <c r="C20" s="224" t="s">
        <v>15</v>
      </c>
      <c r="D20" s="218">
        <f>Baseline!AL45</f>
        <v>0.11712988000202922</v>
      </c>
      <c r="E20" s="218">
        <f>Baseline!AM45</f>
        <v>0.29479444210942879</v>
      </c>
      <c r="F20" s="218">
        <f>Baseline!AN45</f>
        <v>0.55866039422822378</v>
      </c>
      <c r="G20" s="218">
        <f>Baseline!AO45</f>
        <v>1.0587086847566183</v>
      </c>
      <c r="H20" s="223">
        <f>Baseline!AP45</f>
        <v>2.6645757348494454</v>
      </c>
      <c r="I20" s="218">
        <f>IF(D20+'Non-travel METs'!D20&gt;2.5, D20+'Non-travel METs'!D20, 0.1)</f>
        <v>0.1</v>
      </c>
      <c r="J20" s="218">
        <f>IF(E20+'Non-travel METs'!E20&gt;2.5, E20+'Non-travel METs'!E20, 0.1)</f>
        <v>0.1</v>
      </c>
      <c r="K20" s="218">
        <f>IF(F20+'Non-travel METs'!F20&gt;2.5, F20+'Non-travel METs'!F20, 0.1)</f>
        <v>0.1</v>
      </c>
      <c r="L20" s="218">
        <f>IF(G20+'Non-travel METs'!G20&gt;2.5, G20+'Non-travel METs'!G20, 0.1)</f>
        <v>0.1</v>
      </c>
      <c r="M20" s="223">
        <f>IF(H20+'Non-travel METs'!H20&gt;2.5, H20+'Non-travel METs'!H20, 0.1)</f>
        <v>3.1645757348494454</v>
      </c>
      <c r="N20" s="268">
        <f>'Phy activity RRs'!$F$8</f>
        <v>0.93831941951583364</v>
      </c>
      <c r="O20" s="262">
        <f t="shared" si="10"/>
        <v>0.98006871247951299</v>
      </c>
      <c r="P20" s="262">
        <f t="shared" si="0"/>
        <v>0.98006871247951299</v>
      </c>
      <c r="Q20" s="262">
        <f t="shared" si="0"/>
        <v>0.98006871247951299</v>
      </c>
      <c r="R20" s="262">
        <f t="shared" si="0"/>
        <v>0.98006871247951299</v>
      </c>
      <c r="S20" s="273">
        <f t="shared" si="0"/>
        <v>0.89292290790038309</v>
      </c>
      <c r="T20" s="275"/>
      <c r="U20" s="275"/>
      <c r="V20" s="275"/>
      <c r="W20" s="275"/>
      <c r="X20" s="276"/>
      <c r="Y20" s="262">
        <f t="shared" si="6"/>
        <v>1</v>
      </c>
      <c r="Z20" s="262">
        <f t="shared" si="1"/>
        <v>1</v>
      </c>
      <c r="AA20" s="262">
        <f t="shared" si="1"/>
        <v>1</v>
      </c>
      <c r="AB20" s="262">
        <f t="shared" si="1"/>
        <v>1</v>
      </c>
      <c r="AC20" s="273">
        <f t="shared" si="1"/>
        <v>0.911081944082618</v>
      </c>
      <c r="AD20" s="290"/>
      <c r="AE20" s="290"/>
      <c r="AF20" s="215">
        <f>GBDUS!K72/(Y20+Z20+AA20+AB20+AC20)</f>
        <v>14.45709943519639</v>
      </c>
      <c r="AG20" s="215">
        <f t="shared" si="7"/>
        <v>14.45709943519639</v>
      </c>
      <c r="AH20" s="215">
        <f t="shared" si="2"/>
        <v>14.45709943519639</v>
      </c>
      <c r="AI20" s="215">
        <f t="shared" si="2"/>
        <v>14.45709943519639</v>
      </c>
      <c r="AJ20" s="321">
        <f t="shared" si="2"/>
        <v>13.171602259214445</v>
      </c>
      <c r="AK20" s="301">
        <f>GBDUS!L72/(Y20+Z20+AA20+AB20+AC20)</f>
        <v>207.90276338848079</v>
      </c>
      <c r="AL20" s="301">
        <f t="shared" si="8"/>
        <v>207.90276338848079</v>
      </c>
      <c r="AM20" s="301">
        <f t="shared" si="3"/>
        <v>207.90276338848079</v>
      </c>
      <c r="AN20" s="301">
        <f t="shared" si="3"/>
        <v>207.90276338848079</v>
      </c>
      <c r="AO20" s="303">
        <f t="shared" si="3"/>
        <v>189.41645384812563</v>
      </c>
      <c r="AP20" s="301">
        <f>GBDUS!M72/(Y20+Z20+AA20+AB20+AC20)</f>
        <v>22.181110578282212</v>
      </c>
      <c r="AQ20" s="301">
        <f t="shared" si="9"/>
        <v>22.181110578282212</v>
      </c>
      <c r="AR20" s="301">
        <f t="shared" si="4"/>
        <v>22.181110578282212</v>
      </c>
      <c r="AS20" s="301">
        <f t="shared" si="4"/>
        <v>22.181110578282212</v>
      </c>
      <c r="AT20" s="303">
        <f t="shared" si="4"/>
        <v>20.208809347572881</v>
      </c>
      <c r="AU20" s="299"/>
      <c r="AV20" s="299"/>
      <c r="AW20" s="299"/>
      <c r="AX20" s="299"/>
    </row>
    <row r="21" spans="2:50" x14ac:dyDescent="0.2">
      <c r="B21" s="226">
        <v>2</v>
      </c>
      <c r="C21" s="227" t="s">
        <v>16</v>
      </c>
      <c r="D21" s="228">
        <f>Baseline!AL46</f>
        <v>0.14687937172795515</v>
      </c>
      <c r="E21" s="228">
        <f>Baseline!AM46</f>
        <v>0.36966846073073589</v>
      </c>
      <c r="F21" s="228">
        <f>Baseline!AN46</f>
        <v>0.70055299051029241</v>
      </c>
      <c r="G21" s="228">
        <f>Baseline!AO46</f>
        <v>1.3276071524813979</v>
      </c>
      <c r="H21" s="229">
        <f>Baseline!AP46</f>
        <v>3.3413438983243293</v>
      </c>
      <c r="I21" s="230">
        <f>IF(D21+'Non-travel METs'!D21&gt;2.5, D21+'Non-travel METs'!D21, 0.1)</f>
        <v>0.1</v>
      </c>
      <c r="J21" s="228">
        <f>IF(E21+'Non-travel METs'!E21&gt;2.5, E21+'Non-travel METs'!E21, 0.1)</f>
        <v>0.1</v>
      </c>
      <c r="K21" s="228">
        <f>IF(F21+'Non-travel METs'!F21&gt;2.5, F21+'Non-travel METs'!F21, 0.1)</f>
        <v>0.1</v>
      </c>
      <c r="L21" s="228">
        <f>IF(G21+'Non-travel METs'!G21&gt;2.5, G21+'Non-travel METs'!G21, 0.1)</f>
        <v>0.1</v>
      </c>
      <c r="M21" s="229">
        <f>IF(H21+'Non-travel METs'!H21&gt;2.5, H21+'Non-travel METs'!H21, 0.1)</f>
        <v>3.4246772316576628</v>
      </c>
      <c r="N21" s="268">
        <f>'Phy activity RRs'!$F$8</f>
        <v>0.93831941951583364</v>
      </c>
      <c r="O21" s="264">
        <f t="shared" si="10"/>
        <v>0.98006871247951299</v>
      </c>
      <c r="P21" s="264">
        <f t="shared" si="0"/>
        <v>0.98006871247951299</v>
      </c>
      <c r="Q21" s="264">
        <f t="shared" si="0"/>
        <v>0.98006871247951299</v>
      </c>
      <c r="R21" s="264">
        <f t="shared" si="0"/>
        <v>0.98006871247951299</v>
      </c>
      <c r="S21" s="274">
        <f t="shared" si="0"/>
        <v>0.88885830816300715</v>
      </c>
      <c r="T21" s="277"/>
      <c r="U21" s="278"/>
      <c r="V21" s="278"/>
      <c r="W21" s="278"/>
      <c r="X21" s="279"/>
      <c r="Y21" s="287">
        <f t="shared" si="6"/>
        <v>1</v>
      </c>
      <c r="Z21" s="264">
        <f t="shared" si="1"/>
        <v>1</v>
      </c>
      <c r="AA21" s="264">
        <f t="shared" si="1"/>
        <v>1</v>
      </c>
      <c r="AB21" s="264">
        <f t="shared" si="1"/>
        <v>1</v>
      </c>
      <c r="AC21" s="274">
        <f t="shared" si="1"/>
        <v>0.90693468411439315</v>
      </c>
      <c r="AD21" s="290"/>
      <c r="AE21" s="291"/>
      <c r="AF21" s="327">
        <f>GBDUS!K73/(Y21+Z21+AA21+AB21+AC21)</f>
        <v>58.488652993309195</v>
      </c>
      <c r="AG21" s="320">
        <f t="shared" si="7"/>
        <v>58.488652993309195</v>
      </c>
      <c r="AH21" s="320">
        <f t="shared" si="2"/>
        <v>58.488652993309195</v>
      </c>
      <c r="AI21" s="320">
        <f t="shared" si="2"/>
        <v>58.488652993309195</v>
      </c>
      <c r="AJ21" s="322">
        <f t="shared" si="2"/>
        <v>53.045388026763227</v>
      </c>
      <c r="AK21" s="304">
        <f>GBDUS!L73/(Y21+Z21+AA21+AB21+AC21)</f>
        <v>320.26141419948931</v>
      </c>
      <c r="AL21" s="305">
        <f t="shared" si="8"/>
        <v>320.26141419948931</v>
      </c>
      <c r="AM21" s="305">
        <f t="shared" si="3"/>
        <v>320.26141419948931</v>
      </c>
      <c r="AN21" s="305">
        <f t="shared" si="3"/>
        <v>320.26141419948931</v>
      </c>
      <c r="AO21" s="306">
        <f t="shared" si="3"/>
        <v>290.45618452104264</v>
      </c>
      <c r="AP21" s="304">
        <f>GBDUS!M73/(Y21+Z21+AA21+AB21+AC21)</f>
        <v>24.711794073371941</v>
      </c>
      <c r="AQ21" s="305">
        <f t="shared" si="9"/>
        <v>24.711794073371941</v>
      </c>
      <c r="AR21" s="305">
        <f t="shared" si="4"/>
        <v>24.711794073371941</v>
      </c>
      <c r="AS21" s="305">
        <f t="shared" si="4"/>
        <v>24.711794073371941</v>
      </c>
      <c r="AT21" s="306">
        <f t="shared" si="4"/>
        <v>22.411983151833514</v>
      </c>
      <c r="AU21" s="300"/>
      <c r="AV21" s="300"/>
      <c r="AW21" s="300"/>
      <c r="AX21" s="300"/>
    </row>
    <row r="22" spans="2:50" x14ac:dyDescent="0.2">
      <c r="B22" s="212"/>
      <c r="C22" s="212"/>
      <c r="N22" s="288"/>
      <c r="AD22" s="288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</row>
    <row r="23" spans="2:50" x14ac:dyDescent="0.2">
      <c r="B23" s="338" t="s">
        <v>70</v>
      </c>
      <c r="C23" s="319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320"/>
      <c r="AG23" s="320"/>
      <c r="AH23" s="320"/>
      <c r="AI23" s="320"/>
      <c r="AJ23" s="320"/>
      <c r="AK23" s="320"/>
      <c r="AL23" s="320"/>
      <c r="AM23" s="320"/>
      <c r="AN23" s="320"/>
      <c r="AO23" s="320"/>
      <c r="AP23" s="320"/>
      <c r="AQ23" s="320"/>
      <c r="AR23" s="320"/>
      <c r="AS23" s="320"/>
      <c r="AT23" s="320"/>
      <c r="AU23" s="280"/>
      <c r="AV23" s="280"/>
      <c r="AW23" s="280"/>
      <c r="AX23" s="280"/>
    </row>
    <row r="24" spans="2:50" x14ac:dyDescent="0.2">
      <c r="B24" s="212">
        <v>1</v>
      </c>
      <c r="C24" s="325" t="s">
        <v>9</v>
      </c>
      <c r="D24" s="215">
        <f>Scenario!AL31</f>
        <v>0.37643845197996767</v>
      </c>
      <c r="E24" s="215">
        <f>Scenario!AM31</f>
        <v>0.9454633575841902</v>
      </c>
      <c r="F24" s="215">
        <f>Scenario!AN31</f>
        <v>1.7891607181870568</v>
      </c>
      <c r="G24" s="215">
        <f>Scenario!AO31</f>
        <v>3.3857431383516916</v>
      </c>
      <c r="H24" s="321">
        <f>Scenario!AP31</f>
        <v>8.5036373374364302</v>
      </c>
      <c r="I24" s="218">
        <f>IF(D24+'Non-travel METs'!D25&gt;2.5, D24+'Non-travel METs'!D25, 0.1)</f>
        <v>0.1</v>
      </c>
      <c r="J24" s="218">
        <f>IF(E24+'Non-travel METs'!E25&gt;2.5, E24+'Non-travel METs'!E25, 0.1)</f>
        <v>0.1</v>
      </c>
      <c r="K24" s="218">
        <f>IF(F24+'Non-travel METs'!F25&gt;2.5, F24+'Non-travel METs'!F25, 0.1)</f>
        <v>0.1</v>
      </c>
      <c r="L24" s="218">
        <f>IF(G24+'Non-travel METs'!G25&gt;2.5, G24+'Non-travel METs'!G25, 0.1)</f>
        <v>3.3857431383516916</v>
      </c>
      <c r="M24" s="223">
        <f>IF(H24+'Non-travel METs'!H25&gt;2.5, H24+'Non-travel METs'!H25, 0.1)</f>
        <v>8.5036373374364302</v>
      </c>
      <c r="N24" s="268">
        <f>'Phy activity RRs'!$F$8</f>
        <v>0.93831941951583364</v>
      </c>
      <c r="O24" s="215">
        <f>$N24^(I24^0.5)</f>
        <v>0.98006871247951299</v>
      </c>
      <c r="P24" s="215">
        <f t="shared" ref="P24:S39" si="11">$N24^(J24^0.5)</f>
        <v>0.98006871247951299</v>
      </c>
      <c r="Q24" s="215">
        <f t="shared" si="11"/>
        <v>0.98006871247951299</v>
      </c>
      <c r="R24" s="215">
        <f t="shared" si="11"/>
        <v>0.88945549197390417</v>
      </c>
      <c r="S24" s="321">
        <f t="shared" si="11"/>
        <v>0.83056169640395527</v>
      </c>
      <c r="T24" s="296">
        <f>O24/O6</f>
        <v>1</v>
      </c>
      <c r="U24" s="296">
        <f t="shared" ref="U24:X39" si="12">P24/P6</f>
        <v>1</v>
      </c>
      <c r="V24" s="296">
        <f t="shared" si="12"/>
        <v>1</v>
      </c>
      <c r="W24" s="296">
        <f t="shared" si="12"/>
        <v>0.99476879165716103</v>
      </c>
      <c r="X24" s="328">
        <f t="shared" si="12"/>
        <v>0.99190477478612915</v>
      </c>
      <c r="Y24" s="296">
        <f>O24/$O24</f>
        <v>1</v>
      </c>
      <c r="Z24" s="296">
        <f t="shared" ref="Z24:AC39" si="13">P24/$O24</f>
        <v>1</v>
      </c>
      <c r="AA24" s="296">
        <f t="shared" si="13"/>
        <v>1</v>
      </c>
      <c r="AB24" s="296">
        <f t="shared" si="13"/>
        <v>0.90754401262707085</v>
      </c>
      <c r="AC24" s="328">
        <f t="shared" si="13"/>
        <v>0.84745251616357153</v>
      </c>
      <c r="AD24" s="333">
        <f>(5-SUM(T24:X24))/5</f>
        <v>2.665286711341963E-3</v>
      </c>
      <c r="AE24" s="334">
        <f>1-AD24</f>
        <v>0.99733471328865808</v>
      </c>
      <c r="AF24" s="215">
        <f>AE24*GBDUS!K58/(Y24+Z24+AA24+AB24+AC24)</f>
        <v>0</v>
      </c>
      <c r="AG24" s="215">
        <f>$AF24*Z24</f>
        <v>0</v>
      </c>
      <c r="AH24" s="215">
        <f t="shared" ref="AH24:AJ39" si="14">$AF24*AA24</f>
        <v>0</v>
      </c>
      <c r="AI24" s="215">
        <f t="shared" si="14"/>
        <v>0</v>
      </c>
      <c r="AJ24" s="321">
        <f t="shared" si="14"/>
        <v>0</v>
      </c>
      <c r="AK24" s="301">
        <f>AE24*GBDUS!L58/(Y24+Z24+AA24+AB24+AC24)</f>
        <v>5.4407313435489639</v>
      </c>
      <c r="AL24" s="301">
        <f>$AK24*Z24</f>
        <v>5.4407313435489639</v>
      </c>
      <c r="AM24" s="301">
        <f t="shared" ref="AM24:AO39" si="15">$AK24*AA24</f>
        <v>5.4407313435489639</v>
      </c>
      <c r="AN24" s="301">
        <f t="shared" si="15"/>
        <v>4.9377031551503014</v>
      </c>
      <c r="AO24" s="303">
        <f t="shared" si="15"/>
        <v>4.6107614668605788</v>
      </c>
      <c r="AP24" s="301">
        <f>AE24*GBDUS!M58/(Y24+Z24+AA24+AB24+AC24)</f>
        <v>4.8009149954188389E-2</v>
      </c>
      <c r="AQ24" s="301">
        <f>$AP24*Z24</f>
        <v>4.8009149954188389E-2</v>
      </c>
      <c r="AR24" s="301">
        <f t="shared" ref="AR24:AT39" si="16">$AP24*AA24</f>
        <v>4.8009149954188389E-2</v>
      </c>
      <c r="AS24" s="301">
        <f t="shared" si="16"/>
        <v>4.3570416592238884E-2</v>
      </c>
      <c r="AT24" s="303">
        <f t="shared" si="16"/>
        <v>4.0685474927551167E-2</v>
      </c>
      <c r="AU24" s="376">
        <f>SUM(AF24:AJ24)-SUM(AF6:AJ6)</f>
        <v>0</v>
      </c>
      <c r="AV24" s="376">
        <f>SUM(AK24:AO24)-SUM(AK6:AO6)</f>
        <v>-6.9136992628298088E-2</v>
      </c>
      <c r="AW24" s="376">
        <f>SUM(AP24:AT24)-SUM(AP6:AT6)</f>
        <v>-6.100665584984899E-4</v>
      </c>
      <c r="AX24" s="376">
        <f>AV24+AW24</f>
        <v>-6.9747059186796578E-2</v>
      </c>
    </row>
    <row r="25" spans="2:50" x14ac:dyDescent="0.2">
      <c r="B25" s="212">
        <v>1</v>
      </c>
      <c r="C25" s="325" t="s">
        <v>10</v>
      </c>
      <c r="D25" s="215">
        <f>Scenario!AL32</f>
        <v>0.76131359914254593</v>
      </c>
      <c r="E25" s="215">
        <f>Scenario!AM32</f>
        <v>1.912116330927107</v>
      </c>
      <c r="F25" s="215">
        <f>Scenario!AN32</f>
        <v>3.6184199001007888</v>
      </c>
      <c r="G25" s="369">
        <f>Scenario!AO32</f>
        <v>6.8473671615456384</v>
      </c>
      <c r="H25" s="321">
        <f>Scenario!AP32</f>
        <v>17.19785721441437</v>
      </c>
      <c r="I25" s="218">
        <f>IF(D25+'Non-travel METs'!D26&gt;2.5, D25+'Non-travel METs'!D26, 0.1)</f>
        <v>0.1</v>
      </c>
      <c r="J25" s="218">
        <f>IF(E25+'Non-travel METs'!E26&gt;2.5, E25+'Non-travel METs'!E26, 0.1)</f>
        <v>0.1</v>
      </c>
      <c r="K25" s="218">
        <f>IF(F25+'Non-travel METs'!F26&gt;2.5, F25+'Non-travel METs'!F26, 0.1)</f>
        <v>3.6184199001007888</v>
      </c>
      <c r="L25" s="218">
        <f>IF(G25+'Non-travel METs'!G26&gt;2.5, G25+'Non-travel METs'!G26, 0.1)</f>
        <v>6.8473671615456384</v>
      </c>
      <c r="M25" s="223">
        <f>IF(H25+'Non-travel METs'!H26&gt;2.5, H25+'Non-travel METs'!H26, 0.1)</f>
        <v>17.19785721441437</v>
      </c>
      <c r="N25" s="268">
        <f>'Phy activity RRs'!$F$8</f>
        <v>0.93831941951583364</v>
      </c>
      <c r="O25" s="215">
        <f t="shared" ref="O25:O39" si="17">$N25^(I25^0.5)</f>
        <v>0.98006871247951299</v>
      </c>
      <c r="P25" s="215">
        <f t="shared" si="11"/>
        <v>0.98006871247951299</v>
      </c>
      <c r="Q25" s="215">
        <f t="shared" si="11"/>
        <v>0.88594163136783344</v>
      </c>
      <c r="R25" s="215">
        <f t="shared" si="11"/>
        <v>0.84654252079080339</v>
      </c>
      <c r="S25" s="321">
        <f t="shared" si="11"/>
        <v>0.7679581337397523</v>
      </c>
      <c r="T25" s="296">
        <f t="shared" ref="T25:T39" si="18">O25/O7</f>
        <v>1</v>
      </c>
      <c r="U25" s="296">
        <f t="shared" si="12"/>
        <v>1</v>
      </c>
      <c r="V25" s="296">
        <f t="shared" si="12"/>
        <v>0.99599967446308924</v>
      </c>
      <c r="W25" s="296">
        <f t="shared" si="12"/>
        <v>0.99461628351110942</v>
      </c>
      <c r="X25" s="328">
        <f t="shared" si="12"/>
        <v>0.99174418298492673</v>
      </c>
      <c r="Y25" s="296">
        <f t="shared" ref="Y25:Y39" si="19">O25/$O25</f>
        <v>1</v>
      </c>
      <c r="Z25" s="296">
        <f t="shared" si="13"/>
        <v>1</v>
      </c>
      <c r="AA25" s="296">
        <f t="shared" si="13"/>
        <v>0.90395869196401146</v>
      </c>
      <c r="AB25" s="296">
        <f t="shared" si="13"/>
        <v>0.86375833654469325</v>
      </c>
      <c r="AC25" s="328">
        <f t="shared" si="13"/>
        <v>0.78357580847251607</v>
      </c>
      <c r="AD25" s="333">
        <f t="shared" ref="AD25:AD39" si="20">(5-SUM(T25:X25))/5</f>
        <v>3.5279718081749679E-3</v>
      </c>
      <c r="AE25" s="334">
        <f t="shared" ref="AE25:AE39" si="21">1-AD25</f>
        <v>0.99647202819182501</v>
      </c>
      <c r="AF25" s="215">
        <f>AE25*GBDUS!K59/(Y25+Z25+AA25+AB25+AC25)</f>
        <v>0</v>
      </c>
      <c r="AG25" s="215">
        <f t="shared" ref="AG25:AG39" si="22">$AF25*Z25</f>
        <v>0</v>
      </c>
      <c r="AH25" s="215">
        <f t="shared" si="14"/>
        <v>0</v>
      </c>
      <c r="AI25" s="215">
        <f t="shared" si="14"/>
        <v>0</v>
      </c>
      <c r="AJ25" s="321">
        <f t="shared" si="14"/>
        <v>0</v>
      </c>
      <c r="AK25" s="301">
        <f>AE25*GBDUS!L59/(Y25+Z25+AA25+AB25+AC25)</f>
        <v>2.7416043579680358</v>
      </c>
      <c r="AL25" s="301">
        <f t="shared" ref="AL25:AL39" si="23">$AK25*Z25</f>
        <v>2.7416043579680358</v>
      </c>
      <c r="AM25" s="301">
        <f t="shared" si="15"/>
        <v>2.478297089311619</v>
      </c>
      <c r="AN25" s="301">
        <f t="shared" si="15"/>
        <v>2.3680836197021522</v>
      </c>
      <c r="AO25" s="303">
        <f t="shared" si="15"/>
        <v>2.1482548513065769</v>
      </c>
      <c r="AP25" s="301">
        <f>AE25*GBDUS!M59/(Y25+Z25+AA25+AB25+AC25)</f>
        <v>0.1987033463836852</v>
      </c>
      <c r="AQ25" s="301">
        <f t="shared" ref="AQ25:AQ39" si="24">$AP25*Z25</f>
        <v>0.1987033463836852</v>
      </c>
      <c r="AR25" s="301">
        <f t="shared" si="16"/>
        <v>0.17961961708586796</v>
      </c>
      <c r="AS25" s="301">
        <f t="shared" si="16"/>
        <v>0.17163167193823592</v>
      </c>
      <c r="AT25" s="303">
        <f t="shared" si="16"/>
        <v>0.15569913528879054</v>
      </c>
      <c r="AU25" s="376">
        <f t="shared" ref="AU25:AU39" si="25">SUM(AF25:AJ25)-SUM(AF7:AJ7)</f>
        <v>0</v>
      </c>
      <c r="AV25" s="376">
        <f t="shared" ref="AV25:AV39" si="26">SUM(AK25:AO25)-SUM(AK7:AO7)</f>
        <v>-4.4177339240832225E-2</v>
      </c>
      <c r="AW25" s="376">
        <f t="shared" ref="AW25:AW39" si="27">SUM(AP25:AT25)-SUM(AP7:AT7)</f>
        <v>-3.2018424233855036E-3</v>
      </c>
      <c r="AX25" s="376">
        <f t="shared" ref="AX25:AX39" si="28">AV25+AW25</f>
        <v>-4.7379181664217729E-2</v>
      </c>
    </row>
    <row r="26" spans="2:50" x14ac:dyDescent="0.2">
      <c r="B26" s="212">
        <v>1</v>
      </c>
      <c r="C26" s="325" t="s">
        <v>11</v>
      </c>
      <c r="D26" s="215">
        <f>Scenario!AL33</f>
        <v>0.58511880095294533</v>
      </c>
      <c r="E26" s="215">
        <f>Scenario!AM33</f>
        <v>1.4695852222982959</v>
      </c>
      <c r="F26" s="215">
        <f>Scenario!AN33</f>
        <v>2.7809900094728652</v>
      </c>
      <c r="G26" s="215">
        <f>Scenario!AO33</f>
        <v>5.2626450752497185</v>
      </c>
      <c r="H26" s="321">
        <f>Scenario!AP33</f>
        <v>13.217666942494709</v>
      </c>
      <c r="I26" s="218">
        <f>IF(D26+'Non-travel METs'!D27&gt;2.5, D26+'Non-travel METs'!D27, 0.1)</f>
        <v>65.462618800952939</v>
      </c>
      <c r="J26" s="218">
        <f>IF(E26+'Non-travel METs'!E27&gt;2.5, E26+'Non-travel METs'!E27, 0.1)</f>
        <v>66.34708522229829</v>
      </c>
      <c r="K26" s="218">
        <f>IF(F26+'Non-travel METs'!F27&gt;2.5, F26+'Non-travel METs'!F27, 0.1)</f>
        <v>67.658490009472857</v>
      </c>
      <c r="L26" s="218">
        <f>IF(G26+'Non-travel METs'!G27&gt;2.5, G26+'Non-travel METs'!G27, 0.1)</f>
        <v>70.14014507524972</v>
      </c>
      <c r="M26" s="223">
        <f>IF(H26+'Non-travel METs'!H27&gt;2.5, H26+'Non-travel METs'!H27, 0.1)</f>
        <v>78.0951669424947</v>
      </c>
      <c r="N26" s="268">
        <f>'Phy activity RRs'!$F$8</f>
        <v>0.93831941951583364</v>
      </c>
      <c r="O26" s="215">
        <f t="shared" si="17"/>
        <v>0.59743737911427763</v>
      </c>
      <c r="P26" s="215">
        <f t="shared" si="11"/>
        <v>0.59536897984534787</v>
      </c>
      <c r="Q26" s="215">
        <f t="shared" si="11"/>
        <v>0.5923403616666002</v>
      </c>
      <c r="R26" s="215">
        <f t="shared" si="11"/>
        <v>0.58672952532051403</v>
      </c>
      <c r="S26" s="321">
        <f t="shared" si="11"/>
        <v>0.56971691296926341</v>
      </c>
      <c r="T26" s="296">
        <f t="shared" si="18"/>
        <v>0.99985453576189454</v>
      </c>
      <c r="U26" s="296">
        <f t="shared" si="12"/>
        <v>0.99964823470796549</v>
      </c>
      <c r="V26" s="296">
        <f t="shared" si="12"/>
        <v>0.99935525889550136</v>
      </c>
      <c r="W26" s="296">
        <f t="shared" si="12"/>
        <v>0.99882847947745668</v>
      </c>
      <c r="X26" s="328">
        <f t="shared" si="12"/>
        <v>0.99730316379087913</v>
      </c>
      <c r="Y26" s="296">
        <f t="shared" si="19"/>
        <v>1</v>
      </c>
      <c r="Z26" s="296">
        <f t="shared" si="13"/>
        <v>0.99653788105458641</v>
      </c>
      <c r="AA26" s="296">
        <f t="shared" si="13"/>
        <v>0.99146853272683755</v>
      </c>
      <c r="AB26" s="296">
        <f t="shared" si="13"/>
        <v>0.98207702737040259</v>
      </c>
      <c r="AC26" s="328">
        <f t="shared" si="13"/>
        <v>0.95360105156776298</v>
      </c>
      <c r="AD26" s="333">
        <f t="shared" si="20"/>
        <v>1.0020654732604938E-3</v>
      </c>
      <c r="AE26" s="334">
        <f t="shared" si="21"/>
        <v>0.99899793452673946</v>
      </c>
      <c r="AF26" s="215">
        <f>AE26*GBDUS!K60/(Y26+Z26+AA26+AB26+AC26)</f>
        <v>0</v>
      </c>
      <c r="AG26" s="215">
        <f t="shared" si="22"/>
        <v>0</v>
      </c>
      <c r="AH26" s="215">
        <f t="shared" si="14"/>
        <v>0</v>
      </c>
      <c r="AI26" s="215">
        <f t="shared" si="14"/>
        <v>0</v>
      </c>
      <c r="AJ26" s="321">
        <f t="shared" si="14"/>
        <v>0</v>
      </c>
      <c r="AK26" s="301">
        <f>AE26*GBDUS!L60/(Y26+Z26+AA26+AB26+AC26)</f>
        <v>26.240607429969415</v>
      </c>
      <c r="AL26" s="301">
        <f t="shared" si="23"/>
        <v>26.149759325846958</v>
      </c>
      <c r="AM26" s="301">
        <f t="shared" si="15"/>
        <v>26.016736546452726</v>
      </c>
      <c r="AN26" s="301">
        <f t="shared" si="15"/>
        <v>25.770297741218062</v>
      </c>
      <c r="AO26" s="303">
        <f t="shared" si="15"/>
        <v>25.02307083899569</v>
      </c>
      <c r="AP26" s="301">
        <f>AE26*GBDUS!M60/(Y26+Z26+AA26+AB26+AC26)</f>
        <v>4.3295650389077567</v>
      </c>
      <c r="AQ26" s="301">
        <f t="shared" si="24"/>
        <v>4.3145755697611534</v>
      </c>
      <c r="AR26" s="301">
        <f t="shared" si="16"/>
        <v>4.2926274964712867</v>
      </c>
      <c r="AS26" s="301">
        <f t="shared" si="16"/>
        <v>4.2519663632173508</v>
      </c>
      <c r="AT26" s="303">
        <f t="shared" si="16"/>
        <v>4.1286777739334592</v>
      </c>
      <c r="AU26" s="376">
        <f t="shared" si="25"/>
        <v>0</v>
      </c>
      <c r="AV26" s="376">
        <f t="shared" si="26"/>
        <v>-0.12959719687884785</v>
      </c>
      <c r="AW26" s="376">
        <f t="shared" si="27"/>
        <v>-2.1382869822833328E-2</v>
      </c>
      <c r="AX26" s="376">
        <f t="shared" si="28"/>
        <v>-0.15098006670168118</v>
      </c>
    </row>
    <row r="27" spans="2:50" x14ac:dyDescent="0.2">
      <c r="B27" s="212">
        <v>1</v>
      </c>
      <c r="C27" s="325" t="s">
        <v>12</v>
      </c>
      <c r="D27" s="215">
        <f>Scenario!AL34</f>
        <v>0.50458791239407375</v>
      </c>
      <c r="E27" s="215">
        <f>Scenario!AM34</f>
        <v>1.2673237267320545</v>
      </c>
      <c r="F27" s="215">
        <f>Scenario!AN34</f>
        <v>2.3982376587169973</v>
      </c>
      <c r="G27" s="215">
        <f>Scenario!AO34</f>
        <v>4.5383383474713499</v>
      </c>
      <c r="H27" s="321">
        <f>Scenario!AP34</f>
        <v>11.398497122928575</v>
      </c>
      <c r="I27" s="218">
        <f>IF(D27+'Non-travel METs'!D28&gt;2.5, D27+'Non-travel METs'!D28, 0.1)</f>
        <v>68.198337912394067</v>
      </c>
      <c r="J27" s="218">
        <f>IF(E27+'Non-travel METs'!E28&gt;2.5, E27+'Non-travel METs'!E28, 0.1)</f>
        <v>68.961073726732053</v>
      </c>
      <c r="K27" s="218">
        <f>IF(F27+'Non-travel METs'!F28&gt;2.5, F27+'Non-travel METs'!F28, 0.1)</f>
        <v>70.091987658716988</v>
      </c>
      <c r="L27" s="218">
        <f>IF(G27+'Non-travel METs'!G28&gt;2.5, G27+'Non-travel METs'!G28, 0.1)</f>
        <v>72.232088347471347</v>
      </c>
      <c r="M27" s="223">
        <f>IF(H27+'Non-travel METs'!H28&gt;2.5, H27+'Non-travel METs'!H28, 0.1)</f>
        <v>79.092247122928569</v>
      </c>
      <c r="N27" s="268">
        <f>'Phy activity RRs'!$F$8</f>
        <v>0.93831941951583364</v>
      </c>
      <c r="O27" s="215">
        <f t="shared" si="17"/>
        <v>0.59110658957474349</v>
      </c>
      <c r="P27" s="215">
        <f t="shared" si="11"/>
        <v>0.58937606777355767</v>
      </c>
      <c r="Q27" s="215">
        <f t="shared" si="11"/>
        <v>0.58683694945774345</v>
      </c>
      <c r="R27" s="215">
        <f t="shared" si="11"/>
        <v>0.58211678617506224</v>
      </c>
      <c r="S27" s="321">
        <f t="shared" si="11"/>
        <v>0.56768085539357671</v>
      </c>
      <c r="T27" s="296">
        <f t="shared" si="18"/>
        <v>0.99987622742514104</v>
      </c>
      <c r="U27" s="296">
        <f t="shared" si="12"/>
        <v>0.99970027936620176</v>
      </c>
      <c r="V27" s="296">
        <f t="shared" si="12"/>
        <v>0.9994496572911431</v>
      </c>
      <c r="W27" s="296">
        <f t="shared" si="12"/>
        <v>0.99899687937076831</v>
      </c>
      <c r="X27" s="328">
        <f t="shared" si="12"/>
        <v>0.99767096382497866</v>
      </c>
      <c r="Y27" s="296">
        <f t="shared" si="19"/>
        <v>1</v>
      </c>
      <c r="Z27" s="296">
        <f t="shared" si="13"/>
        <v>0.99707240313048984</v>
      </c>
      <c r="AA27" s="296">
        <f t="shared" si="13"/>
        <v>0.99277686936281373</v>
      </c>
      <c r="AB27" s="296">
        <f t="shared" si="13"/>
        <v>0.98479156964541925</v>
      </c>
      <c r="AC27" s="328">
        <f t="shared" si="13"/>
        <v>0.96036969542494899</v>
      </c>
      <c r="AD27" s="333">
        <f t="shared" si="20"/>
        <v>8.6119854435349195E-4</v>
      </c>
      <c r="AE27" s="334">
        <f t="shared" si="21"/>
        <v>0.99913880145564649</v>
      </c>
      <c r="AF27" s="215">
        <f>AE27*GBDUS!K61/(Y27+Z27+AA27+AB27+AC27)</f>
        <v>2.0245930456491057</v>
      </c>
      <c r="AG27" s="215">
        <f t="shared" si="22"/>
        <v>2.0186658533866315</v>
      </c>
      <c r="AH27" s="215">
        <f t="shared" si="14"/>
        <v>2.0099691455932436</v>
      </c>
      <c r="AI27" s="215">
        <f t="shared" si="14"/>
        <v>1.9938021633179828</v>
      </c>
      <c r="AJ27" s="321">
        <f t="shared" si="14"/>
        <v>1.9443578066095015</v>
      </c>
      <c r="AK27" s="301">
        <f>AE27*GBDUS!L61/(Y27+Z27+AA27+AB27+AC27)</f>
        <v>94.108697743100464</v>
      </c>
      <c r="AL27" s="301">
        <f t="shared" si="23"/>
        <v>93.833185414194091</v>
      </c>
      <c r="AM27" s="301">
        <f t="shared" si="15"/>
        <v>93.428938325206573</v>
      </c>
      <c r="AN27" s="301">
        <f t="shared" si="15"/>
        <v>92.677452167714236</v>
      </c>
      <c r="AO27" s="303">
        <f t="shared" si="15"/>
        <v>90.379141388379978</v>
      </c>
      <c r="AP27" s="301">
        <f>AE27*GBDUS!M61/(Y27+Z27+AA27+AB27+AC27)</f>
        <v>9.5891478543130209</v>
      </c>
      <c r="AQ27" s="301">
        <f t="shared" si="24"/>
        <v>9.5610746950734633</v>
      </c>
      <c r="AR27" s="301">
        <f t="shared" si="16"/>
        <v>9.5198841866620239</v>
      </c>
      <c r="AS27" s="301">
        <f t="shared" si="16"/>
        <v>9.4433119670109242</v>
      </c>
      <c r="AT27" s="303">
        <f t="shared" si="16"/>
        <v>9.2091270042313997</v>
      </c>
      <c r="AU27" s="376">
        <f t="shared" si="25"/>
        <v>-8.6119854435349197E-3</v>
      </c>
      <c r="AV27" s="376">
        <f t="shared" si="26"/>
        <v>-0.40030895928208565</v>
      </c>
      <c r="AW27" s="376">
        <f t="shared" si="27"/>
        <v>-4.0789235108128707E-2</v>
      </c>
      <c r="AX27" s="376">
        <f t="shared" si="28"/>
        <v>-0.44109819439021436</v>
      </c>
    </row>
    <row r="28" spans="2:50" x14ac:dyDescent="0.2">
      <c r="B28" s="212">
        <v>1</v>
      </c>
      <c r="C28" s="325" t="s">
        <v>13</v>
      </c>
      <c r="D28" s="215">
        <f>Scenario!AL35</f>
        <v>0.42323926090175956</v>
      </c>
      <c r="E28" s="215">
        <f>Scenario!AM35</f>
        <v>1.0630083366056431</v>
      </c>
      <c r="F28" s="215">
        <f>Scenario!AN35</f>
        <v>2.011598592059475</v>
      </c>
      <c r="G28" s="215">
        <f>Scenario!AO35</f>
        <v>3.8066765388659869</v>
      </c>
      <c r="H28" s="321">
        <f>Scenario!AP35</f>
        <v>9.5608542717754226</v>
      </c>
      <c r="I28" s="218">
        <f>IF(D28+'Non-travel METs'!D29&gt;2.5, D28+'Non-travel METs'!D29, 0.1)</f>
        <v>58.198239260901758</v>
      </c>
      <c r="J28" s="218">
        <f>IF(E28+'Non-travel METs'!E29&gt;2.5, E28+'Non-travel METs'!E29, 0.1)</f>
        <v>58.83800833660564</v>
      </c>
      <c r="K28" s="218">
        <f>IF(F28+'Non-travel METs'!F29&gt;2.5, F28+'Non-travel METs'!F29, 0.1)</f>
        <v>59.786598592059477</v>
      </c>
      <c r="L28" s="218">
        <f>IF(G28+'Non-travel METs'!G29&gt;2.5, G28+'Non-travel METs'!G29, 0.1)</f>
        <v>61.581676538865985</v>
      </c>
      <c r="M28" s="223">
        <f>IF(H28+'Non-travel METs'!H29&gt;2.5, H28+'Non-travel METs'!H29, 0.1)</f>
        <v>67.335854271775418</v>
      </c>
      <c r="N28" s="268">
        <f>'Phy activity RRs'!$F$8</f>
        <v>0.93831941951583364</v>
      </c>
      <c r="O28" s="215">
        <f t="shared" si="17"/>
        <v>0.61527559612182325</v>
      </c>
      <c r="P28" s="215">
        <f t="shared" si="11"/>
        <v>0.61363975489966149</v>
      </c>
      <c r="Q28" s="215">
        <f t="shared" si="11"/>
        <v>0.61123848010547543</v>
      </c>
      <c r="R28" s="215">
        <f t="shared" si="11"/>
        <v>0.60677116956359134</v>
      </c>
      <c r="S28" s="321">
        <f t="shared" si="11"/>
        <v>0.59308130084805166</v>
      </c>
      <c r="T28" s="296">
        <f t="shared" si="18"/>
        <v>0.99990572332495764</v>
      </c>
      <c r="U28" s="296">
        <f t="shared" si="12"/>
        <v>0.99977316144922868</v>
      </c>
      <c r="V28" s="296">
        <f t="shared" si="12"/>
        <v>0.99958541405808943</v>
      </c>
      <c r="W28" s="296">
        <f t="shared" si="12"/>
        <v>0.99924794276385853</v>
      </c>
      <c r="X28" s="328">
        <f t="shared" si="12"/>
        <v>0.99826620913398068</v>
      </c>
      <c r="Y28" s="296">
        <f t="shared" si="19"/>
        <v>1</v>
      </c>
      <c r="Z28" s="296">
        <f t="shared" si="13"/>
        <v>0.99734128700622493</v>
      </c>
      <c r="AA28" s="296">
        <f t="shared" si="13"/>
        <v>0.99343852406662259</v>
      </c>
      <c r="AB28" s="296">
        <f t="shared" si="13"/>
        <v>0.98617785816333914</v>
      </c>
      <c r="AC28" s="328">
        <f t="shared" si="13"/>
        <v>0.96392787977669581</v>
      </c>
      <c r="AD28" s="333">
        <f t="shared" si="20"/>
        <v>6.4430985397709859E-4</v>
      </c>
      <c r="AE28" s="334">
        <f t="shared" si="21"/>
        <v>0.99935569014602288</v>
      </c>
      <c r="AF28" s="215">
        <f>AE28*GBDUS!K62/(Y28+Z28+AA28+AB28+AC28)</f>
        <v>17.799096915009457</v>
      </c>
      <c r="AG28" s="215">
        <f t="shared" si="22"/>
        <v>17.751774224764059</v>
      </c>
      <c r="AH28" s="215">
        <f t="shared" si="14"/>
        <v>17.68230856896577</v>
      </c>
      <c r="AI28" s="215">
        <f t="shared" si="14"/>
        <v>17.553075272885724</v>
      </c>
      <c r="AJ28" s="321">
        <f t="shared" si="14"/>
        <v>17.157045751224992</v>
      </c>
      <c r="AK28" s="301">
        <f>AE28*GBDUS!L62/(Y28+Z28+AA28+AB28+AC28)</f>
        <v>595.16385927244482</v>
      </c>
      <c r="AL28" s="301">
        <f t="shared" si="23"/>
        <v>593.58148938637191</v>
      </c>
      <c r="AM28" s="301">
        <f t="shared" si="15"/>
        <v>591.25870593341267</v>
      </c>
      <c r="AN28" s="301">
        <f t="shared" si="15"/>
        <v>586.93741999352665</v>
      </c>
      <c r="AO28" s="303">
        <f t="shared" si="15"/>
        <v>573.69503698820347</v>
      </c>
      <c r="AP28" s="301">
        <f>AE28*GBDUS!M62/(Y28+Z28+AA28+AB28+AC28)</f>
        <v>44.729728706820424</v>
      </c>
      <c r="AQ28" s="301">
        <f t="shared" si="24"/>
        <v>44.610805195899566</v>
      </c>
      <c r="AR28" s="301">
        <f t="shared" si="16"/>
        <v>44.436235668404123</v>
      </c>
      <c r="AS28" s="301">
        <f t="shared" si="16"/>
        <v>44.111468052319388</v>
      </c>
      <c r="AT28" s="303">
        <f t="shared" si="16"/>
        <v>43.116232555352219</v>
      </c>
      <c r="AU28" s="376">
        <f t="shared" si="25"/>
        <v>-5.6699267150008836E-2</v>
      </c>
      <c r="AV28" s="376">
        <f t="shared" si="26"/>
        <v>-1.8959026301195081</v>
      </c>
      <c r="AW28" s="376">
        <f t="shared" si="27"/>
        <v>-0.14248716379293569</v>
      </c>
      <c r="AX28" s="376">
        <f t="shared" si="28"/>
        <v>-2.0383897939124438</v>
      </c>
    </row>
    <row r="29" spans="2:50" x14ac:dyDescent="0.2">
      <c r="B29" s="212">
        <v>1</v>
      </c>
      <c r="C29" s="325" t="s">
        <v>14</v>
      </c>
      <c r="D29" s="215">
        <f>Scenario!AL36</f>
        <v>0.34527632259518459</v>
      </c>
      <c r="E29" s="215">
        <f>Scenario!AM36</f>
        <v>0.86719650858764341</v>
      </c>
      <c r="F29" s="215">
        <f>Scenario!AN36</f>
        <v>1.641051359281066</v>
      </c>
      <c r="G29" s="215">
        <f>Scenario!AO36</f>
        <v>3.1054663356339605</v>
      </c>
      <c r="H29" s="321">
        <f>Scenario!AP36</f>
        <v>7.7996937164894184</v>
      </c>
      <c r="I29" s="218">
        <f>IF(D29+'Non-travel METs'!D30&gt;2.5, D29+'Non-travel METs'!D30, 0.1)</f>
        <v>23.428609655928486</v>
      </c>
      <c r="J29" s="218">
        <f>IF(E29+'Non-travel METs'!E30&gt;2.5, E29+'Non-travel METs'!E30, 0.1)</f>
        <v>23.950529841920943</v>
      </c>
      <c r="K29" s="218">
        <f>IF(F29+'Non-travel METs'!F30&gt;2.5, F29+'Non-travel METs'!F30, 0.1)</f>
        <v>24.724384692614365</v>
      </c>
      <c r="L29" s="218">
        <f>IF(G29+'Non-travel METs'!G30&gt;2.5, G29+'Non-travel METs'!G30, 0.1)</f>
        <v>26.18879966896726</v>
      </c>
      <c r="M29" s="223">
        <f>IF(H29+'Non-travel METs'!H30&gt;2.5, H29+'Non-travel METs'!H30, 0.1)</f>
        <v>30.883027049822719</v>
      </c>
      <c r="N29" s="268">
        <f>'Phy activity RRs'!$F$8</f>
        <v>0.93831941951583364</v>
      </c>
      <c r="O29" s="215">
        <f t="shared" si="17"/>
        <v>0.73479943548063953</v>
      </c>
      <c r="P29" s="215">
        <f t="shared" si="11"/>
        <v>0.73229546245364752</v>
      </c>
      <c r="Q29" s="215">
        <f t="shared" si="11"/>
        <v>0.72864785695930712</v>
      </c>
      <c r="R29" s="215">
        <f t="shared" si="11"/>
        <v>0.72194605667275602</v>
      </c>
      <c r="S29" s="321">
        <f t="shared" si="11"/>
        <v>0.70201429297764117</v>
      </c>
      <c r="T29" s="296">
        <f t="shared" si="18"/>
        <v>0.99986188691470534</v>
      </c>
      <c r="U29" s="296">
        <f t="shared" si="12"/>
        <v>0.99966784707818257</v>
      </c>
      <c r="V29" s="296">
        <f t="shared" si="12"/>
        <v>0.99939540805556559</v>
      </c>
      <c r="W29" s="296">
        <f t="shared" si="12"/>
        <v>0.99891401921737999</v>
      </c>
      <c r="X29" s="328">
        <f t="shared" si="12"/>
        <v>0.99757327727819201</v>
      </c>
      <c r="Y29" s="296">
        <f t="shared" si="19"/>
        <v>1</v>
      </c>
      <c r="Z29" s="296">
        <f t="shared" si="13"/>
        <v>0.9965923040953969</v>
      </c>
      <c r="AA29" s="296">
        <f t="shared" si="13"/>
        <v>0.99162822094806236</v>
      </c>
      <c r="AB29" s="296">
        <f t="shared" si="13"/>
        <v>0.98250763652332429</v>
      </c>
      <c r="AC29" s="328">
        <f t="shared" si="13"/>
        <v>0.95538218877161596</v>
      </c>
      <c r="AD29" s="333">
        <f t="shared" si="20"/>
        <v>9.1751229119481077E-4</v>
      </c>
      <c r="AE29" s="334">
        <f t="shared" si="21"/>
        <v>0.99908248770880514</v>
      </c>
      <c r="AF29" s="215">
        <f>AE29*GBDUS!K63/(Y29+Z29+AA29+AB29+AC29)</f>
        <v>19.875739037948463</v>
      </c>
      <c r="AG29" s="215">
        <f t="shared" si="22"/>
        <v>19.808008563427887</v>
      </c>
      <c r="AH29" s="215">
        <f t="shared" si="14"/>
        <v>19.709343742228786</v>
      </c>
      <c r="AI29" s="215">
        <f t="shared" si="14"/>
        <v>19.528065386329114</v>
      </c>
      <c r="AJ29" s="321">
        <f t="shared" si="14"/>
        <v>18.988927065528657</v>
      </c>
      <c r="AK29" s="301">
        <f>AE29*GBDUS!L63/(Y29+Z29+AA29+AB29+AC29)</f>
        <v>460.7386788499129</v>
      </c>
      <c r="AL29" s="301">
        <f t="shared" si="23"/>
        <v>459.16862154090381</v>
      </c>
      <c r="AM29" s="301">
        <f t="shared" si="15"/>
        <v>456.88147642989975</v>
      </c>
      <c r="AN29" s="301">
        <f t="shared" si="15"/>
        <v>452.67927041170685</v>
      </c>
      <c r="AO29" s="303">
        <f t="shared" si="15"/>
        <v>440.1815274513724</v>
      </c>
      <c r="AP29" s="301">
        <f>AE29*GBDUS!M63/(Y29+Z29+AA29+AB29+AC29)</f>
        <v>39.191469197400743</v>
      </c>
      <c r="AQ29" s="301">
        <f t="shared" si="24"/>
        <v>39.057916588321383</v>
      </c>
      <c r="AR29" s="301">
        <f t="shared" si="16"/>
        <v>38.863366876559283</v>
      </c>
      <c r="AS29" s="301">
        <f t="shared" si="16"/>
        <v>38.505917773014872</v>
      </c>
      <c r="AT29" s="303">
        <f t="shared" si="16"/>
        <v>37.442831622988088</v>
      </c>
      <c r="AU29" s="376">
        <f t="shared" si="25"/>
        <v>-8.9916204537090039E-2</v>
      </c>
      <c r="AV29" s="376">
        <f t="shared" si="26"/>
        <v>-2.084343792526397</v>
      </c>
      <c r="AW29" s="376">
        <f t="shared" si="27"/>
        <v>-0.17729897508391446</v>
      </c>
      <c r="AX29" s="376">
        <f t="shared" si="28"/>
        <v>-2.2616427676103115</v>
      </c>
    </row>
    <row r="30" spans="2:50" x14ac:dyDescent="0.2">
      <c r="B30" s="212">
        <v>1</v>
      </c>
      <c r="C30" s="325" t="s">
        <v>15</v>
      </c>
      <c r="D30" s="215">
        <f>Scenario!AL37</f>
        <v>0.19932213747057709</v>
      </c>
      <c r="E30" s="215">
        <f>Scenario!AM37</f>
        <v>0.50061776724078633</v>
      </c>
      <c r="F30" s="215">
        <f>Scenario!AN37</f>
        <v>0.94735098593598122</v>
      </c>
      <c r="G30" s="215">
        <f>Scenario!AO37</f>
        <v>1.7927327979196748</v>
      </c>
      <c r="H30" s="321">
        <f>Scenario!AP37</f>
        <v>4.5026302745040336</v>
      </c>
      <c r="I30" s="218">
        <f>IF(D30+'Non-travel METs'!D31&gt;2.5, D30+'Non-travel METs'!D31, 0.1)</f>
        <v>0.1</v>
      </c>
      <c r="J30" s="218">
        <f>IF(E30+'Non-travel METs'!E31&gt;2.5, E30+'Non-travel METs'!E31, 0.1)</f>
        <v>0.1</v>
      </c>
      <c r="K30" s="218">
        <f>IF(F30+'Non-travel METs'!F31&gt;2.5, F30+'Non-travel METs'!F31, 0.1)</f>
        <v>2.822350985935981</v>
      </c>
      <c r="L30" s="218">
        <f>IF(G30+'Non-travel METs'!G31&gt;2.5, G30+'Non-travel METs'!G31, 0.1)</f>
        <v>3.6677327979196748</v>
      </c>
      <c r="M30" s="223">
        <f>IF(H30+'Non-travel METs'!H31&gt;2.5, H30+'Non-travel METs'!H31, 0.1)</f>
        <v>6.3776302745040336</v>
      </c>
      <c r="N30" s="268">
        <f>'Phy activity RRs'!$F$8</f>
        <v>0.93831941951583364</v>
      </c>
      <c r="O30" s="215">
        <f t="shared" si="17"/>
        <v>0.98006871247951299</v>
      </c>
      <c r="P30" s="215">
        <f t="shared" si="11"/>
        <v>0.98006871247951299</v>
      </c>
      <c r="Q30" s="215">
        <f t="shared" si="11"/>
        <v>0.8985651834935463</v>
      </c>
      <c r="R30" s="215">
        <f t="shared" si="11"/>
        <v>0.88521330644771623</v>
      </c>
      <c r="S30" s="321">
        <f t="shared" si="11"/>
        <v>0.85148019489773508</v>
      </c>
      <c r="T30" s="296">
        <f t="shared" si="18"/>
        <v>1</v>
      </c>
      <c r="U30" s="296">
        <f t="shared" si="12"/>
        <v>1</v>
      </c>
      <c r="V30" s="296">
        <f t="shared" si="12"/>
        <v>0.99898775799052486</v>
      </c>
      <c r="W30" s="296">
        <f t="shared" si="12"/>
        <v>0.99835747801603825</v>
      </c>
      <c r="X30" s="328">
        <f t="shared" si="12"/>
        <v>0.99697754660015769</v>
      </c>
      <c r="Y30" s="296">
        <f t="shared" si="19"/>
        <v>1</v>
      </c>
      <c r="Z30" s="296">
        <f t="shared" si="13"/>
        <v>1</v>
      </c>
      <c r="AA30" s="296">
        <f t="shared" si="13"/>
        <v>0.91683896450508273</v>
      </c>
      <c r="AB30" s="296">
        <f t="shared" si="13"/>
        <v>0.90321555537486908</v>
      </c>
      <c r="AC30" s="328">
        <f t="shared" si="13"/>
        <v>0.86879642626642273</v>
      </c>
      <c r="AD30" s="333">
        <f t="shared" si="20"/>
        <v>1.1354434786557733E-3</v>
      </c>
      <c r="AE30" s="334">
        <f t="shared" si="21"/>
        <v>0.9988645565213442</v>
      </c>
      <c r="AF30" s="215">
        <f>AE30*GBDUS!K64/(Y30+Z30+AA30+AB30+AC30)</f>
        <v>24.924476050800223</v>
      </c>
      <c r="AG30" s="215">
        <f t="shared" si="22"/>
        <v>24.924476050800223</v>
      </c>
      <c r="AH30" s="215">
        <f t="shared" si="14"/>
        <v>22.851730813247411</v>
      </c>
      <c r="AI30" s="215">
        <f t="shared" si="14"/>
        <v>22.512174478651147</v>
      </c>
      <c r="AJ30" s="321">
        <f t="shared" si="14"/>
        <v>21.654295719498275</v>
      </c>
      <c r="AK30" s="301">
        <f>AE30*GBDUS!L64/(Y30+Z30+AA30+AB30+AC30)</f>
        <v>364.11438500247948</v>
      </c>
      <c r="AL30" s="301">
        <f t="shared" si="23"/>
        <v>364.11438500247948</v>
      </c>
      <c r="AM30" s="301">
        <f t="shared" si="15"/>
        <v>333.83425570707828</v>
      </c>
      <c r="AN30" s="301">
        <f t="shared" si="15"/>
        <v>328.8737764699934</v>
      </c>
      <c r="AO30" s="303">
        <f t="shared" si="15"/>
        <v>316.34127644235053</v>
      </c>
      <c r="AP30" s="301">
        <f>AE30*GBDUS!M64/(Y30+Z30+AA30+AB30+AC30)</f>
        <v>32.446616055813173</v>
      </c>
      <c r="AQ30" s="301">
        <f t="shared" si="24"/>
        <v>32.446616055813173</v>
      </c>
      <c r="AR30" s="301">
        <f t="shared" si="16"/>
        <v>29.748321866305741</v>
      </c>
      <c r="AS30" s="301">
        <f t="shared" si="16"/>
        <v>29.306288340886439</v>
      </c>
      <c r="AT30" s="303">
        <f t="shared" si="16"/>
        <v>28.189504073729218</v>
      </c>
      <c r="AU30" s="376">
        <f t="shared" si="25"/>
        <v>-0.13284688700268532</v>
      </c>
      <c r="AV30" s="376">
        <f t="shared" si="26"/>
        <v>-1.9407213400149885</v>
      </c>
      <c r="AW30" s="376">
        <f t="shared" si="27"/>
        <v>-0.17293972109987976</v>
      </c>
      <c r="AX30" s="376">
        <f t="shared" si="28"/>
        <v>-2.1136610611148683</v>
      </c>
    </row>
    <row r="31" spans="2:50" x14ac:dyDescent="0.2">
      <c r="B31" s="319">
        <v>1</v>
      </c>
      <c r="C31" s="326" t="s">
        <v>16</v>
      </c>
      <c r="D31" s="320">
        <f>Scenario!AL38</f>
        <v>0.19126931777272674</v>
      </c>
      <c r="E31" s="320">
        <f>Scenario!AM38</f>
        <v>0.48039229370187442</v>
      </c>
      <c r="F31" s="320">
        <f>Scenario!AN38</f>
        <v>0.909077030131903</v>
      </c>
      <c r="G31" s="320">
        <f>Scenario!AO38</f>
        <v>1.7203045459890483</v>
      </c>
      <c r="H31" s="322">
        <f>Scenario!AP38</f>
        <v>4.3207193727507578</v>
      </c>
      <c r="I31" s="230">
        <f>IF(D31+'Non-travel METs'!D32&gt;2.5, D31+'Non-travel METs'!D32, 0.1)</f>
        <v>0.1</v>
      </c>
      <c r="J31" s="228">
        <f>IF(E31+'Non-travel METs'!E32&gt;2.5, E31+'Non-travel METs'!E32, 0.1)</f>
        <v>0.1</v>
      </c>
      <c r="K31" s="228">
        <f>IF(F31+'Non-travel METs'!F32&gt;2.5, F31+'Non-travel METs'!F32, 0.1)</f>
        <v>0.1</v>
      </c>
      <c r="L31" s="228">
        <f>IF(G31+'Non-travel METs'!G32&gt;2.5, G31+'Non-travel METs'!G32, 0.1)</f>
        <v>0.1</v>
      </c>
      <c r="M31" s="229">
        <f>IF(H31+'Non-travel METs'!H32&gt;2.5, H31+'Non-travel METs'!H32, 0.1)</f>
        <v>4.6540527060840908</v>
      </c>
      <c r="N31" s="268">
        <f>'Phy activity RRs'!$F$8</f>
        <v>0.93831941951583364</v>
      </c>
      <c r="O31" s="327">
        <f t="shared" si="17"/>
        <v>0.98006871247951299</v>
      </c>
      <c r="P31" s="320">
        <f t="shared" si="11"/>
        <v>0.98006871247951299</v>
      </c>
      <c r="Q31" s="320">
        <f t="shared" si="11"/>
        <v>0.98006871247951299</v>
      </c>
      <c r="R31" s="320">
        <f t="shared" si="11"/>
        <v>0.98006871247951299</v>
      </c>
      <c r="S31" s="322">
        <f t="shared" si="11"/>
        <v>0.87166874478671552</v>
      </c>
      <c r="T31" s="329">
        <f t="shared" si="18"/>
        <v>1</v>
      </c>
      <c r="U31" s="330">
        <f t="shared" si="12"/>
        <v>1</v>
      </c>
      <c r="V31" s="330">
        <f t="shared" si="12"/>
        <v>1</v>
      </c>
      <c r="W31" s="330">
        <f t="shared" si="12"/>
        <v>1</v>
      </c>
      <c r="X31" s="331">
        <f t="shared" si="12"/>
        <v>0.99455810443535175</v>
      </c>
      <c r="Y31" s="329">
        <f t="shared" si="19"/>
        <v>1</v>
      </c>
      <c r="Z31" s="330">
        <f t="shared" si="13"/>
        <v>1</v>
      </c>
      <c r="AA31" s="330">
        <f t="shared" si="13"/>
        <v>1</v>
      </c>
      <c r="AB31" s="330">
        <f t="shared" si="13"/>
        <v>1</v>
      </c>
      <c r="AC31" s="331">
        <f t="shared" si="13"/>
        <v>0.88939554307518676</v>
      </c>
      <c r="AD31" s="332">
        <f t="shared" si="20"/>
        <v>1.0883791129296938E-3</v>
      </c>
      <c r="AE31" s="334">
        <f t="shared" si="21"/>
        <v>0.99891162088707031</v>
      </c>
      <c r="AF31" s="215">
        <f>AE31*GBDUS!K65/(Y31+Z31+AA31+AB31+AC31)</f>
        <v>49.849604792486943</v>
      </c>
      <c r="AG31" s="320">
        <f t="shared" si="22"/>
        <v>49.849604792486943</v>
      </c>
      <c r="AH31" s="320">
        <f t="shared" si="14"/>
        <v>49.849604792486943</v>
      </c>
      <c r="AI31" s="320">
        <f t="shared" si="14"/>
        <v>49.849604792486943</v>
      </c>
      <c r="AJ31" s="322">
        <f t="shared" si="14"/>
        <v>44.336016326497358</v>
      </c>
      <c r="AK31" s="304">
        <f>AE31*GBDUS!L65/(Y31+Z31+AA31+AB31+AC31)</f>
        <v>317.30244261402368</v>
      </c>
      <c r="AL31" s="305">
        <f t="shared" si="23"/>
        <v>317.30244261402368</v>
      </c>
      <c r="AM31" s="305">
        <f t="shared" si="15"/>
        <v>317.30244261402368</v>
      </c>
      <c r="AN31" s="305">
        <f t="shared" si="15"/>
        <v>317.30244261402368</v>
      </c>
      <c r="AO31" s="306">
        <f t="shared" si="15"/>
        <v>282.20737826778287</v>
      </c>
      <c r="AP31" s="301">
        <f>AE31*GBDUS!M65/(Y31+Z31+AA31+AB31+AC31)</f>
        <v>26.459942609755778</v>
      </c>
      <c r="AQ31" s="305">
        <f t="shared" si="24"/>
        <v>26.459942609755778</v>
      </c>
      <c r="AR31" s="305">
        <f t="shared" si="16"/>
        <v>26.459942609755778</v>
      </c>
      <c r="AS31" s="305">
        <f t="shared" si="16"/>
        <v>26.459942609755778</v>
      </c>
      <c r="AT31" s="306">
        <f t="shared" si="16"/>
        <v>23.533355027142015</v>
      </c>
      <c r="AU31" s="377">
        <f t="shared" si="25"/>
        <v>-0.26556450355482752</v>
      </c>
      <c r="AV31" s="378">
        <f t="shared" si="26"/>
        <v>-1.6903697832774469</v>
      </c>
      <c r="AW31" s="378">
        <f t="shared" si="27"/>
        <v>-0.14096042591509672</v>
      </c>
      <c r="AX31" s="378">
        <f t="shared" si="28"/>
        <v>-1.8313302091925436</v>
      </c>
    </row>
    <row r="32" spans="2:50" x14ac:dyDescent="0.2">
      <c r="B32" s="212">
        <v>2</v>
      </c>
      <c r="C32" s="325" t="s">
        <v>9</v>
      </c>
      <c r="D32" s="215">
        <f>Scenario!AL39</f>
        <v>0.67806159555829848</v>
      </c>
      <c r="E32" s="215">
        <f>Scenario!AM39</f>
        <v>1.703020478948196</v>
      </c>
      <c r="F32" s="215">
        <f>Scenario!AN39</f>
        <v>3.2227344600511354</v>
      </c>
      <c r="G32" s="369">
        <f>Scenario!AO39</f>
        <v>6.0985863225882078</v>
      </c>
      <c r="H32" s="321">
        <f>Scenario!AP39</f>
        <v>15.317218181999392</v>
      </c>
      <c r="I32" s="218">
        <f>IF(D32+'Non-travel METs'!D33&gt;2.5, D32+'Non-travel METs'!D33, 0.1)</f>
        <v>0.1</v>
      </c>
      <c r="J32" s="218">
        <f>IF(E32+'Non-travel METs'!E33&gt;2.5, E32+'Non-travel METs'!E33, 0.1)</f>
        <v>0.1</v>
      </c>
      <c r="K32" s="218">
        <f>IF(F32+'Non-travel METs'!F33&gt;2.5, F32+'Non-travel METs'!F33, 0.1)</f>
        <v>3.2227344600511354</v>
      </c>
      <c r="L32" s="218">
        <f>IF(G32+'Non-travel METs'!G33&gt;2.5, G32+'Non-travel METs'!G33, 0.1)</f>
        <v>6.0985863225882078</v>
      </c>
      <c r="M32" s="223">
        <f>IF(H32+'Non-travel METs'!H33&gt;2.5, H32+'Non-travel METs'!H33, 0.1)</f>
        <v>15.317218181999392</v>
      </c>
      <c r="N32" s="374">
        <f>'Phy activity RRs'!$F$8</f>
        <v>0.93831941951583364</v>
      </c>
      <c r="O32" s="214">
        <f t="shared" si="17"/>
        <v>0.98006871247951299</v>
      </c>
      <c r="P32" s="214">
        <f t="shared" si="11"/>
        <v>0.98006871247951299</v>
      </c>
      <c r="Q32" s="214">
        <f t="shared" si="11"/>
        <v>0.89199834989752658</v>
      </c>
      <c r="R32" s="214">
        <f t="shared" si="11"/>
        <v>0.85451401749518563</v>
      </c>
      <c r="S32" s="292">
        <f t="shared" si="11"/>
        <v>0.77945015970392484</v>
      </c>
      <c r="T32" s="296">
        <f t="shared" si="18"/>
        <v>1</v>
      </c>
      <c r="U32" s="296">
        <f t="shared" si="12"/>
        <v>1</v>
      </c>
      <c r="V32" s="296">
        <f t="shared" si="12"/>
        <v>0.99524642021966137</v>
      </c>
      <c r="W32" s="296">
        <f t="shared" si="12"/>
        <v>0.99357423412334467</v>
      </c>
      <c r="X32" s="328">
        <f t="shared" si="12"/>
        <v>0.99008104541283715</v>
      </c>
      <c r="Y32" s="296">
        <f t="shared" si="19"/>
        <v>1</v>
      </c>
      <c r="Z32" s="296">
        <f t="shared" si="13"/>
        <v>1</v>
      </c>
      <c r="AA32" s="296">
        <f t="shared" si="13"/>
        <v>0.91013858369259248</v>
      </c>
      <c r="AB32" s="296">
        <f t="shared" si="13"/>
        <v>0.87189194656905045</v>
      </c>
      <c r="AC32" s="328">
        <f t="shared" si="13"/>
        <v>0.79530154343154602</v>
      </c>
      <c r="AD32" s="371">
        <f t="shared" si="20"/>
        <v>4.2196600488313861E-3</v>
      </c>
      <c r="AE32" s="336">
        <f t="shared" si="21"/>
        <v>0.99578033995116866</v>
      </c>
      <c r="AF32" s="421">
        <f>AE32*GBDUS!K66/(Y32+Z32+AA32+AB32+AC32)</f>
        <v>0</v>
      </c>
      <c r="AG32" s="215">
        <f t="shared" si="22"/>
        <v>0</v>
      </c>
      <c r="AH32" s="215">
        <f t="shared" si="14"/>
        <v>0</v>
      </c>
      <c r="AI32" s="215">
        <f t="shared" si="14"/>
        <v>0</v>
      </c>
      <c r="AJ32" s="321">
        <f t="shared" si="14"/>
        <v>0</v>
      </c>
      <c r="AK32" s="301">
        <f>AE32*GBDUS!L66/(Y32+Z32+AA32+AB32+AC32)</f>
        <v>4.4341878902450835</v>
      </c>
      <c r="AL32" s="301">
        <f t="shared" si="23"/>
        <v>4.4341878902450835</v>
      </c>
      <c r="AM32" s="301">
        <f t="shared" si="15"/>
        <v>4.0357254862545053</v>
      </c>
      <c r="AN32" s="301">
        <f t="shared" si="15"/>
        <v>3.8661327110786967</v>
      </c>
      <c r="AO32" s="303">
        <f t="shared" si="15"/>
        <v>3.5265164729773857</v>
      </c>
      <c r="AP32" s="422">
        <f>AE32*GBDUS!M66/(Y32+Z32+AA32+AB32+AC32)</f>
        <v>1.9503320575634517E-2</v>
      </c>
      <c r="AQ32" s="301">
        <f t="shared" si="24"/>
        <v>1.9503320575634517E-2</v>
      </c>
      <c r="AR32" s="301">
        <f t="shared" si="16"/>
        <v>1.7750724566010595E-2</v>
      </c>
      <c r="AS32" s="301">
        <f t="shared" si="16"/>
        <v>1.7004788141250192E-2</v>
      </c>
      <c r="AT32" s="303">
        <f t="shared" si="16"/>
        <v>1.551102095584236E-2</v>
      </c>
      <c r="AU32" s="376">
        <f t="shared" si="25"/>
        <v>0</v>
      </c>
      <c r="AV32" s="376">
        <f t="shared" si="26"/>
        <v>-8.600831283990118E-2</v>
      </c>
      <c r="AW32" s="376">
        <f t="shared" si="27"/>
        <v>-3.7829874128161856E-4</v>
      </c>
      <c r="AX32" s="376">
        <f t="shared" si="28"/>
        <v>-8.6386611581182798E-2</v>
      </c>
    </row>
    <row r="33" spans="2:50" x14ac:dyDescent="0.2">
      <c r="B33" s="212">
        <v>2</v>
      </c>
      <c r="C33" s="325" t="s">
        <v>10</v>
      </c>
      <c r="D33" s="215">
        <f>Scenario!AL40</f>
        <v>0.49823535606718694</v>
      </c>
      <c r="E33" s="215">
        <f>Scenario!AM40</f>
        <v>1.2513686371218657</v>
      </c>
      <c r="F33" s="215">
        <f>Scenario!AN40</f>
        <v>2.3680448232604823</v>
      </c>
      <c r="G33" s="215">
        <f>Scenario!AO40</f>
        <v>4.4812025158855429</v>
      </c>
      <c r="H33" s="321">
        <f>Scenario!AP40</f>
        <v>11.254994686114927</v>
      </c>
      <c r="I33" s="218">
        <f>IF(D33+'Non-travel METs'!D34&gt;2.5, D33+'Non-travel METs'!D34, 0.1)</f>
        <v>0.1</v>
      </c>
      <c r="J33" s="218">
        <f>IF(E33+'Non-travel METs'!E34&gt;2.5, E33+'Non-travel METs'!E34, 0.1)</f>
        <v>0.1</v>
      </c>
      <c r="K33" s="218">
        <f>IF(F33+'Non-travel METs'!F34&gt;2.5, F33+'Non-travel METs'!F34, 0.1)</f>
        <v>0.1</v>
      </c>
      <c r="L33" s="218">
        <f>IF(G33+'Non-travel METs'!G34&gt;2.5, G33+'Non-travel METs'!G34, 0.1)</f>
        <v>4.4812025158855429</v>
      </c>
      <c r="M33" s="223">
        <f>IF(H33+'Non-travel METs'!H34&gt;2.5, H33+'Non-travel METs'!H34, 0.1)</f>
        <v>11.254994686114927</v>
      </c>
      <c r="N33" s="268">
        <f>'Phy activity RRs'!$F$8</f>
        <v>0.93831941951583364</v>
      </c>
      <c r="O33" s="214">
        <f t="shared" si="17"/>
        <v>0.98006871247951299</v>
      </c>
      <c r="P33" s="214">
        <f t="shared" si="11"/>
        <v>0.98006871247951299</v>
      </c>
      <c r="Q33" s="214">
        <f t="shared" si="11"/>
        <v>0.98006871247951299</v>
      </c>
      <c r="R33" s="214">
        <f t="shared" si="11"/>
        <v>0.87391585504621716</v>
      </c>
      <c r="S33" s="292">
        <f t="shared" si="11"/>
        <v>0.80768284667698054</v>
      </c>
      <c r="T33" s="296">
        <f t="shared" si="18"/>
        <v>1</v>
      </c>
      <c r="U33" s="296">
        <f t="shared" si="12"/>
        <v>1</v>
      </c>
      <c r="V33" s="296">
        <f t="shared" si="12"/>
        <v>1</v>
      </c>
      <c r="W33" s="296">
        <f t="shared" si="12"/>
        <v>0.99511855698081331</v>
      </c>
      <c r="X33" s="328">
        <f t="shared" si="12"/>
        <v>0.99248688641078631</v>
      </c>
      <c r="Y33" s="296">
        <f t="shared" si="19"/>
        <v>1</v>
      </c>
      <c r="Z33" s="296">
        <f t="shared" si="13"/>
        <v>1</v>
      </c>
      <c r="AA33" s="296">
        <f t="shared" si="13"/>
        <v>1</v>
      </c>
      <c r="AB33" s="296">
        <f t="shared" si="13"/>
        <v>0.89168835196795981</v>
      </c>
      <c r="AC33" s="328">
        <f t="shared" si="13"/>
        <v>0.82410838790434715</v>
      </c>
      <c r="AD33" s="371">
        <f t="shared" si="20"/>
        <v>2.4789113216801438E-3</v>
      </c>
      <c r="AE33" s="334">
        <f t="shared" si="21"/>
        <v>0.9975210886783199</v>
      </c>
      <c r="AF33" s="215">
        <f>AE33*GBDUS!K67/(Y33+Z33+AA33+AB33+AC33)</f>
        <v>0</v>
      </c>
      <c r="AG33" s="215">
        <f t="shared" si="22"/>
        <v>0</v>
      </c>
      <c r="AH33" s="215">
        <f t="shared" si="14"/>
        <v>0</v>
      </c>
      <c r="AI33" s="215">
        <f t="shared" si="14"/>
        <v>0</v>
      </c>
      <c r="AJ33" s="321">
        <f t="shared" si="14"/>
        <v>0</v>
      </c>
      <c r="AK33" s="301">
        <f>AE33*GBDUS!L67/(Y33+Z33+AA33+AB33+AC33)</f>
        <v>1.8062866168773932</v>
      </c>
      <c r="AL33" s="301">
        <f t="shared" si="23"/>
        <v>1.8062866168773932</v>
      </c>
      <c r="AM33" s="301">
        <f t="shared" si="15"/>
        <v>1.8062866168773932</v>
      </c>
      <c r="AN33" s="301">
        <f t="shared" si="15"/>
        <v>1.6106447365851844</v>
      </c>
      <c r="AO33" s="303">
        <f t="shared" si="15"/>
        <v>1.4885759519280257</v>
      </c>
      <c r="AP33" s="301">
        <f>AE33*GBDUS!M67/(Y33+Z33+AA33+AB33+AC33)</f>
        <v>9.752102199933714E-2</v>
      </c>
      <c r="AQ33" s="301">
        <f t="shared" si="24"/>
        <v>9.752102199933714E-2</v>
      </c>
      <c r="AR33" s="301">
        <f t="shared" si="16"/>
        <v>9.752102199933714E-2</v>
      </c>
      <c r="AS33" s="301">
        <f t="shared" si="16"/>
        <v>8.6958359388820086E-2</v>
      </c>
      <c r="AT33" s="303">
        <f t="shared" si="16"/>
        <v>8.0367892226658105E-2</v>
      </c>
      <c r="AU33" s="376">
        <f t="shared" si="25"/>
        <v>0</v>
      </c>
      <c r="AV33" s="376">
        <f t="shared" si="26"/>
        <v>-2.1168039981436237E-2</v>
      </c>
      <c r="AW33" s="376">
        <f t="shared" si="27"/>
        <v>-1.1428578794883126E-3</v>
      </c>
      <c r="AX33" s="376">
        <f t="shared" si="28"/>
        <v>-2.231089786092455E-2</v>
      </c>
    </row>
    <row r="34" spans="2:50" x14ac:dyDescent="0.2">
      <c r="B34" s="212">
        <v>2</v>
      </c>
      <c r="C34" s="325" t="s">
        <v>11</v>
      </c>
      <c r="D34" s="215">
        <f>Scenario!AL41</f>
        <v>0.48774232762808944</v>
      </c>
      <c r="E34" s="215">
        <f>Scenario!AM41</f>
        <v>1.225014331797649</v>
      </c>
      <c r="F34" s="215">
        <f>Scenario!AN41</f>
        <v>2.318172887491678</v>
      </c>
      <c r="G34" s="215">
        <f>Scenario!AO41</f>
        <v>4.3868266654607444</v>
      </c>
      <c r="H34" s="321">
        <f>Scenario!AP41</f>
        <v>11.017960164407139</v>
      </c>
      <c r="I34" s="218">
        <f>IF(D34+'Non-travel METs'!D35&gt;2.5, D34+'Non-travel METs'!D35, 0.1)</f>
        <v>37.987742327628091</v>
      </c>
      <c r="J34" s="218">
        <f>IF(E34+'Non-travel METs'!E35&gt;2.5, E34+'Non-travel METs'!E35, 0.1)</f>
        <v>38.725014331797652</v>
      </c>
      <c r="K34" s="218">
        <f>IF(F34+'Non-travel METs'!F35&gt;2.5, F34+'Non-travel METs'!F35, 0.1)</f>
        <v>39.818172887491677</v>
      </c>
      <c r="L34" s="218">
        <f>IF(G34+'Non-travel METs'!G35&gt;2.5, G34+'Non-travel METs'!G35, 0.1)</f>
        <v>41.886826665460745</v>
      </c>
      <c r="M34" s="223">
        <f>IF(H34+'Non-travel METs'!H35&gt;2.5, H34+'Non-travel METs'!H35, 0.1)</f>
        <v>48.517960164407143</v>
      </c>
      <c r="N34" s="268">
        <f>'Phy activity RRs'!$F$8</f>
        <v>0.93831941951583364</v>
      </c>
      <c r="O34" s="214">
        <f t="shared" si="17"/>
        <v>0.67543846334050062</v>
      </c>
      <c r="P34" s="214">
        <f t="shared" si="11"/>
        <v>0.67288372228437121</v>
      </c>
      <c r="Q34" s="214">
        <f t="shared" si="11"/>
        <v>0.66915758419885274</v>
      </c>
      <c r="R34" s="214">
        <f t="shared" si="11"/>
        <v>0.66229834386882402</v>
      </c>
      <c r="S34" s="292">
        <f t="shared" si="11"/>
        <v>0.6418141527676321</v>
      </c>
      <c r="T34" s="296">
        <f t="shared" si="18"/>
        <v>0.99978355115113626</v>
      </c>
      <c r="U34" s="296">
        <f t="shared" si="12"/>
        <v>0.99947333951992978</v>
      </c>
      <c r="V34" s="296">
        <f t="shared" si="12"/>
        <v>0.99903223962777787</v>
      </c>
      <c r="W34" s="296">
        <f t="shared" si="12"/>
        <v>0.99824197385317082</v>
      </c>
      <c r="X34" s="328">
        <f t="shared" si="12"/>
        <v>0.99598841373935998</v>
      </c>
      <c r="Y34" s="296">
        <f t="shared" si="19"/>
        <v>1</v>
      </c>
      <c r="Z34" s="296">
        <f t="shared" si="13"/>
        <v>0.99621765535309537</v>
      </c>
      <c r="AA34" s="296">
        <f t="shared" si="13"/>
        <v>0.99070103424287581</v>
      </c>
      <c r="AB34" s="296">
        <f t="shared" si="13"/>
        <v>0.98054579331077796</v>
      </c>
      <c r="AC34" s="328">
        <f t="shared" si="13"/>
        <v>0.95021854336430067</v>
      </c>
      <c r="AD34" s="371">
        <f t="shared" si="20"/>
        <v>1.496096421725035E-3</v>
      </c>
      <c r="AE34" s="334">
        <f t="shared" si="21"/>
        <v>0.99850390357827501</v>
      </c>
      <c r="AF34" s="215">
        <f>AE34*GBDUS!K68/(Y34+Z34+AA34+AB34+AC34)</f>
        <v>0</v>
      </c>
      <c r="AG34" s="215">
        <f t="shared" si="22"/>
        <v>0</v>
      </c>
      <c r="AH34" s="215">
        <f t="shared" si="14"/>
        <v>0</v>
      </c>
      <c r="AI34" s="215">
        <f t="shared" si="14"/>
        <v>0</v>
      </c>
      <c r="AJ34" s="321">
        <f t="shared" si="14"/>
        <v>0</v>
      </c>
      <c r="AK34" s="301">
        <f>AE34*GBDUS!L68/(Y34+Z34+AA34+AB34+AC34)</f>
        <v>10.86364193627448</v>
      </c>
      <c r="AL34" s="301">
        <f t="shared" si="23"/>
        <v>10.822551898350923</v>
      </c>
      <c r="AM34" s="301">
        <f t="shared" si="15"/>
        <v>10.762621301911405</v>
      </c>
      <c r="AN34" s="301">
        <f t="shared" si="15"/>
        <v>10.652298400648496</v>
      </c>
      <c r="AO34" s="303">
        <f t="shared" si="15"/>
        <v>10.322834016318067</v>
      </c>
      <c r="AP34" s="301">
        <f>AE34*GBDUS!M68/(Y34+Z34+AA34+AB34+AC34)</f>
        <v>2.9027588374557256</v>
      </c>
      <c r="AQ34" s="301">
        <f t="shared" si="24"/>
        <v>2.8917796031056198</v>
      </c>
      <c r="AR34" s="301">
        <f t="shared" si="16"/>
        <v>2.8757661824250351</v>
      </c>
      <c r="AS34" s="301">
        <f t="shared" si="16"/>
        <v>2.8462879670628962</v>
      </c>
      <c r="AT34" s="303">
        <f t="shared" si="16"/>
        <v>2.7582552742650304</v>
      </c>
      <c r="AU34" s="376">
        <f t="shared" si="25"/>
        <v>0</v>
      </c>
      <c r="AV34" s="376">
        <f t="shared" si="26"/>
        <v>-8.0047135001464653E-2</v>
      </c>
      <c r="AW34" s="376">
        <f t="shared" si="27"/>
        <v>-2.1388548140807373E-2</v>
      </c>
      <c r="AX34" s="376">
        <f t="shared" si="28"/>
        <v>-0.10143568314227203</v>
      </c>
    </row>
    <row r="35" spans="2:50" x14ac:dyDescent="0.2">
      <c r="B35" s="212">
        <v>2</v>
      </c>
      <c r="C35" s="325" t="s">
        <v>12</v>
      </c>
      <c r="D35" s="215">
        <f>Scenario!AL42</f>
        <v>0.41128119423541215</v>
      </c>
      <c r="E35" s="215">
        <f>Scenario!AM42</f>
        <v>1.032974439162079</v>
      </c>
      <c r="F35" s="215">
        <f>Scenario!AN42</f>
        <v>1.9547635290302883</v>
      </c>
      <c r="G35" s="215">
        <f>Scenario!AO42</f>
        <v>3.6991239178449766</v>
      </c>
      <c r="H35" s="321">
        <f>Scenario!AP42</f>
        <v>9.2907249540804369</v>
      </c>
      <c r="I35" s="218">
        <f>IF(D35+'Non-travel METs'!D36&gt;2.5, D35+'Non-travel METs'!D36, 0.1)</f>
        <v>37.974614527568711</v>
      </c>
      <c r="J35" s="218">
        <f>IF(E35+'Non-travel METs'!E36&gt;2.5, E35+'Non-travel METs'!E36, 0.1)</f>
        <v>38.596307772495379</v>
      </c>
      <c r="K35" s="218">
        <f>IF(F35+'Non-travel METs'!F36&gt;2.5, F35+'Non-travel METs'!F36, 0.1)</f>
        <v>39.518096862363585</v>
      </c>
      <c r="L35" s="218">
        <f>IF(G35+'Non-travel METs'!G36&gt;2.5, G35+'Non-travel METs'!G36, 0.1)</f>
        <v>41.262457251178276</v>
      </c>
      <c r="M35" s="223">
        <f>IF(H35+'Non-travel METs'!H36&gt;2.5, H35+'Non-travel METs'!H36, 0.1)</f>
        <v>46.854058287413736</v>
      </c>
      <c r="N35" s="268">
        <f>'Phy activity RRs'!$F$8</f>
        <v>0.93831941951583364</v>
      </c>
      <c r="O35" s="214">
        <f t="shared" si="17"/>
        <v>0.67548426466228828</v>
      </c>
      <c r="P35" s="214">
        <f t="shared" si="11"/>
        <v>0.6733272482688305</v>
      </c>
      <c r="Q35" s="214">
        <f t="shared" si="11"/>
        <v>0.67017322169258886</v>
      </c>
      <c r="R35" s="214">
        <f t="shared" si="11"/>
        <v>0.66434301458381584</v>
      </c>
      <c r="S35" s="292">
        <f t="shared" si="11"/>
        <v>0.64675605866934494</v>
      </c>
      <c r="T35" s="296">
        <f t="shared" si="18"/>
        <v>0.99981598569278785</v>
      </c>
      <c r="U35" s="296">
        <f t="shared" si="12"/>
        <v>0.99955151693899102</v>
      </c>
      <c r="V35" s="296">
        <f t="shared" si="12"/>
        <v>0.99917406495984606</v>
      </c>
      <c r="W35" s="296">
        <f t="shared" si="12"/>
        <v>0.9984938867224169</v>
      </c>
      <c r="X35" s="328">
        <f t="shared" si="12"/>
        <v>0.99652852004078629</v>
      </c>
      <c r="Y35" s="296">
        <f t="shared" si="19"/>
        <v>1</v>
      </c>
      <c r="Z35" s="296">
        <f t="shared" si="13"/>
        <v>0.99680671111630381</v>
      </c>
      <c r="AA35" s="296">
        <f t="shared" si="13"/>
        <v>0.99213742903048274</v>
      </c>
      <c r="AB35" s="296">
        <f t="shared" si="13"/>
        <v>0.98350627740522933</v>
      </c>
      <c r="AC35" s="328">
        <f t="shared" si="13"/>
        <v>0.95747020693767582</v>
      </c>
      <c r="AD35" s="371">
        <f t="shared" si="20"/>
        <v>1.2872051290344188E-3</v>
      </c>
      <c r="AE35" s="334">
        <f t="shared" si="21"/>
        <v>0.99871279487096554</v>
      </c>
      <c r="AF35" s="215">
        <f>AE35*GBDUS!K69/(Y35+Z35+AA35+AB35+AC35)</f>
        <v>0.60774576566798855</v>
      </c>
      <c r="AG35" s="215">
        <f t="shared" si="22"/>
        <v>0.60580505787036754</v>
      </c>
      <c r="AH35" s="215">
        <f t="shared" si="14"/>
        <v>0.60296732145400034</v>
      </c>
      <c r="AI35" s="215">
        <f t="shared" si="14"/>
        <v>0.59772177560091422</v>
      </c>
      <c r="AJ35" s="321">
        <f t="shared" si="14"/>
        <v>0.58189846401962519</v>
      </c>
      <c r="AK35" s="301">
        <f>AE35*GBDUS!L69/(Y35+Z35+AA35+AB35+AC35)</f>
        <v>28.273854978126955</v>
      </c>
      <c r="AL35" s="301">
        <f t="shared" si="23"/>
        <v>28.183568391326066</v>
      </c>
      <c r="AM35" s="301">
        <f t="shared" si="15"/>
        <v>28.051549786779592</v>
      </c>
      <c r="AN35" s="301">
        <f t="shared" si="15"/>
        <v>27.807513857432955</v>
      </c>
      <c r="AO35" s="303">
        <f t="shared" si="15"/>
        <v>27.071373776833052</v>
      </c>
      <c r="AP35" s="301">
        <f>AE35*GBDUS!M69/(Y35+Z35+AA35+AB35+AC35)</f>
        <v>5.7663780826440449</v>
      </c>
      <c r="AQ35" s="301">
        <f t="shared" si="24"/>
        <v>5.7479643716135485</v>
      </c>
      <c r="AR35" s="301">
        <f t="shared" si="16"/>
        <v>5.7210395257321869</v>
      </c>
      <c r="AS35" s="301">
        <f t="shared" si="16"/>
        <v>5.6712690421723488</v>
      </c>
      <c r="AT35" s="303">
        <f t="shared" si="16"/>
        <v>5.5211352160700722</v>
      </c>
      <c r="AU35" s="376">
        <f t="shared" si="25"/>
        <v>-3.8616153871040559E-3</v>
      </c>
      <c r="AV35" s="376">
        <f t="shared" si="26"/>
        <v>-0.17965201833413857</v>
      </c>
      <c r="AW35" s="376">
        <f t="shared" si="27"/>
        <v>-3.6639554875915081E-2</v>
      </c>
      <c r="AX35" s="376">
        <f t="shared" si="28"/>
        <v>-0.21629157321005366</v>
      </c>
    </row>
    <row r="36" spans="2:50" x14ac:dyDescent="0.2">
      <c r="B36" s="212">
        <v>2</v>
      </c>
      <c r="C36" s="325" t="s">
        <v>13</v>
      </c>
      <c r="D36" s="215">
        <f>Scenario!AL43</f>
        <v>0.30322026939990843</v>
      </c>
      <c r="E36" s="215">
        <f>Scenario!AM43</f>
        <v>0.76156846487530472</v>
      </c>
      <c r="F36" s="215">
        <f>Scenario!AN43</f>
        <v>1.4411646634793909</v>
      </c>
      <c r="G36" s="215">
        <f>Scenario!AO43</f>
        <v>2.727207970200991</v>
      </c>
      <c r="H36" s="321">
        <f>Scenario!AP43</f>
        <v>6.8496594616583133</v>
      </c>
      <c r="I36" s="218">
        <f>IF(D36+'Non-travel METs'!D37&gt;2.5, D36+'Non-travel METs'!D37, 0.1)</f>
        <v>38.05655360273321</v>
      </c>
      <c r="J36" s="218">
        <f>IF(E36+'Non-travel METs'!E37&gt;2.5, E36+'Non-travel METs'!E37, 0.1)</f>
        <v>38.514901798208605</v>
      </c>
      <c r="K36" s="218">
        <f>IF(F36+'Non-travel METs'!F37&gt;2.5, F36+'Non-travel METs'!F37, 0.1)</f>
        <v>39.194497996812693</v>
      </c>
      <c r="L36" s="218">
        <f>IF(G36+'Non-travel METs'!G37&gt;2.5, G36+'Non-travel METs'!G37, 0.1)</f>
        <v>40.480541303534295</v>
      </c>
      <c r="M36" s="223">
        <f>IF(H36+'Non-travel METs'!H37&gt;2.5, H36+'Non-travel METs'!H37, 0.1)</f>
        <v>44.602992794991614</v>
      </c>
      <c r="N36" s="268">
        <f>'Phy activity RRs'!$F$8</f>
        <v>0.93831941951583364</v>
      </c>
      <c r="O36" s="214">
        <f t="shared" si="17"/>
        <v>0.67519856914453258</v>
      </c>
      <c r="P36" s="214">
        <f t="shared" si="11"/>
        <v>0.67360830834270236</v>
      </c>
      <c r="Q36" s="214">
        <f t="shared" si="11"/>
        <v>0.67127454346597204</v>
      </c>
      <c r="R36" s="214">
        <f t="shared" si="11"/>
        <v>0.6669345824995162</v>
      </c>
      <c r="S36" s="292">
        <f t="shared" si="11"/>
        <v>0.65364640277126973</v>
      </c>
      <c r="T36" s="296">
        <f t="shared" si="18"/>
        <v>0.9998868889639424</v>
      </c>
      <c r="U36" s="296">
        <f t="shared" si="12"/>
        <v>0.99972509746232829</v>
      </c>
      <c r="V36" s="296">
        <f t="shared" si="12"/>
        <v>0.99949402330632919</v>
      </c>
      <c r="W36" s="296">
        <f t="shared" si="12"/>
        <v>0.99907583525486887</v>
      </c>
      <c r="X36" s="328">
        <f t="shared" si="12"/>
        <v>0.99785030740444636</v>
      </c>
      <c r="Y36" s="296">
        <f t="shared" si="19"/>
        <v>1</v>
      </c>
      <c r="Z36" s="296">
        <f t="shared" si="13"/>
        <v>0.99764475093031513</v>
      </c>
      <c r="AA36" s="296">
        <f t="shared" si="13"/>
        <v>0.99418833827871966</v>
      </c>
      <c r="AB36" s="296">
        <f t="shared" si="13"/>
        <v>0.98776065734930873</v>
      </c>
      <c r="AC36" s="328">
        <f t="shared" si="13"/>
        <v>0.96808025467149739</v>
      </c>
      <c r="AD36" s="371">
        <f t="shared" si="20"/>
        <v>7.9356952161706578E-4</v>
      </c>
      <c r="AE36" s="334">
        <f t="shared" si="21"/>
        <v>0.99920643047838298</v>
      </c>
      <c r="AF36" s="215">
        <f>AE36*GBDUS!K70/(Y36+Z36+AA36+AB36+AC36)</f>
        <v>3.0293217486540462</v>
      </c>
      <c r="AG36" s="215">
        <f t="shared" si="22"/>
        <v>3.0221869414237528</v>
      </c>
      <c r="AH36" s="215">
        <f t="shared" si="14"/>
        <v>3.0117163554059516</v>
      </c>
      <c r="AI36" s="215">
        <f t="shared" si="14"/>
        <v>2.9922448417730783</v>
      </c>
      <c r="AJ36" s="321">
        <f t="shared" si="14"/>
        <v>2.9326265699189147</v>
      </c>
      <c r="AK36" s="301">
        <f>AE36*GBDUS!L70/(Y36+Z36+AA36+AB36+AC36)</f>
        <v>100.71918699375541</v>
      </c>
      <c r="AL36" s="301">
        <f t="shared" si="23"/>
        <v>100.48196822228896</v>
      </c>
      <c r="AM36" s="301">
        <f t="shared" si="15"/>
        <v>100.13384115010533</v>
      </c>
      <c r="AN36" s="301">
        <f t="shared" si="15"/>
        <v>99.486450352639793</v>
      </c>
      <c r="AO36" s="303">
        <f t="shared" si="15"/>
        <v>97.504256195220904</v>
      </c>
      <c r="AP36" s="301">
        <f>AE36*GBDUS!M70/(Y36+Z36+AA36+AB36+AC36)</f>
        <v>16.127273930669865</v>
      </c>
      <c r="AQ36" s="301">
        <f t="shared" si="24"/>
        <v>16.089290183748101</v>
      </c>
      <c r="AR36" s="301">
        <f t="shared" si="16"/>
        <v>16.03354767009839</v>
      </c>
      <c r="AS36" s="301">
        <f t="shared" si="16"/>
        <v>15.929886699010837</v>
      </c>
      <c r="AT36" s="303">
        <f t="shared" si="16"/>
        <v>15.612495453959884</v>
      </c>
      <c r="AU36" s="376">
        <f t="shared" si="25"/>
        <v>-1.1903542824256874E-2</v>
      </c>
      <c r="AV36" s="376">
        <f t="shared" si="26"/>
        <v>-0.39577016080835392</v>
      </c>
      <c r="AW36" s="376">
        <f t="shared" si="27"/>
        <v>-6.3371180680150019E-2</v>
      </c>
      <c r="AX36" s="376">
        <f t="shared" si="28"/>
        <v>-0.45914134148850394</v>
      </c>
    </row>
    <row r="37" spans="2:50" x14ac:dyDescent="0.2">
      <c r="B37" s="212">
        <v>2</v>
      </c>
      <c r="C37" s="325" t="s">
        <v>14</v>
      </c>
      <c r="D37" s="215">
        <f>Scenario!AL44</f>
        <v>0.20305771607435033</v>
      </c>
      <c r="E37" s="215">
        <f>Scenario!AM44</f>
        <v>0.51000005183649222</v>
      </c>
      <c r="F37" s="215">
        <f>Scenario!AN44</f>
        <v>0.96510568252028972</v>
      </c>
      <c r="G37" s="215">
        <f>Scenario!AO44</f>
        <v>1.8263311446320658</v>
      </c>
      <c r="H37" s="321">
        <f>Scenario!AP44</f>
        <v>4.5870159304456486</v>
      </c>
      <c r="I37" s="218">
        <f>IF(D37+'Non-travel METs'!D38&gt;2.5, D37+'Non-travel METs'!D38, 0.1)</f>
        <v>9.2030577160743512</v>
      </c>
      <c r="J37" s="218">
        <f>IF(E37+'Non-travel METs'!E38&gt;2.5, E37+'Non-travel METs'!E38, 0.1)</f>
        <v>9.5100000518364922</v>
      </c>
      <c r="K37" s="218">
        <f>IF(F37+'Non-travel METs'!F38&gt;2.5, F37+'Non-travel METs'!F38, 0.1)</f>
        <v>9.9651056825202904</v>
      </c>
      <c r="L37" s="218">
        <f>IF(G37+'Non-travel METs'!G38&gt;2.5, G37+'Non-travel METs'!G38, 0.1)</f>
        <v>10.826331144632066</v>
      </c>
      <c r="M37" s="223">
        <f>IF(H37+'Non-travel METs'!H38&gt;2.5, H37+'Non-travel METs'!H38, 0.1)</f>
        <v>13.587015930445649</v>
      </c>
      <c r="N37" s="268">
        <f>'Phy activity RRs'!$F$8</f>
        <v>0.93831941951583364</v>
      </c>
      <c r="O37" s="214">
        <f t="shared" si="17"/>
        <v>0.82436890000641883</v>
      </c>
      <c r="P37" s="214">
        <f t="shared" si="11"/>
        <v>0.82173977086799321</v>
      </c>
      <c r="Q37" s="214">
        <f t="shared" si="11"/>
        <v>0.81793338144982897</v>
      </c>
      <c r="R37" s="214">
        <f t="shared" si="11"/>
        <v>0.81100670230566896</v>
      </c>
      <c r="S37" s="292">
        <f t="shared" si="11"/>
        <v>0.79082997515733999</v>
      </c>
      <c r="T37" s="296">
        <f t="shared" si="18"/>
        <v>0.99981375895735092</v>
      </c>
      <c r="U37" s="296">
        <f t="shared" si="12"/>
        <v>0.99954958729937737</v>
      </c>
      <c r="V37" s="296">
        <f t="shared" si="12"/>
        <v>0.99917957050694473</v>
      </c>
      <c r="W37" s="296">
        <f t="shared" si="12"/>
        <v>0.99853210431881179</v>
      </c>
      <c r="X37" s="328">
        <f t="shared" si="12"/>
        <v>0.99677659296989463</v>
      </c>
      <c r="Y37" s="296">
        <f t="shared" si="19"/>
        <v>1</v>
      </c>
      <c r="Z37" s="296">
        <f t="shared" si="13"/>
        <v>0.99681073711246848</v>
      </c>
      <c r="AA37" s="296">
        <f t="shared" si="13"/>
        <v>0.99219339963390207</v>
      </c>
      <c r="AB37" s="296">
        <f t="shared" si="13"/>
        <v>0.98379099733062969</v>
      </c>
      <c r="AC37" s="328">
        <f t="shared" si="13"/>
        <v>0.95931563545298992</v>
      </c>
      <c r="AD37" s="371">
        <f t="shared" si="20"/>
        <v>1.2296771895240256E-3</v>
      </c>
      <c r="AE37" s="334">
        <f t="shared" si="21"/>
        <v>0.99877032281047595</v>
      </c>
      <c r="AF37" s="215">
        <f>AE37*GBDUS!K71/(Y37+Z37+AA37+AB37+AC37)</f>
        <v>7.4926342231176664</v>
      </c>
      <c r="AG37" s="215">
        <f t="shared" si="22"/>
        <v>7.4687382428600291</v>
      </c>
      <c r="AH37" s="215">
        <f t="shared" si="14"/>
        <v>7.4341422220484379</v>
      </c>
      <c r="AI37" s="215">
        <f t="shared" si="14"/>
        <v>7.3711860949945365</v>
      </c>
      <c r="AJ37" s="321">
        <f t="shared" si="14"/>
        <v>7.1878011609669432</v>
      </c>
      <c r="AK37" s="301">
        <f>AE37*GBDUS!L71/(Y37+Z37+AA37+AB37+AC37)</f>
        <v>172.10579554682369</v>
      </c>
      <c r="AL37" s="301">
        <f t="shared" si="23"/>
        <v>171.55690492035711</v>
      </c>
      <c r="AM37" s="301">
        <f t="shared" si="15"/>
        <v>170.76223438030027</v>
      </c>
      <c r="AN37" s="301">
        <f t="shared" si="15"/>
        <v>169.31613224739112</v>
      </c>
      <c r="AO37" s="303">
        <f t="shared" si="15"/>
        <v>165.10378062014354</v>
      </c>
      <c r="AP37" s="301">
        <f>AE37*GBDUS!M71/(Y37+Z37+AA37+AB37+AC37)</f>
        <v>23.146159331875445</v>
      </c>
      <c r="AQ37" s="301">
        <f t="shared" si="24"/>
        <v>23.072340144929402</v>
      </c>
      <c r="AR37" s="301">
        <f t="shared" si="16"/>
        <v>22.965466515961467</v>
      </c>
      <c r="AS37" s="301">
        <f t="shared" si="16"/>
        <v>22.770983173479404</v>
      </c>
      <c r="AT37" s="303">
        <f t="shared" si="16"/>
        <v>22.204472547754246</v>
      </c>
      <c r="AU37" s="376">
        <f t="shared" si="25"/>
        <v>-4.549805601239143E-2</v>
      </c>
      <c r="AV37" s="376">
        <f t="shared" si="26"/>
        <v>-1.0450902703466909</v>
      </c>
      <c r="AW37" s="376">
        <f t="shared" si="27"/>
        <v>-0.14055207052601304</v>
      </c>
      <c r="AX37" s="376">
        <f t="shared" si="28"/>
        <v>-1.1856423408727039</v>
      </c>
    </row>
    <row r="38" spans="2:50" x14ac:dyDescent="0.2">
      <c r="B38" s="212">
        <v>2</v>
      </c>
      <c r="C38" s="325" t="s">
        <v>15</v>
      </c>
      <c r="D38" s="215">
        <f>Scenario!AL45</f>
        <v>0.12940048412537145</v>
      </c>
      <c r="E38" s="215">
        <f>Scenario!AM45</f>
        <v>0.32500244210095713</v>
      </c>
      <c r="F38" s="215">
        <f>Scenario!AN45</f>
        <v>0.61502288592936483</v>
      </c>
      <c r="G38" s="215">
        <f>Scenario!AO45</f>
        <v>1.163847101491581</v>
      </c>
      <c r="H38" s="321">
        <f>Scenario!AP45</f>
        <v>2.9231200545618421</v>
      </c>
      <c r="I38" s="218">
        <f>IF(D38+'Non-travel METs'!D39&gt;2.5, D38+'Non-travel METs'!D39, 0.1)</f>
        <v>0.1</v>
      </c>
      <c r="J38" s="218">
        <f>IF(E38+'Non-travel METs'!E39&gt;2.5, E38+'Non-travel METs'!E39, 0.1)</f>
        <v>0.1</v>
      </c>
      <c r="K38" s="218">
        <f>IF(F38+'Non-travel METs'!F39&gt;2.5, F38+'Non-travel METs'!F39, 0.1)</f>
        <v>0.1</v>
      </c>
      <c r="L38" s="218">
        <f>IF(G38+'Non-travel METs'!G39&gt;2.5, G38+'Non-travel METs'!G39, 0.1)</f>
        <v>0.1</v>
      </c>
      <c r="M38" s="223">
        <f>IF(H38+'Non-travel METs'!H39&gt;2.5, H38+'Non-travel METs'!H39, 0.1)</f>
        <v>3.4231200545618421</v>
      </c>
      <c r="N38" s="268">
        <f>'Phy activity RRs'!$F$8</f>
        <v>0.93831941951583364</v>
      </c>
      <c r="O38" s="214">
        <f t="shared" si="17"/>
        <v>0.98006871247951299</v>
      </c>
      <c r="P38" s="214">
        <f t="shared" si="11"/>
        <v>0.98006871247951299</v>
      </c>
      <c r="Q38" s="214">
        <f t="shared" si="11"/>
        <v>0.98006871247951299</v>
      </c>
      <c r="R38" s="214">
        <f t="shared" si="11"/>
        <v>0.98006871247951299</v>
      </c>
      <c r="S38" s="292">
        <f t="shared" si="11"/>
        <v>0.88888211960379682</v>
      </c>
      <c r="T38" s="296">
        <f t="shared" si="18"/>
        <v>1</v>
      </c>
      <c r="U38" s="296">
        <f t="shared" si="12"/>
        <v>1</v>
      </c>
      <c r="V38" s="296">
        <f t="shared" si="12"/>
        <v>1</v>
      </c>
      <c r="W38" s="296">
        <f t="shared" si="12"/>
        <v>1</v>
      </c>
      <c r="X38" s="328">
        <f t="shared" si="12"/>
        <v>0.99547465043081063</v>
      </c>
      <c r="Y38" s="296">
        <f t="shared" si="19"/>
        <v>1</v>
      </c>
      <c r="Z38" s="296">
        <f t="shared" si="13"/>
        <v>1</v>
      </c>
      <c r="AA38" s="296">
        <f t="shared" si="13"/>
        <v>1</v>
      </c>
      <c r="AB38" s="296">
        <f t="shared" si="13"/>
        <v>1</v>
      </c>
      <c r="AC38" s="328">
        <f t="shared" si="13"/>
        <v>0.9069589797994676</v>
      </c>
      <c r="AD38" s="371">
        <f t="shared" si="20"/>
        <v>9.050699138379414E-4</v>
      </c>
      <c r="AE38" s="334">
        <f t="shared" si="21"/>
        <v>0.99909493008616201</v>
      </c>
      <c r="AF38" s="215">
        <f>AE38*GBDUS!K72/(Y38+Z38+AA38+AB38+AC38)</f>
        <v>14.456151014944174</v>
      </c>
      <c r="AG38" s="215">
        <f t="shared" si="22"/>
        <v>14.456151014944174</v>
      </c>
      <c r="AH38" s="215">
        <f t="shared" si="14"/>
        <v>14.456151014944174</v>
      </c>
      <c r="AI38" s="215">
        <f t="shared" si="14"/>
        <v>14.456151014944174</v>
      </c>
      <c r="AJ38" s="321">
        <f t="shared" si="14"/>
        <v>13.111135976340806</v>
      </c>
      <c r="AK38" s="301">
        <f>AE38*GBDUS!L72/(Y38+Z38+AA38+AB38+AC38)</f>
        <v>207.88912447064854</v>
      </c>
      <c r="AL38" s="301">
        <f t="shared" si="23"/>
        <v>207.88912447064854</v>
      </c>
      <c r="AM38" s="301">
        <f t="shared" si="15"/>
        <v>207.88912447064854</v>
      </c>
      <c r="AN38" s="301">
        <f t="shared" si="15"/>
        <v>207.88912447064854</v>
      </c>
      <c r="AO38" s="303">
        <f t="shared" si="15"/>
        <v>188.54690824130392</v>
      </c>
      <c r="AP38" s="301">
        <f>AE38*GBDUS!M72/(Y38+Z38+AA38+AB38+AC38)</f>
        <v>22.179655444451019</v>
      </c>
      <c r="AQ38" s="301">
        <f t="shared" si="24"/>
        <v>22.179655444451019</v>
      </c>
      <c r="AR38" s="301">
        <f t="shared" si="16"/>
        <v>22.179655444451019</v>
      </c>
      <c r="AS38" s="301">
        <f t="shared" si="16"/>
        <v>22.179655444451019</v>
      </c>
      <c r="AT38" s="303">
        <f t="shared" si="16"/>
        <v>20.116037674203003</v>
      </c>
      <c r="AU38" s="376">
        <f t="shared" si="25"/>
        <v>-6.4259963882491888E-2</v>
      </c>
      <c r="AV38" s="376">
        <f t="shared" si="26"/>
        <v>-0.9241012781506015</v>
      </c>
      <c r="AW38" s="376">
        <f t="shared" si="27"/>
        <v>-9.859220869465446E-2</v>
      </c>
      <c r="AX38" s="376">
        <f t="shared" si="28"/>
        <v>-1.022693486845256</v>
      </c>
    </row>
    <row r="39" spans="2:50" x14ac:dyDescent="0.2">
      <c r="B39" s="319">
        <v>2</v>
      </c>
      <c r="C39" s="326" t="s">
        <v>16</v>
      </c>
      <c r="D39" s="320">
        <f>Scenario!AL46</f>
        <v>0.16226655238866916</v>
      </c>
      <c r="E39" s="320">
        <f>Scenario!AM46</f>
        <v>0.40754890643628044</v>
      </c>
      <c r="F39" s="320">
        <f>Scenario!AN46</f>
        <v>0.7712308343699662</v>
      </c>
      <c r="G39" s="320">
        <f>Scenario!AO46</f>
        <v>1.4594493826129056</v>
      </c>
      <c r="H39" s="322">
        <f>Scenario!AP46</f>
        <v>3.6655551691164661</v>
      </c>
      <c r="I39" s="228">
        <f>IF(D39+'Non-travel METs'!D40&gt;2.5, D39+'Non-travel METs'!D40, 0.1)</f>
        <v>0.1</v>
      </c>
      <c r="J39" s="228">
        <f>IF(E39+'Non-travel METs'!E40&gt;2.5, E39+'Non-travel METs'!E40, 0.1)</f>
        <v>0.1</v>
      </c>
      <c r="K39" s="228">
        <f>IF(F39+'Non-travel METs'!F40&gt;2.5, F39+'Non-travel METs'!F40, 0.1)</f>
        <v>0.1</v>
      </c>
      <c r="L39" s="228">
        <f>IF(G39+'Non-travel METs'!G40&gt;2.5, G39+'Non-travel METs'!G40, 0.1)</f>
        <v>0.1</v>
      </c>
      <c r="M39" s="229">
        <f>IF(H39+'Non-travel METs'!H40&gt;2.5, H39+'Non-travel METs'!H40, 0.1)</f>
        <v>3.7488885024497995</v>
      </c>
      <c r="N39" s="268">
        <f>'Phy activity RRs'!$F$8</f>
        <v>0.93831941951583364</v>
      </c>
      <c r="O39" s="293">
        <f t="shared" si="17"/>
        <v>0.98006871247951299</v>
      </c>
      <c r="P39" s="294">
        <f t="shared" si="11"/>
        <v>0.98006871247951299</v>
      </c>
      <c r="Q39" s="294">
        <f t="shared" si="11"/>
        <v>0.98006871247951299</v>
      </c>
      <c r="R39" s="294">
        <f t="shared" si="11"/>
        <v>0.98006871247951299</v>
      </c>
      <c r="S39" s="295">
        <f t="shared" si="11"/>
        <v>0.88402654368227696</v>
      </c>
      <c r="T39" s="329">
        <f t="shared" si="18"/>
        <v>1</v>
      </c>
      <c r="U39" s="330">
        <f t="shared" si="12"/>
        <v>1</v>
      </c>
      <c r="V39" s="330">
        <f t="shared" si="12"/>
        <v>1</v>
      </c>
      <c r="W39" s="330">
        <f t="shared" si="12"/>
        <v>1</v>
      </c>
      <c r="X39" s="331">
        <f t="shared" si="12"/>
        <v>0.994564077945431</v>
      </c>
      <c r="Y39" s="329">
        <f t="shared" si="19"/>
        <v>1</v>
      </c>
      <c r="Z39" s="330">
        <f t="shared" si="13"/>
        <v>1</v>
      </c>
      <c r="AA39" s="330">
        <f t="shared" si="13"/>
        <v>1</v>
      </c>
      <c r="AB39" s="330">
        <f t="shared" si="13"/>
        <v>1</v>
      </c>
      <c r="AC39" s="331">
        <f t="shared" si="13"/>
        <v>0.90200465786296213</v>
      </c>
      <c r="AD39" s="371">
        <f t="shared" si="20"/>
        <v>1.0871844109137997E-3</v>
      </c>
      <c r="AE39" s="335">
        <f t="shared" si="21"/>
        <v>0.99891281558908618</v>
      </c>
      <c r="AF39" s="215">
        <f>AE39*GBDUS!K73/(Y39+Z39+AA39+AB39+AC39)</f>
        <v>58.483824084950975</v>
      </c>
      <c r="AG39" s="320">
        <f t="shared" si="22"/>
        <v>58.483824084950975</v>
      </c>
      <c r="AH39" s="320">
        <f t="shared" si="14"/>
        <v>58.483824084950975</v>
      </c>
      <c r="AI39" s="320">
        <f t="shared" si="14"/>
        <v>58.483824084950975</v>
      </c>
      <c r="AJ39" s="322">
        <f t="shared" si="14"/>
        <v>52.752681734263867</v>
      </c>
      <c r="AK39" s="301">
        <f>AE39*GBDUS!L73/(Y39+Z39+AA39+AB39+AC39)</f>
        <v>320.23497295079068</v>
      </c>
      <c r="AL39" s="305">
        <f t="shared" si="23"/>
        <v>320.23497295079068</v>
      </c>
      <c r="AM39" s="305">
        <f t="shared" si="15"/>
        <v>320.23497295079068</v>
      </c>
      <c r="AN39" s="305">
        <f t="shared" si="15"/>
        <v>320.23497295079068</v>
      </c>
      <c r="AO39" s="306">
        <f t="shared" si="15"/>
        <v>288.8534372122329</v>
      </c>
      <c r="AP39" s="304">
        <f>AE39*GBDUS!M73/(Y39+Z39+AA39+AB39+AC39)</f>
        <v>24.709753831669651</v>
      </c>
      <c r="AQ39" s="305">
        <f t="shared" si="24"/>
        <v>24.709753831669651</v>
      </c>
      <c r="AR39" s="305">
        <f t="shared" si="16"/>
        <v>24.709753831669651</v>
      </c>
      <c r="AS39" s="305">
        <f t="shared" si="16"/>
        <v>24.709753831669651</v>
      </c>
      <c r="AT39" s="306">
        <f t="shared" si="16"/>
        <v>22.288313050813201</v>
      </c>
      <c r="AU39" s="377">
        <f t="shared" si="25"/>
        <v>-0.31202192593224254</v>
      </c>
      <c r="AV39" s="378">
        <f t="shared" si="26"/>
        <v>-1.708512303604266</v>
      </c>
      <c r="AW39" s="378">
        <f t="shared" si="27"/>
        <v>-0.13183106782946652</v>
      </c>
      <c r="AX39" s="378">
        <f t="shared" si="28"/>
        <v>-1.8403433714337325</v>
      </c>
    </row>
    <row r="40" spans="2:50" x14ac:dyDescent="0.2">
      <c r="N40" s="288"/>
      <c r="AD40" s="288"/>
      <c r="AF40" s="288"/>
      <c r="AK40" s="288"/>
      <c r="AT40" s="337" t="s">
        <v>74</v>
      </c>
      <c r="AU40" s="376">
        <f>SUM(AU24:AU39)</f>
        <v>-0.99118395172663343</v>
      </c>
      <c r="AV40" s="376">
        <f>SUM(AV24:AV39)</f>
        <v>-12.694907553035257</v>
      </c>
      <c r="AW40" s="376">
        <f>SUM(AW24:AW39)</f>
        <v>-1.1935660871724489</v>
      </c>
      <c r="AX40" s="376">
        <f>SUM(AX24:AX39)</f>
        <v>-13.888473640207707</v>
      </c>
    </row>
    <row r="41" spans="2:50" x14ac:dyDescent="0.2">
      <c r="AD41" s="370"/>
      <c r="AT41" s="337" t="s">
        <v>83</v>
      </c>
      <c r="AU41" s="379">
        <f>AU40/GBDUS!K74</f>
        <v>-1.0218391254913748E-3</v>
      </c>
      <c r="AV41" s="379">
        <f>AV40/GBDUS!L74</f>
        <v>-1.0282335763043078E-3</v>
      </c>
      <c r="AW41" s="379">
        <f>AW40/GBDUS!M74</f>
        <v>-1.0110760588434378E-3</v>
      </c>
      <c r="AX41" s="379">
        <f>AX40/GBDUS!N74</f>
        <v>-1.0267362327319193E-3</v>
      </c>
    </row>
    <row r="42" spans="2:50" x14ac:dyDescent="0.2">
      <c r="O42" s="214"/>
      <c r="P42" s="214"/>
      <c r="Q42" s="214"/>
      <c r="R42" s="214"/>
      <c r="S42" s="214"/>
      <c r="U42" s="373"/>
      <c r="AD42" s="370"/>
    </row>
    <row r="43" spans="2:50" x14ac:dyDescent="0.2">
      <c r="AD43" s="370"/>
    </row>
    <row r="44" spans="2:50" x14ac:dyDescent="0.2">
      <c r="O44" s="214"/>
      <c r="P44" s="214"/>
      <c r="Q44" s="214"/>
      <c r="R44" s="214"/>
      <c r="S44" s="214"/>
      <c r="U44" s="214"/>
      <c r="V44" s="372"/>
      <c r="W44" s="372"/>
      <c r="X44" s="372"/>
      <c r="Y44" s="372"/>
      <c r="AD44" s="370"/>
    </row>
    <row r="45" spans="2:50" x14ac:dyDescent="0.2">
      <c r="U45" s="373"/>
      <c r="AD45" s="370"/>
    </row>
    <row r="46" spans="2:50" x14ac:dyDescent="0.2">
      <c r="AD46" s="370"/>
    </row>
    <row r="47" spans="2:50" x14ac:dyDescent="0.2">
      <c r="AD47" s="370"/>
    </row>
    <row r="48" spans="2:50" x14ac:dyDescent="0.2">
      <c r="AD48" s="370"/>
    </row>
  </sheetData>
  <mergeCells count="12">
    <mergeCell ref="AU4:AX4"/>
    <mergeCell ref="T3:X4"/>
    <mergeCell ref="Y3:AC4"/>
    <mergeCell ref="D4:H4"/>
    <mergeCell ref="I4:M4"/>
    <mergeCell ref="N4:N5"/>
    <mergeCell ref="O4:S4"/>
    <mergeCell ref="AD4:AD5"/>
    <mergeCell ref="AE4:AE5"/>
    <mergeCell ref="AF4:AJ4"/>
    <mergeCell ref="AK4:AO4"/>
    <mergeCell ref="AP4:AT4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J48"/>
  <sheetViews>
    <sheetView showGridLines="0" workbookViewId="0"/>
  </sheetViews>
  <sheetFormatPr defaultRowHeight="12.75" x14ac:dyDescent="0.2"/>
  <cols>
    <col min="1" max="1" width="5" style="7" customWidth="1"/>
    <col min="2" max="2" width="8.7109375" style="7" customWidth="1"/>
    <col min="3" max="3" width="6.140625" style="7" bestFit="1" customWidth="1"/>
    <col min="4" max="6" width="3.5703125" style="7" bestFit="1" customWidth="1"/>
    <col min="7" max="7" width="4.5703125" style="7" customWidth="1"/>
    <col min="8" max="13" width="4.5703125" style="7" bestFit="1" customWidth="1"/>
    <col min="14" max="14" width="6.28515625" style="7" customWidth="1"/>
    <col min="15" max="20" width="4.5703125" style="7" bestFit="1" customWidth="1"/>
    <col min="21" max="21" width="5.7109375" style="7" customWidth="1"/>
    <col min="22" max="24" width="7.5703125" style="7" bestFit="1" customWidth="1"/>
    <col min="25" max="25" width="6.42578125" style="7" customWidth="1"/>
    <col min="26" max="26" width="5.5703125" style="7" customWidth="1"/>
    <col min="27" max="27" width="5.28515625" style="7" customWidth="1"/>
    <col min="28" max="28" width="5.140625" style="7" customWidth="1"/>
    <col min="29" max="29" width="5.5703125" style="7" customWidth="1"/>
    <col min="30" max="30" width="7.28515625" style="7" customWidth="1"/>
    <col min="31" max="31" width="7.42578125" style="7" customWidth="1"/>
    <col min="32" max="36" width="4.5703125" style="7" bestFit="1" customWidth="1"/>
    <col min="37" max="46" width="5.5703125" style="7" bestFit="1" customWidth="1"/>
    <col min="47" max="47" width="8.7109375" style="7" bestFit="1" customWidth="1"/>
    <col min="48" max="48" width="5.85546875" style="7" bestFit="1" customWidth="1"/>
    <col min="49" max="49" width="6.42578125" style="7" bestFit="1" customWidth="1"/>
    <col min="50" max="50" width="7.28515625" style="7" bestFit="1" customWidth="1"/>
    <col min="51" max="16384" width="9.140625" style="7"/>
  </cols>
  <sheetData>
    <row r="2" spans="2:62" x14ac:dyDescent="0.2">
      <c r="B2" s="76" t="s">
        <v>221</v>
      </c>
    </row>
    <row r="3" spans="2:62" x14ac:dyDescent="0.2">
      <c r="T3" s="581" t="s">
        <v>173</v>
      </c>
      <c r="U3" s="581"/>
      <c r="V3" s="581"/>
      <c r="W3" s="581"/>
      <c r="X3" s="581"/>
      <c r="Y3" s="582" t="s">
        <v>207</v>
      </c>
      <c r="Z3" s="582"/>
      <c r="AA3" s="582"/>
      <c r="AB3" s="582"/>
      <c r="AC3" s="582"/>
    </row>
    <row r="4" spans="2:62" ht="12.75" customHeight="1" x14ac:dyDescent="0.2">
      <c r="B4" s="216" t="s">
        <v>99</v>
      </c>
      <c r="C4" s="224"/>
      <c r="D4" s="583" t="s">
        <v>182</v>
      </c>
      <c r="E4" s="584"/>
      <c r="F4" s="584"/>
      <c r="G4" s="584"/>
      <c r="H4" s="585"/>
      <c r="I4" s="583" t="s">
        <v>183</v>
      </c>
      <c r="J4" s="584"/>
      <c r="K4" s="584"/>
      <c r="L4" s="584"/>
      <c r="M4" s="585"/>
      <c r="N4" s="586" t="s">
        <v>177</v>
      </c>
      <c r="O4" s="582" t="s">
        <v>204</v>
      </c>
      <c r="P4" s="581"/>
      <c r="Q4" s="581"/>
      <c r="R4" s="581"/>
      <c r="S4" s="588"/>
      <c r="T4" s="581"/>
      <c r="U4" s="581"/>
      <c r="V4" s="581"/>
      <c r="W4" s="581"/>
      <c r="X4" s="581"/>
      <c r="Y4" s="582"/>
      <c r="Z4" s="582"/>
      <c r="AA4" s="582"/>
      <c r="AB4" s="582"/>
      <c r="AC4" s="582"/>
      <c r="AD4" s="586" t="s">
        <v>2</v>
      </c>
      <c r="AE4" s="589" t="s">
        <v>206</v>
      </c>
      <c r="AF4" s="582" t="s">
        <v>205</v>
      </c>
      <c r="AG4" s="581"/>
      <c r="AH4" s="581"/>
      <c r="AI4" s="581"/>
      <c r="AJ4" s="588"/>
      <c r="AK4" s="581" t="s">
        <v>174</v>
      </c>
      <c r="AL4" s="581"/>
      <c r="AM4" s="581"/>
      <c r="AN4" s="581"/>
      <c r="AO4" s="588"/>
      <c r="AP4" s="591" t="s">
        <v>175</v>
      </c>
      <c r="AQ4" s="591"/>
      <c r="AR4" s="591"/>
      <c r="AS4" s="591"/>
      <c r="AT4" s="592"/>
      <c r="AU4" s="580" t="s">
        <v>176</v>
      </c>
      <c r="AV4" s="580"/>
      <c r="AW4" s="580"/>
      <c r="AX4" s="580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</row>
    <row r="5" spans="2:62" x14ac:dyDescent="0.2">
      <c r="B5" s="219" t="s">
        <v>1</v>
      </c>
      <c r="C5" s="225" t="s">
        <v>0</v>
      </c>
      <c r="D5" s="220">
        <v>1</v>
      </c>
      <c r="E5" s="220">
        <v>2</v>
      </c>
      <c r="F5" s="220">
        <v>3</v>
      </c>
      <c r="G5" s="220">
        <v>4</v>
      </c>
      <c r="H5" s="221">
        <v>5</v>
      </c>
      <c r="I5" s="220">
        <v>1</v>
      </c>
      <c r="J5" s="220">
        <v>2</v>
      </c>
      <c r="K5" s="220">
        <v>3</v>
      </c>
      <c r="L5" s="220">
        <v>4</v>
      </c>
      <c r="M5" s="221">
        <v>5</v>
      </c>
      <c r="N5" s="587"/>
      <c r="O5" s="263">
        <v>1</v>
      </c>
      <c r="P5" s="263">
        <v>2</v>
      </c>
      <c r="Q5" s="263">
        <v>3</v>
      </c>
      <c r="R5" s="263">
        <v>4</v>
      </c>
      <c r="S5" s="270">
        <v>5</v>
      </c>
      <c r="T5" s="281">
        <v>1</v>
      </c>
      <c r="U5" s="282">
        <v>2</v>
      </c>
      <c r="V5" s="282">
        <v>3</v>
      </c>
      <c r="W5" s="282">
        <v>4</v>
      </c>
      <c r="X5" s="283">
        <v>5</v>
      </c>
      <c r="Y5" s="282">
        <v>1</v>
      </c>
      <c r="Z5" s="282">
        <v>2</v>
      </c>
      <c r="AA5" s="282">
        <v>3</v>
      </c>
      <c r="AB5" s="282">
        <v>4</v>
      </c>
      <c r="AC5" s="283">
        <v>5</v>
      </c>
      <c r="AD5" s="586"/>
      <c r="AE5" s="590"/>
      <c r="AF5" s="281">
        <v>1</v>
      </c>
      <c r="AG5" s="282">
        <v>2</v>
      </c>
      <c r="AH5" s="282">
        <v>3</v>
      </c>
      <c r="AI5" s="282">
        <v>4</v>
      </c>
      <c r="AJ5" s="283">
        <v>5</v>
      </c>
      <c r="AK5" s="297">
        <v>1</v>
      </c>
      <c r="AL5" s="220">
        <v>2</v>
      </c>
      <c r="AM5" s="220">
        <v>3</v>
      </c>
      <c r="AN5" s="220">
        <v>4</v>
      </c>
      <c r="AO5" s="221">
        <v>5</v>
      </c>
      <c r="AP5" s="282">
        <v>1</v>
      </c>
      <c r="AQ5" s="282">
        <v>2</v>
      </c>
      <c r="AR5" s="282">
        <v>3</v>
      </c>
      <c r="AS5" s="282">
        <v>4</v>
      </c>
      <c r="AT5" s="283">
        <v>5</v>
      </c>
      <c r="AU5" s="298" t="s">
        <v>178</v>
      </c>
      <c r="AV5" s="282" t="s">
        <v>179</v>
      </c>
      <c r="AW5" s="282" t="s">
        <v>180</v>
      </c>
      <c r="AX5" s="282" t="s">
        <v>181</v>
      </c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</row>
    <row r="6" spans="2:62" x14ac:dyDescent="0.2">
      <c r="B6" s="217">
        <v>1</v>
      </c>
      <c r="C6" s="224" t="s">
        <v>9</v>
      </c>
      <c r="D6" s="218">
        <f>Baseline!AL31</f>
        <v>0.34178944291052044</v>
      </c>
      <c r="E6" s="218">
        <f>Baseline!AM31</f>
        <v>0.86022138962281691</v>
      </c>
      <c r="F6" s="218">
        <f>Baseline!AN31</f>
        <v>1.6301922696081339</v>
      </c>
      <c r="G6" s="218">
        <f>Baseline!AO31</f>
        <v>3.089352192294788</v>
      </c>
      <c r="H6" s="222">
        <f>Baseline!AP31</f>
        <v>7.7753332966046385</v>
      </c>
      <c r="I6" s="218">
        <f>IF(D6+'Non-travel METs'!D6&gt;2.5, D6+'Non-travel METs'!D6, 0.1)</f>
        <v>0.1</v>
      </c>
      <c r="J6" s="218">
        <f>IF(E6+'Non-travel METs'!E6&gt;2.5, E6+'Non-travel METs'!E6, 0.1)</f>
        <v>0.1</v>
      </c>
      <c r="K6" s="218">
        <f>IF(F6+'Non-travel METs'!F6&gt;2.5, F6+'Non-travel METs'!F6, 0.1)</f>
        <v>0.1</v>
      </c>
      <c r="L6" s="218">
        <f>IF(G6+'Non-travel METs'!G6&gt;2.5, G6+'Non-travel METs'!G6, 0.1)</f>
        <v>3.089352192294788</v>
      </c>
      <c r="M6" s="223">
        <f>IF(H6+'Non-travel METs'!H6&gt;2.5, H6+'Non-travel METs'!H6, 0.1)</f>
        <v>7.7753332966046385</v>
      </c>
      <c r="N6" s="268">
        <f>'Phy activity RRs'!$F$6</f>
        <v>0.96065247560449929</v>
      </c>
      <c r="O6" s="261">
        <f>$N6^(I6^0.5)</f>
        <v>0.98738603830564786</v>
      </c>
      <c r="P6" s="261">
        <f>$N6^(J6^0.5)</f>
        <v>0.98738603830564786</v>
      </c>
      <c r="Q6" s="261">
        <f>$N6^(K6^0.5)</f>
        <v>0.98738603830564786</v>
      </c>
      <c r="R6" s="261">
        <f>$N6^(L6^0.5)</f>
        <v>0.93187481724564403</v>
      </c>
      <c r="S6" s="271">
        <f>$N6^(M6^0.5)</f>
        <v>0.89410267080512773</v>
      </c>
      <c r="T6" s="275"/>
      <c r="U6" s="275"/>
      <c r="V6" s="275"/>
      <c r="W6" s="275"/>
      <c r="X6" s="276"/>
      <c r="Y6" s="262">
        <f>O6/$O6</f>
        <v>1</v>
      </c>
      <c r="Z6" s="262">
        <f>P6/$O6</f>
        <v>1</v>
      </c>
      <c r="AA6" s="262">
        <f>Q6/$O6</f>
        <v>1</v>
      </c>
      <c r="AB6" s="262">
        <f>R6/$O6</f>
        <v>0.94377961718472247</v>
      </c>
      <c r="AC6" s="286">
        <f>S6/$O6</f>
        <v>0.90552492755458225</v>
      </c>
      <c r="AD6" s="289"/>
      <c r="AE6" s="290"/>
      <c r="AF6" s="214">
        <f>GBDUS!K24/(Y6+Z6+AA6+AB6+AC6)</f>
        <v>0</v>
      </c>
      <c r="AG6" s="214">
        <f>$AF6*Z6</f>
        <v>0</v>
      </c>
      <c r="AH6" s="214">
        <f>$AF6*AA6</f>
        <v>0</v>
      </c>
      <c r="AI6" s="214">
        <f>$AF6*AB6</f>
        <v>0</v>
      </c>
      <c r="AJ6" s="292">
        <f>$AF6*AC6</f>
        <v>0</v>
      </c>
      <c r="AK6" s="301">
        <f>GBDUS!L24/(Y6+Z6+AA6+AB6+AC6)</f>
        <v>0</v>
      </c>
      <c r="AL6" s="301">
        <f>$AK6*Z6</f>
        <v>0</v>
      </c>
      <c r="AM6" s="301">
        <f>$AK6*AA6</f>
        <v>0</v>
      </c>
      <c r="AN6" s="301">
        <f>$AK6*AB6</f>
        <v>0</v>
      </c>
      <c r="AO6" s="303">
        <f>$AK6*AC6</f>
        <v>0</v>
      </c>
      <c r="AP6" s="301">
        <f>GBDUS!M24/(Y6+Z6+AA6+AB6+AC6)</f>
        <v>0</v>
      </c>
      <c r="AQ6" s="301">
        <f>$AP6*Z6</f>
        <v>0</v>
      </c>
      <c r="AR6" s="301">
        <f>$AP6*AA6</f>
        <v>0</v>
      </c>
      <c r="AS6" s="301">
        <f>$AP6*AB6</f>
        <v>0</v>
      </c>
      <c r="AT6" s="302">
        <f>$AP6*AC6</f>
        <v>0</v>
      </c>
      <c r="AU6" s="299"/>
      <c r="AV6" s="299"/>
      <c r="AW6" s="299"/>
      <c r="AX6" s="299"/>
    </row>
    <row r="7" spans="2:62" x14ac:dyDescent="0.2">
      <c r="B7" s="217">
        <v>1</v>
      </c>
      <c r="C7" s="224" t="s">
        <v>10</v>
      </c>
      <c r="D7" s="218">
        <f>Baseline!AL32</f>
        <v>0.70925660709360083</v>
      </c>
      <c r="E7" s="218">
        <f>Baseline!AM32</f>
        <v>1.7850688978505065</v>
      </c>
      <c r="F7" s="218">
        <f>Baseline!AN32</f>
        <v>3.382856498452989</v>
      </c>
      <c r="G7" s="218">
        <f>Baseline!AO32</f>
        <v>6.410799102995739</v>
      </c>
      <c r="H7" s="223">
        <f>Baseline!AP32</f>
        <v>16.134806464503455</v>
      </c>
      <c r="I7" s="218">
        <f>IF(D7+'Non-travel METs'!D7&gt;2.5, D7+'Non-travel METs'!D7, 0.1)</f>
        <v>0.1</v>
      </c>
      <c r="J7" s="218">
        <f>IF(E7+'Non-travel METs'!E7&gt;2.5, E7+'Non-travel METs'!E7, 0.1)</f>
        <v>0.1</v>
      </c>
      <c r="K7" s="218">
        <f>IF(F7+'Non-travel METs'!F7&gt;2.5, F7+'Non-travel METs'!F7, 0.1)</f>
        <v>3.382856498452989</v>
      </c>
      <c r="L7" s="218">
        <f>IF(G7+'Non-travel METs'!G7&gt;2.5, G7+'Non-travel METs'!G7, 0.1)</f>
        <v>6.410799102995739</v>
      </c>
      <c r="M7" s="223">
        <f>IF(H7+'Non-travel METs'!H7&gt;2.5, H7+'Non-travel METs'!H7, 0.1)</f>
        <v>16.134806464503455</v>
      </c>
      <c r="N7" s="268">
        <f>'Phy activity RRs'!$F$6</f>
        <v>0.96065247560449929</v>
      </c>
      <c r="O7" s="261">
        <f t="shared" ref="O7:O13" si="0">$N7^(I7^0.5)</f>
        <v>0.98738603830564786</v>
      </c>
      <c r="P7" s="261">
        <f t="shared" ref="P7:P14" si="1">$N7^(J7^0.5)</f>
        <v>0.98738603830564786</v>
      </c>
      <c r="Q7" s="261">
        <f t="shared" ref="Q7:Q14" si="2">$N7^(K7^0.5)</f>
        <v>0.92882736763251939</v>
      </c>
      <c r="R7" s="261">
        <f t="shared" ref="R7:R14" si="3">$N7^(L7^0.5)</f>
        <v>0.90335543481975056</v>
      </c>
      <c r="S7" s="271">
        <f t="shared" ref="S7:S14" si="4">$N7^(M7^0.5)</f>
        <v>0.85108330117004238</v>
      </c>
      <c r="T7" s="275"/>
      <c r="U7" s="275"/>
      <c r="V7" s="275"/>
      <c r="W7" s="275"/>
      <c r="X7" s="276"/>
      <c r="Y7" s="262">
        <f t="shared" ref="Y7:Y21" si="5">O7/$O7</f>
        <v>1</v>
      </c>
      <c r="Z7" s="262">
        <f t="shared" ref="Z7:Z21" si="6">P7/$O7</f>
        <v>1</v>
      </c>
      <c r="AA7" s="262">
        <f t="shared" ref="AA7:AA21" si="7">Q7/$O7</f>
        <v>0.94069323607855038</v>
      </c>
      <c r="AB7" s="262">
        <f t="shared" ref="AB7:AB21" si="8">R7/$O7</f>
        <v>0.91489589661395898</v>
      </c>
      <c r="AC7" s="273">
        <f t="shared" ref="AC7:AC21" si="9">S7/$O7</f>
        <v>0.86195598089527303</v>
      </c>
      <c r="AD7" s="290"/>
      <c r="AE7" s="290"/>
      <c r="AF7" s="214">
        <f>GBDUS!K25/(Y7+Z7+AA7+AB7+AC7)</f>
        <v>0</v>
      </c>
      <c r="AG7" s="214">
        <f t="shared" ref="AG7:AG21" si="10">$AF7*Z7</f>
        <v>0</v>
      </c>
      <c r="AH7" s="214">
        <f t="shared" ref="AH7:AH21" si="11">$AF7*AA7</f>
        <v>0</v>
      </c>
      <c r="AI7" s="214">
        <f t="shared" ref="AI7:AI21" si="12">$AF7*AB7</f>
        <v>0</v>
      </c>
      <c r="AJ7" s="292">
        <f t="shared" ref="AJ7:AJ21" si="13">$AF7*AC7</f>
        <v>0</v>
      </c>
      <c r="AK7" s="301">
        <f>GBDUS!L25/(Y7+Z7+AA7+AB7+AC7)</f>
        <v>0</v>
      </c>
      <c r="AL7" s="301">
        <f t="shared" ref="AL7:AL21" si="14">$AK7*Z7</f>
        <v>0</v>
      </c>
      <c r="AM7" s="301">
        <f t="shared" ref="AM7:AM21" si="15">$AK7*AA7</f>
        <v>0</v>
      </c>
      <c r="AN7" s="301">
        <f t="shared" ref="AN7:AN21" si="16">$AK7*AB7</f>
        <v>0</v>
      </c>
      <c r="AO7" s="303">
        <f t="shared" ref="AO7:AO21" si="17">$AK7*AC7</f>
        <v>0</v>
      </c>
      <c r="AP7" s="301">
        <f>GBDUS!M25/(Y7+Z7+AA7+AB7+AC7)</f>
        <v>0</v>
      </c>
      <c r="AQ7" s="301">
        <f t="shared" ref="AQ7:AQ21" si="18">$AP7*Z7</f>
        <v>0</v>
      </c>
      <c r="AR7" s="301">
        <f t="shared" ref="AR7:AR21" si="19">$AP7*AA7</f>
        <v>0</v>
      </c>
      <c r="AS7" s="301">
        <f t="shared" ref="AS7:AS21" si="20">$AP7*AB7</f>
        <v>0</v>
      </c>
      <c r="AT7" s="303">
        <f t="shared" ref="AT7:AT21" si="21">$AP7*AC7</f>
        <v>0</v>
      </c>
      <c r="AU7" s="299"/>
      <c r="AV7" s="299"/>
      <c r="AW7" s="299"/>
      <c r="AX7" s="299"/>
    </row>
    <row r="8" spans="2:62" x14ac:dyDescent="0.2">
      <c r="B8" s="217">
        <v>1</v>
      </c>
      <c r="C8" s="224" t="s">
        <v>11</v>
      </c>
      <c r="D8" s="218">
        <f>Baseline!AL33</f>
        <v>0.54814846293685915</v>
      </c>
      <c r="E8" s="218">
        <f>Baseline!AM33</f>
        <v>1.3795892245583525</v>
      </c>
      <c r="F8" s="218">
        <f>Baseline!AN33</f>
        <v>2.614438232111187</v>
      </c>
      <c r="G8" s="218">
        <f>Baseline!AO33</f>
        <v>4.9545815144452483</v>
      </c>
      <c r="H8" s="223">
        <f>Baseline!AP33</f>
        <v>12.469773668437746</v>
      </c>
      <c r="I8" s="218">
        <f>IF(D8+'Non-travel METs'!D8&gt;2.5, D8+'Non-travel METs'!D8, 0.1)</f>
        <v>65.425648462936863</v>
      </c>
      <c r="J8" s="218">
        <f>IF(E8+'Non-travel METs'!E8&gt;2.5, E8+'Non-travel METs'!E8, 0.1)</f>
        <v>66.257089224558356</v>
      </c>
      <c r="K8" s="218">
        <f>IF(F8+'Non-travel METs'!F8&gt;2.5, F8+'Non-travel METs'!F8, 0.1)</f>
        <v>67.491938232111181</v>
      </c>
      <c r="L8" s="218">
        <f>IF(G8+'Non-travel METs'!G8&gt;2.5, G8+'Non-travel METs'!G8, 0.1)</f>
        <v>69.83208151444525</v>
      </c>
      <c r="M8" s="223">
        <f>IF(H8+'Non-travel METs'!H8&gt;2.5, H8+'Non-travel METs'!H8, 0.1)</f>
        <v>77.347273668437737</v>
      </c>
      <c r="N8" s="268">
        <f>'Phy activity RRs'!$F$6</f>
        <v>0.96065247560449929</v>
      </c>
      <c r="O8" s="261">
        <f t="shared" si="0"/>
        <v>0.72274585722603957</v>
      </c>
      <c r="P8" s="261">
        <f t="shared" si="1"/>
        <v>0.72126095366485632</v>
      </c>
      <c r="Q8" s="261">
        <f t="shared" si="2"/>
        <v>0.71907823521053138</v>
      </c>
      <c r="R8" s="261">
        <f t="shared" si="3"/>
        <v>0.71501360658407764</v>
      </c>
      <c r="S8" s="271">
        <f t="shared" si="4"/>
        <v>0.70254698256796067</v>
      </c>
      <c r="T8" s="275"/>
      <c r="U8" s="275"/>
      <c r="V8" s="275"/>
      <c r="W8" s="275"/>
      <c r="X8" s="276"/>
      <c r="Y8" s="262">
        <f t="shared" si="5"/>
        <v>1</v>
      </c>
      <c r="Z8" s="262">
        <f t="shared" si="6"/>
        <v>0.9979454692872507</v>
      </c>
      <c r="AA8" s="262">
        <f t="shared" si="7"/>
        <v>0.99492543336106443</v>
      </c>
      <c r="AB8" s="262">
        <f t="shared" si="8"/>
        <v>0.98930156352381049</v>
      </c>
      <c r="AC8" s="273">
        <f t="shared" si="9"/>
        <v>0.97205259019317813</v>
      </c>
      <c r="AD8" s="290"/>
      <c r="AE8" s="290"/>
      <c r="AF8" s="214">
        <f>GBDUS!K26/(Y8+Z8+AA8+AB8+AC8)</f>
        <v>0.2018479153899512</v>
      </c>
      <c r="AG8" s="214">
        <f t="shared" si="10"/>
        <v>0.20143321264847813</v>
      </c>
      <c r="AH8" s="214">
        <f t="shared" si="11"/>
        <v>0.20082362469237466</v>
      </c>
      <c r="AI8" s="214">
        <f t="shared" si="12"/>
        <v>0.19968845828930054</v>
      </c>
      <c r="AJ8" s="292">
        <f t="shared" si="13"/>
        <v>0.19620678897989552</v>
      </c>
      <c r="AK8" s="301">
        <f>GBDUS!L26/(Y8+Z8+AA8+AB8+AC8)</f>
        <v>12.34379968071582</v>
      </c>
      <c r="AL8" s="301">
        <f t="shared" si="14"/>
        <v>12.318438965159764</v>
      </c>
      <c r="AM8" s="301">
        <f t="shared" si="15"/>
        <v>12.281160246658356</v>
      </c>
      <c r="AN8" s="301">
        <f t="shared" si="16"/>
        <v>12.211740323956874</v>
      </c>
      <c r="AO8" s="303">
        <f t="shared" si="17"/>
        <v>11.998822452465538</v>
      </c>
      <c r="AP8" s="301">
        <f>GBDUS!M26/(Y8+Z8+AA8+AB8+AC8)</f>
        <v>0.2872528123238518</v>
      </c>
      <c r="AQ8" s="301">
        <f t="shared" si="18"/>
        <v>0.28666264259860885</v>
      </c>
      <c r="AR8" s="301">
        <f t="shared" si="19"/>
        <v>0.28579512878549274</v>
      </c>
      <c r="AS8" s="301">
        <f t="shared" si="20"/>
        <v>0.28417965635859826</v>
      </c>
      <c r="AT8" s="303">
        <f t="shared" si="21"/>
        <v>0.27922484025967503</v>
      </c>
      <c r="AU8" s="299"/>
      <c r="AV8" s="299"/>
      <c r="AW8" s="299"/>
      <c r="AX8" s="299"/>
    </row>
    <row r="9" spans="2:62" x14ac:dyDescent="0.2">
      <c r="B9" s="217">
        <v>1</v>
      </c>
      <c r="C9" s="224" t="s">
        <v>12</v>
      </c>
      <c r="D9" s="218">
        <f>Baseline!AL34</f>
        <v>0.47247961244187975</v>
      </c>
      <c r="E9" s="218">
        <f>Baseline!AM34</f>
        <v>1.1891445953455264</v>
      </c>
      <c r="F9" s="218">
        <f>Baseline!AN34</f>
        <v>2.253529556651181</v>
      </c>
      <c r="G9" s="218">
        <f>Baseline!AO34</f>
        <v>4.2706290577092139</v>
      </c>
      <c r="H9" s="223">
        <f>Baseline!AP34</f>
        <v>10.7483906796617</v>
      </c>
      <c r="I9" s="218">
        <f>IF(D9+'Non-travel METs'!D9&gt;2.5, D9+'Non-travel METs'!D9, 0.1)</f>
        <v>68.166229612441867</v>
      </c>
      <c r="J9" s="218">
        <f>IF(E9+'Non-travel METs'!E9&gt;2.5, E9+'Non-travel METs'!E9, 0.1)</f>
        <v>68.882894595345519</v>
      </c>
      <c r="K9" s="218">
        <f>IF(F9+'Non-travel METs'!F9&gt;2.5, F9+'Non-travel METs'!F9, 0.1)</f>
        <v>69.947279556651182</v>
      </c>
      <c r="L9" s="218">
        <f>IF(G9+'Non-travel METs'!G9&gt;2.5, G9+'Non-travel METs'!G9, 0.1)</f>
        <v>71.964379057709209</v>
      </c>
      <c r="M9" s="223">
        <f>IF(H9+'Non-travel METs'!H9&gt;2.5, H9+'Non-travel METs'!H9, 0.1)</f>
        <v>78.442140679661691</v>
      </c>
      <c r="N9" s="268">
        <f>'Phy activity RRs'!$F$6</f>
        <v>0.96065247560449929</v>
      </c>
      <c r="O9" s="261">
        <f t="shared" si="0"/>
        <v>0.71789754643673154</v>
      </c>
      <c r="P9" s="261">
        <f t="shared" si="1"/>
        <v>0.71665115392396672</v>
      </c>
      <c r="Q9" s="261">
        <f t="shared" si="2"/>
        <v>0.71481587867997465</v>
      </c>
      <c r="R9" s="261">
        <f t="shared" si="3"/>
        <v>0.71138843545472319</v>
      </c>
      <c r="S9" s="271">
        <f t="shared" si="4"/>
        <v>0.70079987361789309</v>
      </c>
      <c r="T9" s="275"/>
      <c r="U9" s="275"/>
      <c r="V9" s="275"/>
      <c r="W9" s="275"/>
      <c r="X9" s="276"/>
      <c r="Y9" s="262">
        <f t="shared" si="5"/>
        <v>1</v>
      </c>
      <c r="Z9" s="262">
        <f t="shared" si="6"/>
        <v>0.99826382954092652</v>
      </c>
      <c r="AA9" s="262">
        <f t="shared" si="7"/>
        <v>0.99570737109765495</v>
      </c>
      <c r="AB9" s="262">
        <f t="shared" si="8"/>
        <v>0.99093309203476709</v>
      </c>
      <c r="AC9" s="273">
        <f t="shared" si="9"/>
        <v>0.97618368678970646</v>
      </c>
      <c r="AD9" s="290"/>
      <c r="AE9" s="290"/>
      <c r="AF9" s="214">
        <f>GBDUS!K27/(Y9+Z9+AA9+AB9+AC9)</f>
        <v>0</v>
      </c>
      <c r="AG9" s="214">
        <f t="shared" si="10"/>
        <v>0</v>
      </c>
      <c r="AH9" s="214">
        <f t="shared" si="11"/>
        <v>0</v>
      </c>
      <c r="AI9" s="214">
        <f t="shared" si="12"/>
        <v>0</v>
      </c>
      <c r="AJ9" s="292">
        <f t="shared" si="13"/>
        <v>0</v>
      </c>
      <c r="AK9" s="301">
        <f>GBDUS!L27/(Y9+Z9+AA9+AB9+AC9)</f>
        <v>21.607398694306596</v>
      </c>
      <c r="AL9" s="301">
        <f t="shared" si="14"/>
        <v>21.569884566996119</v>
      </c>
      <c r="AM9" s="301">
        <f t="shared" si="15"/>
        <v>21.514646150166922</v>
      </c>
      <c r="AN9" s="301">
        <f t="shared" si="16"/>
        <v>21.411486398977225</v>
      </c>
      <c r="AO9" s="303">
        <f t="shared" si="17"/>
        <v>21.092790119343302</v>
      </c>
      <c r="AP9" s="301">
        <f>GBDUS!M27/(Y9+Z9+AA9+AB9+AC9)</f>
        <v>0.74532482074279849</v>
      </c>
      <c r="AQ9" s="301">
        <f t="shared" si="18"/>
        <v>0.74403080980661063</v>
      </c>
      <c r="AR9" s="301">
        <f t="shared" si="19"/>
        <v>0.74212541787564279</v>
      </c>
      <c r="AS9" s="301">
        <f t="shared" si="20"/>
        <v>0.73856702918891981</v>
      </c>
      <c r="AT9" s="303">
        <f t="shared" si="21"/>
        <v>0.72757393136858206</v>
      </c>
      <c r="AU9" s="299"/>
      <c r="AV9" s="299"/>
      <c r="AW9" s="299"/>
      <c r="AX9" s="299"/>
    </row>
    <row r="10" spans="2:62" x14ac:dyDescent="0.2">
      <c r="B10" s="217">
        <v>1</v>
      </c>
      <c r="C10" s="224" t="s">
        <v>13</v>
      </c>
      <c r="D10" s="218">
        <f>Baseline!AL35</f>
        <v>0.40064658164119982</v>
      </c>
      <c r="E10" s="218">
        <f>Baseline!AM35</f>
        <v>1.0083540213301772</v>
      </c>
      <c r="F10" s="218">
        <f>Baseline!AN35</f>
        <v>1.9109161320918737</v>
      </c>
      <c r="G10" s="218">
        <f>Baseline!AO35</f>
        <v>3.6213476483903273</v>
      </c>
      <c r="H10" s="223">
        <f>Baseline!AP35</f>
        <v>9.1142683632308312</v>
      </c>
      <c r="I10" s="218">
        <f>IF(D10+'Non-travel METs'!D10&gt;2.5, D10+'Non-travel METs'!D10, 0.1)</f>
        <v>58.175646581641196</v>
      </c>
      <c r="J10" s="218">
        <f>IF(E10+'Non-travel METs'!E10&gt;2.5, E10+'Non-travel METs'!E10, 0.1)</f>
        <v>58.783354021330176</v>
      </c>
      <c r="K10" s="218">
        <f>IF(F10+'Non-travel METs'!F10&gt;2.5, F10+'Non-travel METs'!F10, 0.1)</f>
        <v>59.685916132091876</v>
      </c>
      <c r="L10" s="218">
        <f>IF(G10+'Non-travel METs'!G10&gt;2.5, G10+'Non-travel METs'!G10, 0.1)</f>
        <v>61.396347648390325</v>
      </c>
      <c r="M10" s="223">
        <f>IF(H10+'Non-travel METs'!H10&gt;2.5, H10+'Non-travel METs'!H10, 0.1)</f>
        <v>66.889268363230826</v>
      </c>
      <c r="N10" s="268">
        <f>'Phy activity RRs'!$F$6</f>
        <v>0.96065247560449929</v>
      </c>
      <c r="O10" s="261">
        <f t="shared" si="0"/>
        <v>0.73625465713877114</v>
      </c>
      <c r="P10" s="261">
        <f t="shared" si="1"/>
        <v>0.73508124374351924</v>
      </c>
      <c r="Q10" s="261">
        <f t="shared" si="2"/>
        <v>0.73335305242732618</v>
      </c>
      <c r="R10" s="261">
        <f t="shared" si="3"/>
        <v>0.73012439701969856</v>
      </c>
      <c r="S10" s="271">
        <f t="shared" si="4"/>
        <v>0.72014017045724443</v>
      </c>
      <c r="T10" s="275"/>
      <c r="U10" s="275"/>
      <c r="V10" s="275"/>
      <c r="W10" s="275"/>
      <c r="X10" s="276"/>
      <c r="Y10" s="262">
        <f t="shared" si="5"/>
        <v>1</v>
      </c>
      <c r="Z10" s="262">
        <f t="shared" si="6"/>
        <v>0.99840623976517584</v>
      </c>
      <c r="AA10" s="262">
        <f t="shared" si="7"/>
        <v>0.99605896589812937</v>
      </c>
      <c r="AB10" s="262">
        <f t="shared" si="8"/>
        <v>0.99167372313419933</v>
      </c>
      <c r="AC10" s="273">
        <f t="shared" si="9"/>
        <v>0.97811288998272594</v>
      </c>
      <c r="AD10" s="290"/>
      <c r="AE10" s="290"/>
      <c r="AF10" s="214">
        <f>GBDUS!K28/(Y10+Z10+AA10+AB10+AC10)</f>
        <v>4.2302447109058869</v>
      </c>
      <c r="AG10" s="214">
        <f t="shared" si="10"/>
        <v>4.2235027151020699</v>
      </c>
      <c r="AH10" s="214">
        <f t="shared" si="11"/>
        <v>4.2135731722409488</v>
      </c>
      <c r="AI10" s="214">
        <f t="shared" si="12"/>
        <v>4.1950225222327955</v>
      </c>
      <c r="AJ10" s="292">
        <f t="shared" si="13"/>
        <v>4.137656879518298</v>
      </c>
      <c r="AK10" s="301">
        <f>GBDUS!L28/(Y10+Z10+AA10+AB10+AC10)</f>
        <v>140.81423095184061</v>
      </c>
      <c r="AL10" s="301">
        <f t="shared" si="14"/>
        <v>140.58980683005223</v>
      </c>
      <c r="AM10" s="301">
        <f t="shared" si="15"/>
        <v>140.25927726563071</v>
      </c>
      <c r="AN10" s="301">
        <f t="shared" si="16"/>
        <v>139.64177267829078</v>
      </c>
      <c r="AO10" s="303">
        <f t="shared" si="17"/>
        <v>137.73221438699983</v>
      </c>
      <c r="AP10" s="301">
        <f>GBDUS!M28/(Y10+Z10+AA10+AB10+AC10)</f>
        <v>6.4440746126031954</v>
      </c>
      <c r="AQ10" s="301">
        <f t="shared" si="18"/>
        <v>6.4338043027353882</v>
      </c>
      <c r="AR10" s="301">
        <f t="shared" si="19"/>
        <v>6.4186782947999275</v>
      </c>
      <c r="AS10" s="301">
        <f t="shared" si="20"/>
        <v>6.3904194632347835</v>
      </c>
      <c r="AT10" s="303">
        <f t="shared" si="21"/>
        <v>6.303032442597627</v>
      </c>
      <c r="AU10" s="299"/>
      <c r="AV10" s="299"/>
      <c r="AW10" s="299"/>
      <c r="AX10" s="299"/>
    </row>
    <row r="11" spans="2:62" x14ac:dyDescent="0.2">
      <c r="B11" s="217">
        <v>1</v>
      </c>
      <c r="C11" s="224" t="s">
        <v>14</v>
      </c>
      <c r="D11" s="218">
        <f>Baseline!AL36</f>
        <v>0.32427865889454843</v>
      </c>
      <c r="E11" s="218">
        <f>Baseline!AM36</f>
        <v>0.8161499553756566</v>
      </c>
      <c r="F11" s="218">
        <f>Baseline!AN36</f>
        <v>1.5466731752366658</v>
      </c>
      <c r="G11" s="218">
        <f>Baseline!AO36</f>
        <v>2.9310764464792394</v>
      </c>
      <c r="H11" s="223">
        <f>Baseline!AP36</f>
        <v>7.3769822508566136</v>
      </c>
      <c r="I11" s="218">
        <f>IF(D11+'Non-travel METs'!D11&gt;2.5, D11+'Non-travel METs'!D11, 0.1)</f>
        <v>23.407611992227849</v>
      </c>
      <c r="J11" s="218">
        <f>IF(E11+'Non-travel METs'!E11&gt;2.5, E11+'Non-travel METs'!E11, 0.1)</f>
        <v>23.899483288708957</v>
      </c>
      <c r="K11" s="218">
        <f>IF(F11+'Non-travel METs'!F11&gt;2.5, F11+'Non-travel METs'!F11, 0.1)</f>
        <v>24.630006508569966</v>
      </c>
      <c r="L11" s="218">
        <f>IF(G11+'Non-travel METs'!G11&gt;2.5, G11+'Non-travel METs'!G11, 0.1)</f>
        <v>26.014409779812539</v>
      </c>
      <c r="M11" s="223">
        <f>IF(H11+'Non-travel METs'!H11&gt;2.5, H11+'Non-travel METs'!H11, 0.1)</f>
        <v>30.460315584189914</v>
      </c>
      <c r="N11" s="268">
        <f>'Phy activity RRs'!$F$6</f>
        <v>0.96065247560449929</v>
      </c>
      <c r="O11" s="261">
        <f t="shared" si="0"/>
        <v>0.82348051034016667</v>
      </c>
      <c r="P11" s="261">
        <f t="shared" si="1"/>
        <v>0.82181058554583197</v>
      </c>
      <c r="Q11" s="261">
        <f t="shared" si="2"/>
        <v>0.81936794771717547</v>
      </c>
      <c r="R11" s="261">
        <f t="shared" si="3"/>
        <v>0.81485554490002199</v>
      </c>
      <c r="S11" s="271">
        <f t="shared" si="4"/>
        <v>0.80127563427177839</v>
      </c>
      <c r="T11" s="275"/>
      <c r="U11" s="275"/>
      <c r="V11" s="275"/>
      <c r="W11" s="275"/>
      <c r="X11" s="276"/>
      <c r="Y11" s="262">
        <f t="shared" si="5"/>
        <v>1</v>
      </c>
      <c r="Z11" s="262">
        <f t="shared" si="6"/>
        <v>0.99797211376181216</v>
      </c>
      <c r="AA11" s="262">
        <f t="shared" si="7"/>
        <v>0.99500587740529234</v>
      </c>
      <c r="AB11" s="262">
        <f t="shared" si="8"/>
        <v>0.98952620574276628</v>
      </c>
      <c r="AC11" s="273">
        <f t="shared" si="9"/>
        <v>0.9730353350327432</v>
      </c>
      <c r="AD11" s="290"/>
      <c r="AE11" s="290"/>
      <c r="AF11" s="214">
        <f>GBDUS!K29/(Y11+Z11+AA11+AB11+AC11)</f>
        <v>2.219738119148432</v>
      </c>
      <c r="AG11" s="214">
        <f t="shared" si="10"/>
        <v>2.2152367427642301</v>
      </c>
      <c r="AH11" s="214">
        <f t="shared" si="11"/>
        <v>2.2086524748532588</v>
      </c>
      <c r="AI11" s="214">
        <f t="shared" si="12"/>
        <v>2.1964890387835325</v>
      </c>
      <c r="AJ11" s="292">
        <f t="shared" si="13"/>
        <v>2.1598836244505457</v>
      </c>
      <c r="AK11" s="301">
        <f>GBDUS!L29/(Y11+Z11+AA11+AB11+AC11)</f>
        <v>51.392081547175394</v>
      </c>
      <c r="AL11" s="301">
        <f t="shared" si="14"/>
        <v>51.287864252254053</v>
      </c>
      <c r="AM11" s="301">
        <f t="shared" si="15"/>
        <v>51.135423191531586</v>
      </c>
      <c r="AN11" s="301">
        <f t="shared" si="16"/>
        <v>50.853811458599303</v>
      </c>
      <c r="AO11" s="303">
        <f t="shared" si="17"/>
        <v>50.006311286285872</v>
      </c>
      <c r="AP11" s="301">
        <f>GBDUS!M29/(Y11+Z11+AA11+AB11+AC11)</f>
        <v>2.8986642824734798</v>
      </c>
      <c r="AQ11" s="301">
        <f t="shared" si="18"/>
        <v>2.8927861210659254</v>
      </c>
      <c r="AR11" s="301">
        <f t="shared" si="19"/>
        <v>2.8841879976859071</v>
      </c>
      <c r="AS11" s="301">
        <f t="shared" si="20"/>
        <v>2.8683042691580605</v>
      </c>
      <c r="AT11" s="303">
        <f t="shared" si="21"/>
        <v>2.8205027712440285</v>
      </c>
      <c r="AU11" s="299"/>
      <c r="AV11" s="299"/>
      <c r="AW11" s="299"/>
      <c r="AX11" s="299"/>
    </row>
    <row r="12" spans="2:62" x14ac:dyDescent="0.2">
      <c r="B12" s="217">
        <v>1</v>
      </c>
      <c r="C12" s="224" t="s">
        <v>15</v>
      </c>
      <c r="D12" s="218">
        <f>Baseline!AL37</f>
        <v>0.187470361714002</v>
      </c>
      <c r="E12" s="218">
        <f>Baseline!AM37</f>
        <v>0.47182854360112558</v>
      </c>
      <c r="F12" s="218">
        <f>Baseline!AN37</f>
        <v>0.89415498572556928</v>
      </c>
      <c r="G12" s="218">
        <f>Baseline!AO37</f>
        <v>1.69449930348806</v>
      </c>
      <c r="H12" s="223">
        <f>Baseline!AP37</f>
        <v>4.2647442037669991</v>
      </c>
      <c r="I12" s="218">
        <f>IF(D12+'Non-travel METs'!D12&gt;2.5, D12+'Non-travel METs'!D12, 0.1)</f>
        <v>0.1</v>
      </c>
      <c r="J12" s="218">
        <f>IF(E12+'Non-travel METs'!E12&gt;2.5, E12+'Non-travel METs'!E12, 0.1)</f>
        <v>0.1</v>
      </c>
      <c r="K12" s="218">
        <f>IF(F12+'Non-travel METs'!F12&gt;2.5, F12+'Non-travel METs'!F12, 0.1)</f>
        <v>2.7691549857255691</v>
      </c>
      <c r="L12" s="218">
        <f>IF(G12+'Non-travel METs'!G12&gt;2.5, G12+'Non-travel METs'!G12, 0.1)</f>
        <v>3.56949930348806</v>
      </c>
      <c r="M12" s="223">
        <f>IF(H12+'Non-travel METs'!H12&gt;2.5, H12+'Non-travel METs'!H12, 0.1)</f>
        <v>6.1397442037669991</v>
      </c>
      <c r="N12" s="268">
        <f>'Phy activity RRs'!$F$6</f>
        <v>0.96065247560449929</v>
      </c>
      <c r="O12" s="261">
        <f t="shared" si="0"/>
        <v>0.98738603830564786</v>
      </c>
      <c r="P12" s="261">
        <f t="shared" si="1"/>
        <v>0.98738603830564786</v>
      </c>
      <c r="Q12" s="261">
        <f t="shared" si="2"/>
        <v>0.93538193248587598</v>
      </c>
      <c r="R12" s="261">
        <f t="shared" si="3"/>
        <v>0.92696282108914507</v>
      </c>
      <c r="S12" s="271">
        <f t="shared" si="4"/>
        <v>0.90531957191376178</v>
      </c>
      <c r="T12" s="275"/>
      <c r="U12" s="275"/>
      <c r="V12" s="275"/>
      <c r="W12" s="275"/>
      <c r="X12" s="276"/>
      <c r="Y12" s="262">
        <f t="shared" si="5"/>
        <v>1</v>
      </c>
      <c r="Z12" s="262">
        <f t="shared" si="6"/>
        <v>1</v>
      </c>
      <c r="AA12" s="262">
        <f t="shared" si="7"/>
        <v>0.9473315361952952</v>
      </c>
      <c r="AB12" s="262">
        <f t="shared" si="8"/>
        <v>0.93880486975470212</v>
      </c>
      <c r="AC12" s="273">
        <f t="shared" si="9"/>
        <v>0.9168851257683247</v>
      </c>
      <c r="AD12" s="290"/>
      <c r="AE12" s="290"/>
      <c r="AF12" s="214">
        <f>GBDUS!K30/(Y12+Z12+AA12+AB12+AC12)</f>
        <v>4.3722477322493019</v>
      </c>
      <c r="AG12" s="214">
        <f t="shared" si="10"/>
        <v>4.3722477322493019</v>
      </c>
      <c r="AH12" s="214">
        <f t="shared" si="11"/>
        <v>4.1419681608181271</v>
      </c>
      <c r="AI12" s="214">
        <f t="shared" si="12"/>
        <v>4.104687462809598</v>
      </c>
      <c r="AJ12" s="292">
        <f t="shared" si="13"/>
        <v>4.0088489118736739</v>
      </c>
      <c r="AK12" s="301">
        <f>GBDUS!L30/(Y12+Z12+AA12+AB12+AC12)</f>
        <v>64.600746807222947</v>
      </c>
      <c r="AL12" s="301">
        <f t="shared" si="14"/>
        <v>64.600746807222947</v>
      </c>
      <c r="AM12" s="301">
        <f t="shared" si="15"/>
        <v>61.198324712249828</v>
      </c>
      <c r="AN12" s="301">
        <f t="shared" si="16"/>
        <v>60.647495692411425</v>
      </c>
      <c r="AO12" s="303">
        <f t="shared" si="17"/>
        <v>59.231463861068313</v>
      </c>
      <c r="AP12" s="301">
        <f>GBDUS!M30/(Y12+Z12+AA12+AB12+AC12)</f>
        <v>4.9264694813514671</v>
      </c>
      <c r="AQ12" s="301">
        <f t="shared" si="18"/>
        <v>4.9264694813514671</v>
      </c>
      <c r="AR12" s="301">
        <f t="shared" si="19"/>
        <v>4.6669999017879249</v>
      </c>
      <c r="AS12" s="301">
        <f t="shared" si="20"/>
        <v>4.6249935397906787</v>
      </c>
      <c r="AT12" s="303">
        <f t="shared" si="21"/>
        <v>4.5170065900027536</v>
      </c>
      <c r="AU12" s="299"/>
      <c r="AV12" s="299"/>
      <c r="AW12" s="299"/>
      <c r="AX12" s="299"/>
    </row>
    <row r="13" spans="2:62" x14ac:dyDescent="0.2">
      <c r="B13" s="226">
        <v>1</v>
      </c>
      <c r="C13" s="227" t="s">
        <v>16</v>
      </c>
      <c r="D13" s="228">
        <f>Baseline!AL38</f>
        <v>0.17399761857642834</v>
      </c>
      <c r="E13" s="228">
        <f>Baseline!AM38</f>
        <v>0.4379201182116701</v>
      </c>
      <c r="F13" s="228">
        <f>Baseline!AN38</f>
        <v>0.82989565247565811</v>
      </c>
      <c r="G13" s="228">
        <f>Baseline!AO38</f>
        <v>1.5727224335126344</v>
      </c>
      <c r="H13" s="229">
        <f>Baseline!AP38</f>
        <v>3.9582541395270634</v>
      </c>
      <c r="I13" s="230">
        <f>IF(D13+'Non-travel METs'!D13&gt;2.5, D13+'Non-travel METs'!D13, 0.1)</f>
        <v>0.1</v>
      </c>
      <c r="J13" s="228">
        <f>IF(E13+'Non-travel METs'!E13&gt;2.5, E13+'Non-travel METs'!E13, 0.1)</f>
        <v>0.1</v>
      </c>
      <c r="K13" s="228">
        <f>IF(F13+'Non-travel METs'!F13&gt;2.5, F13+'Non-travel METs'!F13, 0.1)</f>
        <v>0.1</v>
      </c>
      <c r="L13" s="228">
        <f>IF(G13+'Non-travel METs'!G13&gt;2.5, G13+'Non-travel METs'!G13, 0.1)</f>
        <v>0.1</v>
      </c>
      <c r="M13" s="229">
        <f>IF(H13+'Non-travel METs'!H13&gt;2.5, H13+'Non-travel METs'!H13, 0.1)</f>
        <v>4.291587472860396</v>
      </c>
      <c r="N13" s="268">
        <f>'Phy activity RRs'!$F$6</f>
        <v>0.96065247560449929</v>
      </c>
      <c r="O13" s="265">
        <f t="shared" si="0"/>
        <v>0.98738603830564786</v>
      </c>
      <c r="P13" s="265">
        <f t="shared" si="1"/>
        <v>0.98738603830564786</v>
      </c>
      <c r="Q13" s="265">
        <f t="shared" si="2"/>
        <v>0.98738603830564786</v>
      </c>
      <c r="R13" s="265">
        <f t="shared" si="3"/>
        <v>0.98738603830564786</v>
      </c>
      <c r="S13" s="272">
        <f t="shared" si="4"/>
        <v>0.92020397247835073</v>
      </c>
      <c r="T13" s="275"/>
      <c r="U13" s="275"/>
      <c r="V13" s="275"/>
      <c r="W13" s="275"/>
      <c r="X13" s="276"/>
      <c r="Y13" s="287">
        <f t="shared" si="5"/>
        <v>1</v>
      </c>
      <c r="Z13" s="264">
        <f t="shared" si="6"/>
        <v>1</v>
      </c>
      <c r="AA13" s="264">
        <f t="shared" si="7"/>
        <v>1</v>
      </c>
      <c r="AB13" s="264">
        <f t="shared" si="8"/>
        <v>1</v>
      </c>
      <c r="AC13" s="274">
        <f t="shared" si="9"/>
        <v>0.93195967613378305</v>
      </c>
      <c r="AD13" s="290"/>
      <c r="AE13" s="290"/>
      <c r="AF13" s="214">
        <f>GBDUS!K31/(Y13+Z13+AA13+AB13+AC13)</f>
        <v>3.2441465564743983</v>
      </c>
      <c r="AG13" s="294">
        <f t="shared" si="10"/>
        <v>3.2441465564743983</v>
      </c>
      <c r="AH13" s="294">
        <f t="shared" si="11"/>
        <v>3.2441465564743983</v>
      </c>
      <c r="AI13" s="294">
        <f t="shared" si="12"/>
        <v>3.2441465564743983</v>
      </c>
      <c r="AJ13" s="295">
        <f t="shared" si="13"/>
        <v>3.0234137741024076</v>
      </c>
      <c r="AK13" s="301">
        <f>GBDUS!L31/(Y13+Z13+AA13+AB13+AC13)</f>
        <v>20.6495523019322</v>
      </c>
      <c r="AL13" s="305">
        <f t="shared" si="14"/>
        <v>20.6495523019322</v>
      </c>
      <c r="AM13" s="305">
        <f t="shared" si="15"/>
        <v>20.6495523019322</v>
      </c>
      <c r="AN13" s="305">
        <f t="shared" si="16"/>
        <v>20.6495523019322</v>
      </c>
      <c r="AO13" s="306">
        <f t="shared" si="17"/>
        <v>19.244550075616349</v>
      </c>
      <c r="AP13" s="301">
        <f>GBDUS!M31/(Y13+Z13+AA13+AB13+AC13)</f>
        <v>2.6848097949175971</v>
      </c>
      <c r="AQ13" s="305">
        <f t="shared" si="18"/>
        <v>2.6848097949175971</v>
      </c>
      <c r="AR13" s="305">
        <f t="shared" si="19"/>
        <v>2.6848097949175971</v>
      </c>
      <c r="AS13" s="305">
        <f t="shared" si="20"/>
        <v>2.6848097949175971</v>
      </c>
      <c r="AT13" s="306">
        <f t="shared" si="21"/>
        <v>2.5021344669522123</v>
      </c>
      <c r="AU13" s="299"/>
      <c r="AV13" s="299"/>
      <c r="AW13" s="299"/>
      <c r="AX13" s="299"/>
    </row>
    <row r="14" spans="2:62" x14ac:dyDescent="0.2">
      <c r="B14" s="217">
        <v>2</v>
      </c>
      <c r="C14" s="224" t="s">
        <v>9</v>
      </c>
      <c r="D14" s="218">
        <f>Baseline!AL39</f>
        <v>0.62051946258483393</v>
      </c>
      <c r="E14" s="218">
        <f>Baseline!AM39</f>
        <v>1.5617337675712608</v>
      </c>
      <c r="F14" s="218">
        <f>Baseline!AN39</f>
        <v>2.9596175424061157</v>
      </c>
      <c r="G14" s="218">
        <f>Baseline!AO39</f>
        <v>5.6087254941923606</v>
      </c>
      <c r="H14" s="223">
        <f>Baseline!AP39</f>
        <v>14.116134183495483</v>
      </c>
      <c r="I14" s="218">
        <f>IF(D14+'Non-travel METs'!D14&gt;2.5, D14+'Non-travel METs'!D14, 0.1)</f>
        <v>0.1</v>
      </c>
      <c r="J14" s="218">
        <f>IF(E14+'Non-travel METs'!E14&gt;2.5, E14+'Non-travel METs'!E14, 0.1)</f>
        <v>0.1</v>
      </c>
      <c r="K14" s="218">
        <f>IF(F14+'Non-travel METs'!F14&gt;2.5, F14+'Non-travel METs'!F14, 0.1)</f>
        <v>2.9596175424061157</v>
      </c>
      <c r="L14" s="218">
        <f>IF(G14+'Non-travel METs'!G14&gt;2.5, G14+'Non-travel METs'!G14, 0.1)</f>
        <v>5.6087254941923606</v>
      </c>
      <c r="M14" s="223">
        <f>IF(H14+'Non-travel METs'!H14&gt;2.5, H14+'Non-travel METs'!H14, 0.1)</f>
        <v>14.116134183495483</v>
      </c>
      <c r="N14" s="374">
        <f>'Phy activity RRs'!$F$7</f>
        <v>0.97288384048792509</v>
      </c>
      <c r="O14" s="262">
        <f>$N14^(I14^0.5)</f>
        <v>0.99134439051762713</v>
      </c>
      <c r="P14" s="262">
        <f t="shared" si="1"/>
        <v>0.99134439051762713</v>
      </c>
      <c r="Q14" s="262">
        <f t="shared" si="2"/>
        <v>0.9538073776167203</v>
      </c>
      <c r="R14" s="262">
        <f t="shared" si="3"/>
        <v>0.93696882938897408</v>
      </c>
      <c r="S14" s="273">
        <f t="shared" si="4"/>
        <v>0.90186890767052563</v>
      </c>
      <c r="T14" s="275"/>
      <c r="U14" s="275"/>
      <c r="V14" s="275"/>
      <c r="W14" s="275"/>
      <c r="X14" s="276"/>
      <c r="Y14" s="262">
        <f t="shared" si="5"/>
        <v>1</v>
      </c>
      <c r="Z14" s="262">
        <f t="shared" si="6"/>
        <v>1</v>
      </c>
      <c r="AA14" s="262">
        <f t="shared" si="7"/>
        <v>0.96213524456288391</v>
      </c>
      <c r="AB14" s="262">
        <f t="shared" si="8"/>
        <v>0.9451496758858331</v>
      </c>
      <c r="AC14" s="273">
        <f t="shared" si="9"/>
        <v>0.90974329032075107</v>
      </c>
      <c r="AD14" s="290"/>
      <c r="AE14" s="290"/>
      <c r="AF14" s="424">
        <f>GBDUS!K32/(Y14+Z14+AA14+AB14+AC14)</f>
        <v>0</v>
      </c>
      <c r="AG14" s="214">
        <f t="shared" si="10"/>
        <v>0</v>
      </c>
      <c r="AH14" s="214">
        <f t="shared" si="11"/>
        <v>0</v>
      </c>
      <c r="AI14" s="214">
        <f t="shared" si="12"/>
        <v>0</v>
      </c>
      <c r="AJ14" s="292">
        <f t="shared" si="13"/>
        <v>0</v>
      </c>
      <c r="AK14" s="422">
        <f>GBDUS!L32/(Y14+Z14+AA14+AB14+AC14)</f>
        <v>0</v>
      </c>
      <c r="AL14" s="301">
        <f t="shared" si="14"/>
        <v>0</v>
      </c>
      <c r="AM14" s="301">
        <f t="shared" si="15"/>
        <v>0</v>
      </c>
      <c r="AN14" s="301">
        <f t="shared" si="16"/>
        <v>0</v>
      </c>
      <c r="AO14" s="303">
        <f t="shared" si="17"/>
        <v>0</v>
      </c>
      <c r="AP14" s="422">
        <f>GBDUS!M32/(Y14+Z14+AA14+AB14+AC14)</f>
        <v>0</v>
      </c>
      <c r="AQ14" s="301">
        <f t="shared" si="18"/>
        <v>0</v>
      </c>
      <c r="AR14" s="301">
        <f t="shared" si="19"/>
        <v>0</v>
      </c>
      <c r="AS14" s="301">
        <f t="shared" si="20"/>
        <v>0</v>
      </c>
      <c r="AT14" s="303">
        <f t="shared" si="21"/>
        <v>0</v>
      </c>
      <c r="AU14" s="299"/>
      <c r="AV14" s="299"/>
      <c r="AW14" s="299"/>
      <c r="AX14" s="299"/>
    </row>
    <row r="15" spans="2:62" x14ac:dyDescent="0.2">
      <c r="B15" s="217">
        <v>2</v>
      </c>
      <c r="C15" s="224" t="s">
        <v>10</v>
      </c>
      <c r="D15" s="218">
        <f>Baseline!AL40</f>
        <v>0.46042772990101311</v>
      </c>
      <c r="E15" s="218">
        <f>Baseline!AM40</f>
        <v>1.1588122156833804</v>
      </c>
      <c r="F15" s="218">
        <f>Baseline!AN40</f>
        <v>2.1960471324281206</v>
      </c>
      <c r="G15" s="218">
        <f>Baseline!AO40</f>
        <v>4.1616950033632074</v>
      </c>
      <c r="H15" s="223">
        <f>Baseline!AP40</f>
        <v>10.474223628717107</v>
      </c>
      <c r="I15" s="218">
        <f>IF(D15+'Non-travel METs'!D15&gt;2.5, D15+'Non-travel METs'!D15, 0.1)</f>
        <v>0.1</v>
      </c>
      <c r="J15" s="218">
        <f>IF(E15+'Non-travel METs'!E15&gt;2.5, E15+'Non-travel METs'!E15, 0.1)</f>
        <v>0.1</v>
      </c>
      <c r="K15" s="218">
        <f>IF(F15+'Non-travel METs'!F15&gt;2.5, F15+'Non-travel METs'!F15, 0.1)</f>
        <v>0.1</v>
      </c>
      <c r="L15" s="218">
        <f>IF(G15+'Non-travel METs'!G15&gt;2.5, G15+'Non-travel METs'!G15, 0.1)</f>
        <v>4.1616950033632074</v>
      </c>
      <c r="M15" s="223">
        <f>IF(H15+'Non-travel METs'!H15&gt;2.5, H15+'Non-travel METs'!H15, 0.1)</f>
        <v>10.474223628717107</v>
      </c>
      <c r="N15" s="268">
        <f>'Phy activity RRs'!$F$7</f>
        <v>0.97288384048792509</v>
      </c>
      <c r="O15" s="262">
        <f t="shared" ref="O15:O21" si="22">$N15^(I15^0.5)</f>
        <v>0.99134439051762713</v>
      </c>
      <c r="P15" s="262">
        <f t="shared" ref="P15:P21" si="23">$N15^(J15^0.5)</f>
        <v>0.99134439051762713</v>
      </c>
      <c r="Q15" s="262">
        <f t="shared" ref="Q15:Q21" si="24">$N15^(K15^0.5)</f>
        <v>0.99134439051762713</v>
      </c>
      <c r="R15" s="262">
        <f t="shared" ref="R15:R21" si="25">$N15^(L15^0.5)</f>
        <v>0.94546213702936865</v>
      </c>
      <c r="S15" s="273">
        <f t="shared" ref="S15:S21" si="26">$N15^(M15^0.5)</f>
        <v>0.91487276817656937</v>
      </c>
      <c r="T15" s="275"/>
      <c r="U15" s="275"/>
      <c r="V15" s="275"/>
      <c r="W15" s="275"/>
      <c r="X15" s="276"/>
      <c r="Y15" s="262">
        <f t="shared" si="5"/>
        <v>1</v>
      </c>
      <c r="Z15" s="262">
        <f t="shared" si="6"/>
        <v>1</v>
      </c>
      <c r="AA15" s="262">
        <f t="shared" si="7"/>
        <v>1</v>
      </c>
      <c r="AB15" s="262">
        <f t="shared" si="8"/>
        <v>0.9537171401511626</v>
      </c>
      <c r="AC15" s="273">
        <f t="shared" si="9"/>
        <v>0.92286068991510772</v>
      </c>
      <c r="AD15" s="290"/>
      <c r="AE15" s="290"/>
      <c r="AF15" s="214">
        <f>GBDUS!K33/(Y15+Z15+AA15+AB15+AC15)</f>
        <v>0</v>
      </c>
      <c r="AG15" s="214">
        <f t="shared" si="10"/>
        <v>0</v>
      </c>
      <c r="AH15" s="214">
        <f t="shared" si="11"/>
        <v>0</v>
      </c>
      <c r="AI15" s="214">
        <f t="shared" si="12"/>
        <v>0</v>
      </c>
      <c r="AJ15" s="292">
        <f t="shared" si="13"/>
        <v>0</v>
      </c>
      <c r="AK15" s="301">
        <f>GBDUS!L33/(Y15+Z15+AA15+AB15+AC15)</f>
        <v>0</v>
      </c>
      <c r="AL15" s="301">
        <f t="shared" si="14"/>
        <v>0</v>
      </c>
      <c r="AM15" s="301">
        <f t="shared" si="15"/>
        <v>0</v>
      </c>
      <c r="AN15" s="301">
        <f t="shared" si="16"/>
        <v>0</v>
      </c>
      <c r="AO15" s="303">
        <f t="shared" si="17"/>
        <v>0</v>
      </c>
      <c r="AP15" s="301">
        <f>GBDUS!M33/(Y15+Z15+AA15+AB15+AC15)</f>
        <v>0</v>
      </c>
      <c r="AQ15" s="301">
        <f t="shared" si="18"/>
        <v>0</v>
      </c>
      <c r="AR15" s="301">
        <f t="shared" si="19"/>
        <v>0</v>
      </c>
      <c r="AS15" s="301">
        <f t="shared" si="20"/>
        <v>0</v>
      </c>
      <c r="AT15" s="303">
        <f t="shared" si="21"/>
        <v>0</v>
      </c>
      <c r="AU15" s="299"/>
      <c r="AV15" s="299"/>
      <c r="AW15" s="299"/>
      <c r="AX15" s="299"/>
    </row>
    <row r="16" spans="2:62" x14ac:dyDescent="0.2">
      <c r="B16" s="217">
        <v>2</v>
      </c>
      <c r="C16" s="224" t="s">
        <v>11</v>
      </c>
      <c r="D16" s="218">
        <f>Baseline!AL41</f>
        <v>0.44584035626070379</v>
      </c>
      <c r="E16" s="218">
        <f>Baseline!AM41</f>
        <v>1.1220984695917575</v>
      </c>
      <c r="F16" s="218">
        <f>Baseline!AN41</f>
        <v>2.126471479242884</v>
      </c>
      <c r="G16" s="218">
        <f>Baseline!AO41</f>
        <v>4.0298432575873413</v>
      </c>
      <c r="H16" s="223">
        <f>Baseline!AP41</f>
        <v>10.142376948463733</v>
      </c>
      <c r="I16" s="218">
        <f>IF(D16+'Non-travel METs'!D16&gt;2.5, D16+'Non-travel METs'!D16, 0.1)</f>
        <v>37.945840356260703</v>
      </c>
      <c r="J16" s="218">
        <f>IF(E16+'Non-travel METs'!E16&gt;2.5, E16+'Non-travel METs'!E16, 0.1)</f>
        <v>38.622098469591755</v>
      </c>
      <c r="K16" s="218">
        <f>IF(F16+'Non-travel METs'!F16&gt;2.5, F16+'Non-travel METs'!F16, 0.1)</f>
        <v>39.62647147924288</v>
      </c>
      <c r="L16" s="218">
        <f>IF(G16+'Non-travel METs'!G16&gt;2.5, G16+'Non-travel METs'!G16, 0.1)</f>
        <v>41.529843257587345</v>
      </c>
      <c r="M16" s="223">
        <f>IF(H16+'Non-travel METs'!H16&gt;2.5, H16+'Non-travel METs'!H16, 0.1)</f>
        <v>47.642376948463735</v>
      </c>
      <c r="N16" s="268">
        <f>'Phy activity RRs'!$F$7</f>
        <v>0.97288384048792509</v>
      </c>
      <c r="O16" s="262">
        <f t="shared" si="22"/>
        <v>0.84421966569436369</v>
      </c>
      <c r="P16" s="262">
        <f t="shared" si="23"/>
        <v>0.8429523303757579</v>
      </c>
      <c r="Q16" s="262">
        <f t="shared" si="24"/>
        <v>0.84109384730536829</v>
      </c>
      <c r="R16" s="262">
        <f t="shared" si="25"/>
        <v>0.83764626845573076</v>
      </c>
      <c r="S16" s="273">
        <f t="shared" si="26"/>
        <v>0.82716628423633209</v>
      </c>
      <c r="T16" s="275"/>
      <c r="U16" s="275"/>
      <c r="V16" s="275"/>
      <c r="W16" s="275"/>
      <c r="X16" s="276"/>
      <c r="Y16" s="262">
        <f t="shared" si="5"/>
        <v>1</v>
      </c>
      <c r="Z16" s="262">
        <f t="shared" si="6"/>
        <v>0.99849880858015383</v>
      </c>
      <c r="AA16" s="262">
        <f t="shared" si="7"/>
        <v>0.99629738737911955</v>
      </c>
      <c r="AB16" s="262">
        <f t="shared" si="8"/>
        <v>0.99221364118161548</v>
      </c>
      <c r="AC16" s="273">
        <f t="shared" si="9"/>
        <v>0.97979982917833908</v>
      </c>
      <c r="AD16" s="290"/>
      <c r="AE16" s="290"/>
      <c r="AF16" s="214">
        <f>GBDUS!K34/(Y16+Z16+AA16+AB16+AC16)</f>
        <v>0</v>
      </c>
      <c r="AG16" s="214">
        <f t="shared" si="10"/>
        <v>0</v>
      </c>
      <c r="AH16" s="214">
        <f t="shared" si="11"/>
        <v>0</v>
      </c>
      <c r="AI16" s="214">
        <f t="shared" si="12"/>
        <v>0</v>
      </c>
      <c r="AJ16" s="292">
        <f t="shared" si="13"/>
        <v>0</v>
      </c>
      <c r="AK16" s="301">
        <f>GBDUS!L34/(Y16+Z16+AA16+AB16+AC16)</f>
        <v>2.949429580717418</v>
      </c>
      <c r="AL16" s="301">
        <f t="shared" si="14"/>
        <v>2.9450019223374047</v>
      </c>
      <c r="AM16" s="301">
        <f t="shared" si="15"/>
        <v>2.9385089855274558</v>
      </c>
      <c r="AN16" s="301">
        <f t="shared" si="16"/>
        <v>2.9264642636923948</v>
      </c>
      <c r="AO16" s="303">
        <f t="shared" si="17"/>
        <v>2.8898505993604666</v>
      </c>
      <c r="AP16" s="301">
        <f>GBDUS!M34/(Y16+Z16+AA16+AB16+AC16)</f>
        <v>8.3054178514564245E-2</v>
      </c>
      <c r="AQ16" s="301">
        <f t="shared" si="18"/>
        <v>8.2929498294395804E-2</v>
      </c>
      <c r="AR16" s="301">
        <f t="shared" si="19"/>
        <v>8.2746661064979354E-2</v>
      </c>
      <c r="AS16" s="301">
        <f t="shared" si="20"/>
        <v>8.2407488879283688E-2</v>
      </c>
      <c r="AT16" s="303">
        <f t="shared" si="21"/>
        <v>8.1376469921117328E-2</v>
      </c>
      <c r="AU16" s="299"/>
      <c r="AV16" s="299"/>
      <c r="AW16" s="299"/>
      <c r="AX16" s="299"/>
    </row>
    <row r="17" spans="2:50" x14ac:dyDescent="0.2">
      <c r="B17" s="217">
        <v>2</v>
      </c>
      <c r="C17" s="224" t="s">
        <v>12</v>
      </c>
      <c r="D17" s="218">
        <f>Baseline!AL42</f>
        <v>0.37566343393324825</v>
      </c>
      <c r="E17" s="218">
        <f>Baseline!AM42</f>
        <v>0.94547601709611273</v>
      </c>
      <c r="F17" s="218">
        <f>Baseline!AN42</f>
        <v>1.7917569974001593</v>
      </c>
      <c r="G17" s="218">
        <f>Baseline!AO42</f>
        <v>3.3955310126138083</v>
      </c>
      <c r="H17" s="223">
        <f>Baseline!AP42</f>
        <v>8.5459292753600575</v>
      </c>
      <c r="I17" s="218">
        <f>IF(D17+'Non-travel METs'!D17&gt;2.5, D17+'Non-travel METs'!D17, 0.1)</f>
        <v>37.938996767266545</v>
      </c>
      <c r="J17" s="218">
        <f>IF(E17+'Non-travel METs'!E17&gt;2.5, E17+'Non-travel METs'!E17, 0.1)</f>
        <v>38.508809350429409</v>
      </c>
      <c r="K17" s="218">
        <f>IF(F17+'Non-travel METs'!F17&gt;2.5, F17+'Non-travel METs'!F17, 0.1)</f>
        <v>39.355090330733454</v>
      </c>
      <c r="L17" s="218">
        <f>IF(G17+'Non-travel METs'!G17&gt;2.5, G17+'Non-travel METs'!G17, 0.1)</f>
        <v>40.958864345947106</v>
      </c>
      <c r="M17" s="223">
        <f>IF(H17+'Non-travel METs'!H17&gt;2.5, H17+'Non-travel METs'!H17, 0.1)</f>
        <v>46.109262608693356</v>
      </c>
      <c r="N17" s="268">
        <f>'Phy activity RRs'!$F$7</f>
        <v>0.97288384048792509</v>
      </c>
      <c r="O17" s="262">
        <f t="shared" si="22"/>
        <v>0.84423255810735531</v>
      </c>
      <c r="P17" s="262">
        <f t="shared" si="23"/>
        <v>0.84316372822979191</v>
      </c>
      <c r="Q17" s="262">
        <f t="shared" si="24"/>
        <v>0.84159326028925641</v>
      </c>
      <c r="R17" s="262">
        <f t="shared" si="25"/>
        <v>0.83867055268270507</v>
      </c>
      <c r="S17" s="273">
        <f t="shared" si="26"/>
        <v>0.82971622455183824</v>
      </c>
      <c r="T17" s="275"/>
      <c r="U17" s="275"/>
      <c r="V17" s="275"/>
      <c r="W17" s="275"/>
      <c r="X17" s="276"/>
      <c r="Y17" s="262">
        <f t="shared" si="5"/>
        <v>1</v>
      </c>
      <c r="Z17" s="262">
        <f t="shared" si="6"/>
        <v>0.99873396273657156</v>
      </c>
      <c r="AA17" s="262">
        <f t="shared" si="7"/>
        <v>0.99687373130454027</v>
      </c>
      <c r="AB17" s="262">
        <f t="shared" si="8"/>
        <v>0.99341176152087829</v>
      </c>
      <c r="AC17" s="273">
        <f t="shared" si="9"/>
        <v>0.98280529053740773</v>
      </c>
      <c r="AD17" s="290"/>
      <c r="AE17" s="290"/>
      <c r="AF17" s="214">
        <f>GBDUS!K35/(Y17+Z17+AA17+AB17+AC17)</f>
        <v>0.40226679381027713</v>
      </c>
      <c r="AG17" s="214">
        <f t="shared" si="10"/>
        <v>0.40175750905947344</v>
      </c>
      <c r="AH17" s="214">
        <f t="shared" si="11"/>
        <v>0.40100919972556509</v>
      </c>
      <c r="AI17" s="214">
        <f t="shared" si="12"/>
        <v>0.39961656424042336</v>
      </c>
      <c r="AJ17" s="292">
        <f t="shared" si="13"/>
        <v>0.39534993316426092</v>
      </c>
      <c r="AK17" s="301">
        <f>GBDUS!L35/(Y17+Z17+AA17+AB17+AC17)</f>
        <v>18.817445699080334</v>
      </c>
      <c r="AL17" s="301">
        <f t="shared" si="14"/>
        <v>18.793622111622756</v>
      </c>
      <c r="AM17" s="301">
        <f t="shared" si="15"/>
        <v>18.758617307662785</v>
      </c>
      <c r="AN17" s="301">
        <f t="shared" si="16"/>
        <v>18.693471879246871</v>
      </c>
      <c r="AO17" s="303">
        <f t="shared" si="17"/>
        <v>18.493885187456542</v>
      </c>
      <c r="AP17" s="301">
        <f>GBDUS!M35/(Y17+Z17+AA17+AB17+AC17)</f>
        <v>0.71165783107156222</v>
      </c>
      <c r="AQ17" s="301">
        <f t="shared" si="18"/>
        <v>0.71075684573861497</v>
      </c>
      <c r="AR17" s="301">
        <f t="shared" si="19"/>
        <v>0.7094329974724044</v>
      </c>
      <c r="AS17" s="301">
        <f t="shared" si="20"/>
        <v>0.70696925956492829</v>
      </c>
      <c r="AT17" s="303">
        <f t="shared" si="21"/>
        <v>0.6994210814295081</v>
      </c>
      <c r="AU17" s="299"/>
      <c r="AV17" s="299"/>
      <c r="AW17" s="299"/>
      <c r="AX17" s="299"/>
    </row>
    <row r="18" spans="2:50" x14ac:dyDescent="0.2">
      <c r="B18" s="217">
        <v>2</v>
      </c>
      <c r="C18" s="224" t="s">
        <v>13</v>
      </c>
      <c r="D18" s="218">
        <f>Baseline!AL43</f>
        <v>0.28130171216737176</v>
      </c>
      <c r="E18" s="218">
        <f>Baseline!AM43</f>
        <v>0.70798485665118815</v>
      </c>
      <c r="F18" s="218">
        <f>Baseline!AN43</f>
        <v>1.3416911672220251</v>
      </c>
      <c r="G18" s="218">
        <f>Baseline!AO43</f>
        <v>2.5426182089774487</v>
      </c>
      <c r="H18" s="223">
        <f>Baseline!AP43</f>
        <v>6.3993040580234215</v>
      </c>
      <c r="I18" s="218">
        <f>IF(D18+'Non-travel METs'!D18&gt;2.5, D18+'Non-travel METs'!D18, 0.1)</f>
        <v>38.034635045500671</v>
      </c>
      <c r="J18" s="218">
        <f>IF(E18+'Non-travel METs'!E18&gt;2.5, E18+'Non-travel METs'!E18, 0.1)</f>
        <v>38.461318189984489</v>
      </c>
      <c r="K18" s="218">
        <f>IF(F18+'Non-travel METs'!F18&gt;2.5, F18+'Non-travel METs'!F18, 0.1)</f>
        <v>39.095024500555326</v>
      </c>
      <c r="L18" s="218">
        <f>IF(G18+'Non-travel METs'!G18&gt;2.5, G18+'Non-travel METs'!G18, 0.1)</f>
        <v>40.295951542310753</v>
      </c>
      <c r="M18" s="223">
        <f>IF(H18+'Non-travel METs'!H18&gt;2.5, H18+'Non-travel METs'!H18, 0.1)</f>
        <v>44.15263739135672</v>
      </c>
      <c r="N18" s="268">
        <f>'Phy activity RRs'!$F$7</f>
        <v>0.97288384048792509</v>
      </c>
      <c r="O18" s="262">
        <f t="shared" si="22"/>
        <v>0.84405251139919535</v>
      </c>
      <c r="P18" s="262">
        <f t="shared" si="23"/>
        <v>0.84325245516414582</v>
      </c>
      <c r="Q18" s="262">
        <f t="shared" si="24"/>
        <v>0.84207374802340107</v>
      </c>
      <c r="R18" s="262">
        <f t="shared" si="25"/>
        <v>0.83987034571380403</v>
      </c>
      <c r="S18" s="273">
        <f t="shared" si="26"/>
        <v>0.83304472928238749</v>
      </c>
      <c r="T18" s="275"/>
      <c r="U18" s="275"/>
      <c r="V18" s="275"/>
      <c r="W18" s="275"/>
      <c r="X18" s="276"/>
      <c r="Y18" s="262">
        <f t="shared" si="5"/>
        <v>1</v>
      </c>
      <c r="Z18" s="262">
        <f t="shared" si="6"/>
        <v>0.99905212504643426</v>
      </c>
      <c r="AA18" s="262">
        <f t="shared" si="7"/>
        <v>0.99765563949035108</v>
      </c>
      <c r="AB18" s="262">
        <f t="shared" si="8"/>
        <v>0.99504513566524611</v>
      </c>
      <c r="AC18" s="273">
        <f t="shared" si="9"/>
        <v>0.98695841553914676</v>
      </c>
      <c r="AD18" s="290"/>
      <c r="AE18" s="290"/>
      <c r="AF18" s="214">
        <f>GBDUS!K36/(Y18+Z18+AA18+AB18+AC18)</f>
        <v>1.8076966968429609</v>
      </c>
      <c r="AG18" s="214">
        <f t="shared" si="10"/>
        <v>1.8059832264203799</v>
      </c>
      <c r="AH18" s="214">
        <f t="shared" si="11"/>
        <v>1.8034588040934594</v>
      </c>
      <c r="AI18" s="214">
        <f t="shared" si="12"/>
        <v>1.7987398049517211</v>
      </c>
      <c r="AJ18" s="292">
        <f t="shared" si="13"/>
        <v>1.7841214676914781</v>
      </c>
      <c r="AK18" s="301">
        <f>GBDUS!L36/(Y18+Z18+AA18+AB18+AC18)</f>
        <v>60.355432403249424</v>
      </c>
      <c r="AL18" s="301">
        <f t="shared" si="14"/>
        <v>60.29822300056275</v>
      </c>
      <c r="AM18" s="301">
        <f t="shared" si="15"/>
        <v>60.213937510980458</v>
      </c>
      <c r="AN18" s="301">
        <f t="shared" si="16"/>
        <v>60.056379423825916</v>
      </c>
      <c r="AO18" s="303">
        <f t="shared" si="17"/>
        <v>59.568301933891128</v>
      </c>
      <c r="AP18" s="301">
        <f>GBDUS!M36/(Y18+Z18+AA18+AB18+AC18)</f>
        <v>2.9309743372620836</v>
      </c>
      <c r="AQ18" s="301">
        <f t="shared" si="18"/>
        <v>2.9281961400982488</v>
      </c>
      <c r="AR18" s="301">
        <f t="shared" si="19"/>
        <v>2.9241030767710119</v>
      </c>
      <c r="AS18" s="301">
        <f t="shared" si="20"/>
        <v>2.9164517570523047</v>
      </c>
      <c r="AT18" s="303">
        <f t="shared" si="21"/>
        <v>2.8927497878900867</v>
      </c>
      <c r="AU18" s="299"/>
      <c r="AV18" s="299"/>
      <c r="AW18" s="299"/>
      <c r="AX18" s="299"/>
    </row>
    <row r="19" spans="2:50" x14ac:dyDescent="0.2">
      <c r="B19" s="217">
        <v>2</v>
      </c>
      <c r="C19" s="224" t="s">
        <v>14</v>
      </c>
      <c r="D19" s="218">
        <f>Baseline!AL44</f>
        <v>0.18531571150483678</v>
      </c>
      <c r="E19" s="218">
        <f>Baseline!AM44</f>
        <v>0.46640568389751447</v>
      </c>
      <c r="F19" s="218">
        <f>Baseline!AN44</f>
        <v>0.88387820805572703</v>
      </c>
      <c r="G19" s="218">
        <f>Baseline!AO44</f>
        <v>1.6750239408477468</v>
      </c>
      <c r="H19" s="223">
        <f>Baseline!AP44</f>
        <v>4.2157282851616866</v>
      </c>
      <c r="I19" s="218">
        <f>IF(D19+'Non-travel METs'!D19&gt;2.5, D19+'Non-travel METs'!D19, 0.1)</f>
        <v>9.1853157115048365</v>
      </c>
      <c r="J19" s="218">
        <f>IF(E19+'Non-travel METs'!E19&gt;2.5, E19+'Non-travel METs'!E19, 0.1)</f>
        <v>9.4664056838975146</v>
      </c>
      <c r="K19" s="218">
        <f>IF(F19+'Non-travel METs'!F19&gt;2.5, F19+'Non-travel METs'!F19, 0.1)</f>
        <v>9.8838782080557266</v>
      </c>
      <c r="L19" s="218">
        <f>IF(G19+'Non-travel METs'!G19&gt;2.5, G19+'Non-travel METs'!G19, 0.1)</f>
        <v>10.675023940847748</v>
      </c>
      <c r="M19" s="223">
        <f>IF(H19+'Non-travel METs'!H19&gt;2.5, H19+'Non-travel METs'!H19, 0.1)</f>
        <v>13.215728285161687</v>
      </c>
      <c r="N19" s="268">
        <f>'Phy activity RRs'!$F$7</f>
        <v>0.97288384048792509</v>
      </c>
      <c r="O19" s="262">
        <f t="shared" si="22"/>
        <v>0.92005989578298042</v>
      </c>
      <c r="P19" s="262">
        <f t="shared" si="23"/>
        <v>0.91889655052082619</v>
      </c>
      <c r="Q19" s="262">
        <f t="shared" si="24"/>
        <v>0.91720281898237199</v>
      </c>
      <c r="R19" s="262">
        <f t="shared" si="25"/>
        <v>0.91409657962268376</v>
      </c>
      <c r="S19" s="273">
        <f t="shared" si="26"/>
        <v>0.90489374743504569</v>
      </c>
      <c r="T19" s="275"/>
      <c r="U19" s="275"/>
      <c r="V19" s="275"/>
      <c r="W19" s="275"/>
      <c r="X19" s="276"/>
      <c r="Y19" s="262">
        <f t="shared" si="5"/>
        <v>1</v>
      </c>
      <c r="Z19" s="262">
        <f t="shared" si="6"/>
        <v>0.9987355765994298</v>
      </c>
      <c r="AA19" s="262">
        <f t="shared" si="7"/>
        <v>0.99689468390731562</v>
      </c>
      <c r="AB19" s="262">
        <f t="shared" si="8"/>
        <v>0.99351855657699129</v>
      </c>
      <c r="AC19" s="273">
        <f t="shared" si="9"/>
        <v>0.9835161293113116</v>
      </c>
      <c r="AD19" s="290"/>
      <c r="AE19" s="290"/>
      <c r="AF19" s="214">
        <f>GBDUS!K37/(Y19+Z19+AA19+AB19+AC19)</f>
        <v>1.2065964758694876</v>
      </c>
      <c r="AG19" s="214">
        <f t="shared" si="10"/>
        <v>1.2050708270503527</v>
      </c>
      <c r="AH19" s="214">
        <f t="shared" si="11"/>
        <v>1.2028496124155938</v>
      </c>
      <c r="AI19" s="214">
        <f t="shared" si="12"/>
        <v>1.1987759890767378</v>
      </c>
      <c r="AJ19" s="292">
        <f t="shared" si="13"/>
        <v>1.1867070955878278</v>
      </c>
      <c r="AK19" s="301">
        <f>GBDUS!L37/(Y19+Z19+AA19+AB19+AC19)</f>
        <v>27.864907939012099</v>
      </c>
      <c r="AL19" s="301">
        <f t="shared" si="14"/>
        <v>27.829674897359279</v>
      </c>
      <c r="AM19" s="301">
        <f t="shared" si="15"/>
        <v>27.778378591967915</v>
      </c>
      <c r="AN19" s="301">
        <f t="shared" si="16"/>
        <v>27.684303114718045</v>
      </c>
      <c r="AO19" s="303">
        <f t="shared" si="17"/>
        <v>27.405586399793215</v>
      </c>
      <c r="AP19" s="301">
        <f>GBDUS!M37/(Y19+Z19+AA19+AB19+AC19)</f>
        <v>1.6906691051269576</v>
      </c>
      <c r="AQ19" s="301">
        <f t="shared" si="18"/>
        <v>1.688531383547814</v>
      </c>
      <c r="AR19" s="301">
        <f t="shared" si="19"/>
        <v>1.6854190431474025</v>
      </c>
      <c r="AS19" s="301">
        <f t="shared" si="20"/>
        <v>1.6797111289750484</v>
      </c>
      <c r="AT19" s="303">
        <f t="shared" si="21"/>
        <v>1.6628003342206843</v>
      </c>
      <c r="AU19" s="299"/>
      <c r="AV19" s="299"/>
      <c r="AW19" s="299"/>
      <c r="AX19" s="299"/>
    </row>
    <row r="20" spans="2:50" x14ac:dyDescent="0.2">
      <c r="B20" s="217">
        <v>2</v>
      </c>
      <c r="C20" s="224" t="s">
        <v>15</v>
      </c>
      <c r="D20" s="218">
        <f>Baseline!AL45</f>
        <v>0.11712988000202922</v>
      </c>
      <c r="E20" s="218">
        <f>Baseline!AM45</f>
        <v>0.29479444210942879</v>
      </c>
      <c r="F20" s="218">
        <f>Baseline!AN45</f>
        <v>0.55866039422822378</v>
      </c>
      <c r="G20" s="218">
        <f>Baseline!AO45</f>
        <v>1.0587086847566183</v>
      </c>
      <c r="H20" s="223">
        <f>Baseline!AP45</f>
        <v>2.6645757348494454</v>
      </c>
      <c r="I20" s="218">
        <f>IF(D20+'Non-travel METs'!D20&gt;2.5, D20+'Non-travel METs'!D20, 0.1)</f>
        <v>0.1</v>
      </c>
      <c r="J20" s="218">
        <f>IF(E20+'Non-travel METs'!E20&gt;2.5, E20+'Non-travel METs'!E20, 0.1)</f>
        <v>0.1</v>
      </c>
      <c r="K20" s="218">
        <f>IF(F20+'Non-travel METs'!F20&gt;2.5, F20+'Non-travel METs'!F20, 0.1)</f>
        <v>0.1</v>
      </c>
      <c r="L20" s="218">
        <f>IF(G20+'Non-travel METs'!G20&gt;2.5, G20+'Non-travel METs'!G20, 0.1)</f>
        <v>0.1</v>
      </c>
      <c r="M20" s="223">
        <f>IF(H20+'Non-travel METs'!H20&gt;2.5, H20+'Non-travel METs'!H20, 0.1)</f>
        <v>3.1645757348494454</v>
      </c>
      <c r="N20" s="268">
        <f>'Phy activity RRs'!$F$7</f>
        <v>0.97288384048792509</v>
      </c>
      <c r="O20" s="262">
        <f t="shared" si="22"/>
        <v>0.99134439051762713</v>
      </c>
      <c r="P20" s="262">
        <f t="shared" si="23"/>
        <v>0.99134439051762713</v>
      </c>
      <c r="Q20" s="262">
        <f t="shared" si="24"/>
        <v>0.99134439051762713</v>
      </c>
      <c r="R20" s="262">
        <f t="shared" si="25"/>
        <v>0.99134439051762713</v>
      </c>
      <c r="S20" s="273">
        <f t="shared" si="26"/>
        <v>0.95227282508526856</v>
      </c>
      <c r="T20" s="275"/>
      <c r="U20" s="275"/>
      <c r="V20" s="275"/>
      <c r="W20" s="275"/>
      <c r="X20" s="276"/>
      <c r="Y20" s="262">
        <f t="shared" si="5"/>
        <v>1</v>
      </c>
      <c r="Z20" s="262">
        <f t="shared" si="6"/>
        <v>1</v>
      </c>
      <c r="AA20" s="262">
        <f t="shared" si="7"/>
        <v>1</v>
      </c>
      <c r="AB20" s="262">
        <f t="shared" si="8"/>
        <v>1</v>
      </c>
      <c r="AC20" s="273">
        <f t="shared" si="9"/>
        <v>0.96058729357215866</v>
      </c>
      <c r="AD20" s="290"/>
      <c r="AE20" s="290"/>
      <c r="AF20" s="214">
        <f>GBDUS!K38/(Y20+Z20+AA20+AB20+AC20)</f>
        <v>1.8143013049406551</v>
      </c>
      <c r="AG20" s="214">
        <f t="shared" si="10"/>
        <v>1.8143013049406551</v>
      </c>
      <c r="AH20" s="214">
        <f t="shared" si="11"/>
        <v>1.8143013049406551</v>
      </c>
      <c r="AI20" s="214">
        <f t="shared" si="12"/>
        <v>1.8143013049406551</v>
      </c>
      <c r="AJ20" s="292">
        <f t="shared" si="13"/>
        <v>1.7427947802373795</v>
      </c>
      <c r="AK20" s="301">
        <f>GBDUS!L38/(Y20+Z20+AA20+AB20+AC20)</f>
        <v>26.490574101315019</v>
      </c>
      <c r="AL20" s="301">
        <f t="shared" si="14"/>
        <v>26.490574101315019</v>
      </c>
      <c r="AM20" s="301">
        <f t="shared" si="15"/>
        <v>26.490574101315019</v>
      </c>
      <c r="AN20" s="301">
        <f t="shared" si="16"/>
        <v>26.490574101315019</v>
      </c>
      <c r="AO20" s="303">
        <f t="shared" si="17"/>
        <v>25.446508881154912</v>
      </c>
      <c r="AP20" s="301">
        <f>GBDUS!M38/(Y20+Z20+AA20+AB20+AC20)</f>
        <v>2.1565253933315431</v>
      </c>
      <c r="AQ20" s="301">
        <f t="shared" si="18"/>
        <v>2.1565253933315431</v>
      </c>
      <c r="AR20" s="301">
        <f t="shared" si="19"/>
        <v>2.1565253933315431</v>
      </c>
      <c r="AS20" s="301">
        <f t="shared" si="20"/>
        <v>2.1565253933315431</v>
      </c>
      <c r="AT20" s="303">
        <f t="shared" si="21"/>
        <v>2.0715308910999819</v>
      </c>
      <c r="AU20" s="299"/>
      <c r="AV20" s="299"/>
      <c r="AW20" s="299"/>
      <c r="AX20" s="299"/>
    </row>
    <row r="21" spans="2:50" x14ac:dyDescent="0.2">
      <c r="B21" s="226">
        <v>2</v>
      </c>
      <c r="C21" s="227" t="s">
        <v>16</v>
      </c>
      <c r="D21" s="228">
        <f>Baseline!AL46</f>
        <v>0.14687937172795515</v>
      </c>
      <c r="E21" s="228">
        <f>Baseline!AM46</f>
        <v>0.36966846073073589</v>
      </c>
      <c r="F21" s="228">
        <f>Baseline!AN46</f>
        <v>0.70055299051029241</v>
      </c>
      <c r="G21" s="228">
        <f>Baseline!AO46</f>
        <v>1.3276071524813979</v>
      </c>
      <c r="H21" s="229">
        <f>Baseline!AP46</f>
        <v>3.3413438983243293</v>
      </c>
      <c r="I21" s="230">
        <f>IF(D21+'Non-travel METs'!D21&gt;2.5, D21+'Non-travel METs'!D21, 0.1)</f>
        <v>0.1</v>
      </c>
      <c r="J21" s="228">
        <f>IF(E21+'Non-travel METs'!E21&gt;2.5, E21+'Non-travel METs'!E21, 0.1)</f>
        <v>0.1</v>
      </c>
      <c r="K21" s="228">
        <f>IF(F21+'Non-travel METs'!F21&gt;2.5, F21+'Non-travel METs'!F21, 0.1)</f>
        <v>0.1</v>
      </c>
      <c r="L21" s="228">
        <f>IF(G21+'Non-travel METs'!G21&gt;2.5, G21+'Non-travel METs'!G21, 0.1)</f>
        <v>0.1</v>
      </c>
      <c r="M21" s="229">
        <f>IF(H21+'Non-travel METs'!H21&gt;2.5, H21+'Non-travel METs'!H21, 0.1)</f>
        <v>3.4246772316576628</v>
      </c>
      <c r="N21" s="375">
        <f>'Phy activity RRs'!$F$7</f>
        <v>0.97288384048792509</v>
      </c>
      <c r="O21" s="264">
        <f t="shared" si="22"/>
        <v>0.99134439051762713</v>
      </c>
      <c r="P21" s="264">
        <f t="shared" si="23"/>
        <v>0.99134439051762713</v>
      </c>
      <c r="Q21" s="264">
        <f t="shared" si="24"/>
        <v>0.99134439051762713</v>
      </c>
      <c r="R21" s="264">
        <f t="shared" si="25"/>
        <v>0.99134439051762713</v>
      </c>
      <c r="S21" s="274">
        <f t="shared" si="26"/>
        <v>0.95039864171750998</v>
      </c>
      <c r="T21" s="277"/>
      <c r="U21" s="278"/>
      <c r="V21" s="278"/>
      <c r="W21" s="278"/>
      <c r="X21" s="279"/>
      <c r="Y21" s="287">
        <f t="shared" si="5"/>
        <v>1</v>
      </c>
      <c r="Z21" s="264">
        <f t="shared" si="6"/>
        <v>1</v>
      </c>
      <c r="AA21" s="264">
        <f t="shared" si="7"/>
        <v>1</v>
      </c>
      <c r="AB21" s="264">
        <f t="shared" si="8"/>
        <v>1</v>
      </c>
      <c r="AC21" s="274">
        <f t="shared" si="9"/>
        <v>0.95869674636607627</v>
      </c>
      <c r="AD21" s="290"/>
      <c r="AE21" s="291"/>
      <c r="AF21" s="293">
        <f>GBDUS!K39/(Y21+Z21+AA21+AB21+AC21)</f>
        <v>3.0249883723969564</v>
      </c>
      <c r="AG21" s="294">
        <f t="shared" si="10"/>
        <v>3.0249883723969564</v>
      </c>
      <c r="AH21" s="294">
        <f t="shared" si="11"/>
        <v>3.0249883723969564</v>
      </c>
      <c r="AI21" s="294">
        <f t="shared" si="12"/>
        <v>3.0249883723969564</v>
      </c>
      <c r="AJ21" s="295">
        <f t="shared" si="13"/>
        <v>2.9000465104121749</v>
      </c>
      <c r="AK21" s="301">
        <f>GBDUS!L39/(Y21+Z21+AA21+AB21+AC21)</f>
        <v>16.563646448550969</v>
      </c>
      <c r="AL21" s="305">
        <f t="shared" si="14"/>
        <v>16.563646448550969</v>
      </c>
      <c r="AM21" s="305">
        <f t="shared" si="15"/>
        <v>16.563646448550969</v>
      </c>
      <c r="AN21" s="305">
        <f t="shared" si="16"/>
        <v>16.563646448550969</v>
      </c>
      <c r="AO21" s="306">
        <f t="shared" si="17"/>
        <v>15.879513958183828</v>
      </c>
      <c r="AP21" s="301">
        <f>GBDUS!M39/(Y21+Z21+AA21+AB21+AC21)</f>
        <v>2.4811752876358737</v>
      </c>
      <c r="AQ21" s="305">
        <f t="shared" si="18"/>
        <v>2.4811752876358737</v>
      </c>
      <c r="AR21" s="305">
        <f t="shared" si="19"/>
        <v>2.4811752876358737</v>
      </c>
      <c r="AS21" s="305">
        <f t="shared" si="20"/>
        <v>2.4811752876358737</v>
      </c>
      <c r="AT21" s="306">
        <f t="shared" si="21"/>
        <v>2.3786946754204257</v>
      </c>
      <c r="AU21" s="300"/>
      <c r="AV21" s="300"/>
      <c r="AW21" s="300"/>
      <c r="AX21" s="300"/>
    </row>
    <row r="22" spans="2:50" x14ac:dyDescent="0.2">
      <c r="B22" s="212"/>
      <c r="C22" s="212"/>
      <c r="AD22" s="288"/>
      <c r="AK22" s="423"/>
      <c r="AL22" s="215"/>
      <c r="AM22" s="215"/>
      <c r="AN22" s="215"/>
      <c r="AO22" s="215"/>
      <c r="AP22" s="288"/>
    </row>
    <row r="23" spans="2:50" x14ac:dyDescent="0.2">
      <c r="B23" s="338" t="s">
        <v>70</v>
      </c>
      <c r="C23" s="319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320"/>
      <c r="AL23" s="320"/>
      <c r="AM23" s="320"/>
      <c r="AN23" s="320"/>
      <c r="AO23" s="320"/>
      <c r="AP23" s="280"/>
      <c r="AQ23" s="280"/>
      <c r="AR23" s="280"/>
      <c r="AS23" s="280"/>
      <c r="AT23" s="280"/>
      <c r="AU23" s="280"/>
      <c r="AV23" s="280"/>
      <c r="AW23" s="280"/>
      <c r="AX23" s="280"/>
    </row>
    <row r="24" spans="2:50" x14ac:dyDescent="0.2">
      <c r="B24" s="212">
        <v>1</v>
      </c>
      <c r="C24" s="325" t="s">
        <v>9</v>
      </c>
      <c r="D24" s="215">
        <f>Scenario!AL31</f>
        <v>0.37643845197996767</v>
      </c>
      <c r="E24" s="215">
        <f>Scenario!AM31</f>
        <v>0.9454633575841902</v>
      </c>
      <c r="F24" s="215">
        <f>Scenario!AN31</f>
        <v>1.7891607181870568</v>
      </c>
      <c r="G24" s="215">
        <f>Scenario!AO31</f>
        <v>3.3857431383516916</v>
      </c>
      <c r="H24" s="321">
        <f>Scenario!AP31</f>
        <v>8.5036373374364302</v>
      </c>
      <c r="I24" s="218">
        <f>IF(D24+'Non-travel METs'!D25&gt;2.5, D24+'Non-travel METs'!D25, 0.1)</f>
        <v>0.1</v>
      </c>
      <c r="J24" s="218">
        <f>IF(E24+'Non-travel METs'!E25&gt;2.5, E24+'Non-travel METs'!E25, 0.1)</f>
        <v>0.1</v>
      </c>
      <c r="K24" s="218">
        <f>IF(F24+'Non-travel METs'!F25&gt;2.5, F24+'Non-travel METs'!F25, 0.1)</f>
        <v>0.1</v>
      </c>
      <c r="L24" s="218">
        <f>IF(G24+'Non-travel METs'!G25&gt;2.5, G24+'Non-travel METs'!G25, 0.1)</f>
        <v>3.3857431383516916</v>
      </c>
      <c r="M24" s="223">
        <f>IF(H24+'Non-travel METs'!H25&gt;2.5, H24+'Non-travel METs'!H25, 0.1)</f>
        <v>8.5036373374364302</v>
      </c>
      <c r="N24" s="268">
        <f>'Phy activity RRs'!$F$6</f>
        <v>0.96065247560449929</v>
      </c>
      <c r="O24" s="215">
        <f>$N24^(I24^0.5)</f>
        <v>0.98738603830564786</v>
      </c>
      <c r="P24" s="215">
        <f>$N24^(J24^0.5)</f>
        <v>0.98738603830564786</v>
      </c>
      <c r="Q24" s="215">
        <f>$N24^(K24^0.5)</f>
        <v>0.98738603830564786</v>
      </c>
      <c r="R24" s="215">
        <f>$N24^(L24^0.5)</f>
        <v>0.92879811523448452</v>
      </c>
      <c r="S24" s="321">
        <f>$N24^(M24^0.5)</f>
        <v>0.88953207232963338</v>
      </c>
      <c r="T24" s="296">
        <f>O24/O6</f>
        <v>1</v>
      </c>
      <c r="U24" s="296">
        <f>P24/P6</f>
        <v>1</v>
      </c>
      <c r="V24" s="296">
        <f>Q24/Q6</f>
        <v>1</v>
      </c>
      <c r="W24" s="296">
        <f>R24/R6</f>
        <v>0.99669837412255291</v>
      </c>
      <c r="X24" s="328">
        <f>S24/S6</f>
        <v>0.99488806081814007</v>
      </c>
      <c r="Y24" s="296">
        <f>O24/$O24</f>
        <v>1</v>
      </c>
      <c r="Z24" s="296">
        <f>P24/$O24</f>
        <v>1</v>
      </c>
      <c r="AA24" s="296">
        <f>Q24/$O24</f>
        <v>1</v>
      </c>
      <c r="AB24" s="296">
        <f>R24/$O24</f>
        <v>0.94066360997801823</v>
      </c>
      <c r="AC24" s="328">
        <f>S24/$O24</f>
        <v>0.90089593919726507</v>
      </c>
      <c r="AD24" s="333">
        <f>(5-SUM(T24:X24))/5</f>
        <v>1.682713011861381E-3</v>
      </c>
      <c r="AE24" s="334">
        <f>1-AD24</f>
        <v>0.9983172869881386</v>
      </c>
      <c r="AF24" s="214">
        <f>AE24*GBDUS!K24/(Y24+Z24+AA24+AB24+AC24)</f>
        <v>0</v>
      </c>
      <c r="AG24" s="214">
        <f>$AF24*Z24</f>
        <v>0</v>
      </c>
      <c r="AH24" s="214">
        <f>$AF24*AA24</f>
        <v>0</v>
      </c>
      <c r="AI24" s="214">
        <f>$AF24*AB24</f>
        <v>0</v>
      </c>
      <c r="AJ24" s="292">
        <f>$AF24*AC24</f>
        <v>0</v>
      </c>
      <c r="AK24" s="301">
        <f>AE24*GBDUS!L24/(Y24+Z24+AA24+AB24+AC24)</f>
        <v>0</v>
      </c>
      <c r="AL24" s="301">
        <f>$AK24*Z24</f>
        <v>0</v>
      </c>
      <c r="AM24" s="301">
        <f>$AK24*AA24</f>
        <v>0</v>
      </c>
      <c r="AN24" s="301">
        <f>$AK24*AB24</f>
        <v>0</v>
      </c>
      <c r="AO24" s="303">
        <f>$AK24*AC24</f>
        <v>0</v>
      </c>
      <c r="AP24" s="301">
        <f>AE24*GBDUS!M24/(Y24+Z24+AA24+AB24+AC24)</f>
        <v>0</v>
      </c>
      <c r="AQ24" s="301">
        <f>$AP24*Z24</f>
        <v>0</v>
      </c>
      <c r="AR24" s="301">
        <f>$AP24*AA24</f>
        <v>0</v>
      </c>
      <c r="AS24" s="301">
        <f>$AP24*AB24</f>
        <v>0</v>
      </c>
      <c r="AT24" s="303">
        <f>$AP24*AC24</f>
        <v>0</v>
      </c>
      <c r="AU24" s="262">
        <f>SUM(AF24:AJ24)-SUM(AF6:AJ6)</f>
        <v>0</v>
      </c>
      <c r="AV24" s="261">
        <f>SUM(AK24:AO24)-SUM(AK6:AO6)</f>
        <v>0</v>
      </c>
      <c r="AW24" s="262">
        <f>SUM(AP24:AT24)-SUM(AP6:AT6)</f>
        <v>0</v>
      </c>
      <c r="AX24" s="262">
        <f>AV24+AW24</f>
        <v>0</v>
      </c>
    </row>
    <row r="25" spans="2:50" x14ac:dyDescent="0.2">
      <c r="B25" s="212">
        <v>1</v>
      </c>
      <c r="C25" s="325" t="s">
        <v>10</v>
      </c>
      <c r="D25" s="215">
        <f>Scenario!AL32</f>
        <v>0.76131359914254593</v>
      </c>
      <c r="E25" s="215">
        <f>Scenario!AM32</f>
        <v>1.912116330927107</v>
      </c>
      <c r="F25" s="215">
        <f>Scenario!AN32</f>
        <v>3.6184199001007888</v>
      </c>
      <c r="G25" s="369">
        <f>Scenario!AO32</f>
        <v>6.8473671615456384</v>
      </c>
      <c r="H25" s="321">
        <f>Scenario!AP32</f>
        <v>17.19785721441437</v>
      </c>
      <c r="I25" s="218">
        <f>IF(D25+'Non-travel METs'!D26&gt;2.5, D25+'Non-travel METs'!D26, 0.1)</f>
        <v>0.1</v>
      </c>
      <c r="J25" s="218">
        <f>IF(E25+'Non-travel METs'!E26&gt;2.5, E25+'Non-travel METs'!E26, 0.1)</f>
        <v>0.1</v>
      </c>
      <c r="K25" s="218">
        <f>IF(F25+'Non-travel METs'!F26&gt;2.5, F25+'Non-travel METs'!F26, 0.1)</f>
        <v>3.6184199001007888</v>
      </c>
      <c r="L25" s="218">
        <f>IF(G25+'Non-travel METs'!G26&gt;2.5, G25+'Non-travel METs'!G26, 0.1)</f>
        <v>6.8473671615456384</v>
      </c>
      <c r="M25" s="223">
        <f>IF(H25+'Non-travel METs'!H26&gt;2.5, H25+'Non-travel METs'!H26, 0.1)</f>
        <v>17.19785721441437</v>
      </c>
      <c r="N25" s="268">
        <f>'Phy activity RRs'!$F$6</f>
        <v>0.96065247560449929</v>
      </c>
      <c r="O25" s="215">
        <f t="shared" ref="O25:O39" si="27">$N25^(I25^0.5)</f>
        <v>0.98738603830564786</v>
      </c>
      <c r="P25" s="215">
        <f t="shared" ref="P25:P39" si="28">$N25^(J25^0.5)</f>
        <v>0.98738603830564786</v>
      </c>
      <c r="Q25" s="215">
        <f t="shared" ref="Q25:Q39" si="29">$N25^(K25^0.5)</f>
        <v>0.92648283061378234</v>
      </c>
      <c r="R25" s="215">
        <f t="shared" ref="R25:R39" si="30">$N25^(L25^0.5)</f>
        <v>0.90028585473023948</v>
      </c>
      <c r="S25" s="321">
        <f t="shared" ref="S25:S39" si="31">$N25^(M25^0.5)</f>
        <v>0.84664617444838175</v>
      </c>
      <c r="T25" s="296">
        <f t="shared" ref="T25:T39" si="32">O25/O7</f>
        <v>1</v>
      </c>
      <c r="U25" s="296">
        <f t="shared" ref="U25:U39" si="33">P25/P7</f>
        <v>1</v>
      </c>
      <c r="V25" s="296">
        <f t="shared" ref="V25:V39" si="34">Q25/Q7</f>
        <v>0.99747580971401284</v>
      </c>
      <c r="W25" s="296">
        <f t="shared" ref="W25:W39" si="35">R25/R7</f>
        <v>0.99660202399720599</v>
      </c>
      <c r="X25" s="328">
        <f t="shared" ref="X25:X39" si="36">S25/S7</f>
        <v>0.99478649538116815</v>
      </c>
      <c r="Y25" s="296">
        <f t="shared" ref="Y25:Y39" si="37">O25/$O25</f>
        <v>1</v>
      </c>
      <c r="Z25" s="296">
        <f t="shared" ref="Z25:Z39" si="38">P25/$O25</f>
        <v>1</v>
      </c>
      <c r="AA25" s="296">
        <f t="shared" ref="AA25:AA39" si="39">Q25/$O25</f>
        <v>0.93831874734994702</v>
      </c>
      <c r="AB25" s="296">
        <f t="shared" ref="AB25:AB39" si="40">R25/$O25</f>
        <v>0.91178710231221005</v>
      </c>
      <c r="AC25" s="328">
        <f t="shared" ref="AC25:AC39" si="41">S25/$O25</f>
        <v>0.85746216940764586</v>
      </c>
      <c r="AD25" s="333">
        <f t="shared" ref="AD25:AD39" si="42">(5-SUM(T25:X25))/5</f>
        <v>2.2271341815224945E-3</v>
      </c>
      <c r="AE25" s="334">
        <f t="shared" ref="AE25:AE39" si="43">1-AD25</f>
        <v>0.99777286581847746</v>
      </c>
      <c r="AF25" s="214">
        <f>AE25*GBDUS!K25/(Y25+Z25+AA25+AB25+AC25)</f>
        <v>0</v>
      </c>
      <c r="AG25" s="214">
        <f t="shared" ref="AG25:AG39" si="44">$AF25*Z25</f>
        <v>0</v>
      </c>
      <c r="AH25" s="214">
        <f t="shared" ref="AH25:AH39" si="45">$AF25*AA25</f>
        <v>0</v>
      </c>
      <c r="AI25" s="214">
        <f t="shared" ref="AI25:AI39" si="46">$AF25*AB25</f>
        <v>0</v>
      </c>
      <c r="AJ25" s="292">
        <f t="shared" ref="AJ25:AJ39" si="47">$AF25*AC25</f>
        <v>0</v>
      </c>
      <c r="AK25" s="301">
        <f>AE25*GBDUS!L25/(Y25+Z25+AA25+AB25+AC25)</f>
        <v>0</v>
      </c>
      <c r="AL25" s="301">
        <f t="shared" ref="AL25:AL39" si="48">$AK25*Z25</f>
        <v>0</v>
      </c>
      <c r="AM25" s="301">
        <f t="shared" ref="AM25:AM39" si="49">$AK25*AA25</f>
        <v>0</v>
      </c>
      <c r="AN25" s="301">
        <f t="shared" ref="AN25:AN39" si="50">$AK25*AB25</f>
        <v>0</v>
      </c>
      <c r="AO25" s="303">
        <f t="shared" ref="AO25:AO39" si="51">$AK25*AC25</f>
        <v>0</v>
      </c>
      <c r="AP25" s="301">
        <f>AE25*GBDUS!M25/(Y25+Z25+AA25+AB25+AC25)</f>
        <v>0</v>
      </c>
      <c r="AQ25" s="301">
        <f t="shared" ref="AQ25:AQ39" si="52">$AP25*Z25</f>
        <v>0</v>
      </c>
      <c r="AR25" s="301">
        <f t="shared" ref="AR25:AR39" si="53">$AP25*AA25</f>
        <v>0</v>
      </c>
      <c r="AS25" s="301">
        <f t="shared" ref="AS25:AS39" si="54">$AP25*AB25</f>
        <v>0</v>
      </c>
      <c r="AT25" s="303">
        <f t="shared" ref="AT25:AT39" si="55">$AP25*AC25</f>
        <v>0</v>
      </c>
      <c r="AU25" s="262">
        <f t="shared" ref="AU25:AU39" si="56">SUM(AF25:AJ25)-SUM(AF7:AJ7)</f>
        <v>0</v>
      </c>
      <c r="AV25" s="261">
        <f t="shared" ref="AV25:AV39" si="57">SUM(AK25:AO25)-SUM(AK7:AO7)</f>
        <v>0</v>
      </c>
      <c r="AW25" s="262">
        <f t="shared" ref="AW25:AW39" si="58">SUM(AP25:AT25)-SUM(AP7:AT7)</f>
        <v>0</v>
      </c>
      <c r="AX25" s="262">
        <f t="shared" ref="AX25:AX39" si="59">AV25+AW25</f>
        <v>0</v>
      </c>
    </row>
    <row r="26" spans="2:50" x14ac:dyDescent="0.2">
      <c r="B26" s="212">
        <v>1</v>
      </c>
      <c r="C26" s="325" t="s">
        <v>11</v>
      </c>
      <c r="D26" s="215">
        <f>Scenario!AL33</f>
        <v>0.58511880095294533</v>
      </c>
      <c r="E26" s="215">
        <f>Scenario!AM33</f>
        <v>1.4695852222982959</v>
      </c>
      <c r="F26" s="215">
        <f>Scenario!AN33</f>
        <v>2.7809900094728652</v>
      </c>
      <c r="G26" s="215">
        <f>Scenario!AO33</f>
        <v>5.2626450752497185</v>
      </c>
      <c r="H26" s="321">
        <f>Scenario!AP33</f>
        <v>13.217666942494709</v>
      </c>
      <c r="I26" s="218">
        <f>IF(D26+'Non-travel METs'!D27&gt;2.5, D26+'Non-travel METs'!D27, 0.1)</f>
        <v>65.462618800952939</v>
      </c>
      <c r="J26" s="218">
        <f>IF(E26+'Non-travel METs'!E27&gt;2.5, E26+'Non-travel METs'!E27, 0.1)</f>
        <v>66.34708522229829</v>
      </c>
      <c r="K26" s="218">
        <f>IF(F26+'Non-travel METs'!F27&gt;2.5, F26+'Non-travel METs'!F27, 0.1)</f>
        <v>67.658490009472857</v>
      </c>
      <c r="L26" s="218">
        <f>IF(G26+'Non-travel METs'!G27&gt;2.5, G26+'Non-travel METs'!G27, 0.1)</f>
        <v>70.14014507524972</v>
      </c>
      <c r="M26" s="223">
        <f>IF(H26+'Non-travel METs'!H27&gt;2.5, H26+'Non-travel METs'!H27, 0.1)</f>
        <v>78.0951669424947</v>
      </c>
      <c r="N26" s="268">
        <f>'Phy activity RRs'!$F$6</f>
        <v>0.96065247560449929</v>
      </c>
      <c r="O26" s="215">
        <f t="shared" si="27"/>
        <v>0.72267956557088953</v>
      </c>
      <c r="P26" s="215">
        <f t="shared" si="28"/>
        <v>0.72110096877104191</v>
      </c>
      <c r="Q26" s="215">
        <f t="shared" si="29"/>
        <v>0.71878587478457956</v>
      </c>
      <c r="R26" s="215">
        <f t="shared" si="30"/>
        <v>0.71448532729861658</v>
      </c>
      <c r="S26" s="321">
        <f t="shared" si="31"/>
        <v>0.70135175152061424</v>
      </c>
      <c r="T26" s="296">
        <f t="shared" si="32"/>
        <v>0.99990827805585147</v>
      </c>
      <c r="U26" s="296">
        <f t="shared" si="33"/>
        <v>0.99977818722474643</v>
      </c>
      <c r="V26" s="296">
        <f t="shared" si="34"/>
        <v>0.99959342334166712</v>
      </c>
      <c r="W26" s="296">
        <f t="shared" si="35"/>
        <v>0.9992611619127294</v>
      </c>
      <c r="X26" s="328">
        <f t="shared" si="36"/>
        <v>0.99829871727158004</v>
      </c>
      <c r="Y26" s="296">
        <f t="shared" si="37"/>
        <v>1</v>
      </c>
      <c r="Z26" s="296">
        <f t="shared" si="38"/>
        <v>0.99781563382299232</v>
      </c>
      <c r="AA26" s="296">
        <f t="shared" si="39"/>
        <v>0.99461214766293538</v>
      </c>
      <c r="AB26" s="296">
        <f t="shared" si="40"/>
        <v>0.98866131178650418</v>
      </c>
      <c r="AC26" s="328">
        <f t="shared" si="41"/>
        <v>0.97048786894447869</v>
      </c>
      <c r="AD26" s="333">
        <f t="shared" si="42"/>
        <v>6.3204643868512993E-4</v>
      </c>
      <c r="AE26" s="334">
        <f t="shared" si="43"/>
        <v>0.99936795356131491</v>
      </c>
      <c r="AF26" s="214">
        <f>AE26*GBDUS!K26/(Y26+Z26+AA26+AB26+AC26)</f>
        <v>0.20182821779546364</v>
      </c>
      <c r="AG26" s="214">
        <f t="shared" si="44"/>
        <v>0.2013873510629455</v>
      </c>
      <c r="AH26" s="214">
        <f t="shared" si="45"/>
        <v>0.20074079716052876</v>
      </c>
      <c r="AI26" s="214">
        <f t="shared" si="46"/>
        <v>0.19953975056119536</v>
      </c>
      <c r="AJ26" s="292">
        <f t="shared" si="47"/>
        <v>0.19587183698118163</v>
      </c>
      <c r="AK26" s="301">
        <f>AE26*GBDUS!L26/(Y26+Z26+AA26+AB26+AC26)</f>
        <v>12.342595094777559</v>
      </c>
      <c r="AL26" s="301">
        <f t="shared" si="48"/>
        <v>12.315634347516026</v>
      </c>
      <c r="AM26" s="301">
        <f t="shared" si="49"/>
        <v>12.27609501495072</v>
      </c>
      <c r="AN26" s="301">
        <f t="shared" si="50"/>
        <v>12.202646257252454</v>
      </c>
      <c r="AO26" s="303">
        <f t="shared" si="51"/>
        <v>11.97833881077525</v>
      </c>
      <c r="AP26" s="301">
        <f>AE26*GBDUS!M26/(Y26+Z26+AA26+AB26+AC26)</f>
        <v>0.28722478038009042</v>
      </c>
      <c r="AQ26" s="301">
        <f t="shared" si="52"/>
        <v>0.28659737628462967</v>
      </c>
      <c r="AR26" s="301">
        <f t="shared" si="53"/>
        <v>0.28567725567585667</v>
      </c>
      <c r="AS26" s="301">
        <f t="shared" si="54"/>
        <v>0.28396802814817074</v>
      </c>
      <c r="AT26" s="303">
        <f t="shared" si="55"/>
        <v>0.27874816501911986</v>
      </c>
      <c r="AU26" s="262">
        <f t="shared" si="56"/>
        <v>-6.320464386851965E-4</v>
      </c>
      <c r="AV26" s="261">
        <f t="shared" si="57"/>
        <v>-3.8652143684345219E-2</v>
      </c>
      <c r="AW26" s="262">
        <f t="shared" si="58"/>
        <v>-8.9947481835928045E-4</v>
      </c>
      <c r="AX26" s="262">
        <f t="shared" si="59"/>
        <v>-3.95516185027045E-2</v>
      </c>
    </row>
    <row r="27" spans="2:50" x14ac:dyDescent="0.2">
      <c r="B27" s="212">
        <v>1</v>
      </c>
      <c r="C27" s="325" t="s">
        <v>12</v>
      </c>
      <c r="D27" s="215">
        <f>Scenario!AL34</f>
        <v>0.50458791239407375</v>
      </c>
      <c r="E27" s="215">
        <f>Scenario!AM34</f>
        <v>1.2673237267320545</v>
      </c>
      <c r="F27" s="215">
        <f>Scenario!AN34</f>
        <v>2.3982376587169973</v>
      </c>
      <c r="G27" s="215">
        <f>Scenario!AO34</f>
        <v>4.5383383474713499</v>
      </c>
      <c r="H27" s="321">
        <f>Scenario!AP34</f>
        <v>11.398497122928575</v>
      </c>
      <c r="I27" s="218">
        <f>IF(D27+'Non-travel METs'!D28&gt;2.5, D27+'Non-travel METs'!D28, 0.1)</f>
        <v>68.198337912394067</v>
      </c>
      <c r="J27" s="218">
        <f>IF(E27+'Non-travel METs'!E28&gt;2.5, E27+'Non-travel METs'!E28, 0.1)</f>
        <v>68.961073726732053</v>
      </c>
      <c r="K27" s="218">
        <f>IF(F27+'Non-travel METs'!F28&gt;2.5, F27+'Non-travel METs'!F28, 0.1)</f>
        <v>70.091987658716988</v>
      </c>
      <c r="L27" s="218">
        <f>IF(G27+'Non-travel METs'!G28&gt;2.5, G27+'Non-travel METs'!G28, 0.1)</f>
        <v>72.232088347471347</v>
      </c>
      <c r="M27" s="223">
        <f>IF(H27+'Non-travel METs'!H28&gt;2.5, H27+'Non-travel METs'!H28, 0.1)</f>
        <v>79.092247122928569</v>
      </c>
      <c r="N27" s="268">
        <f>'Phy activity RRs'!$F$6</f>
        <v>0.96065247560449929</v>
      </c>
      <c r="O27" s="215">
        <f t="shared" si="27"/>
        <v>0.71784151881740865</v>
      </c>
      <c r="P27" s="215">
        <f t="shared" si="28"/>
        <v>0.71651571177381057</v>
      </c>
      <c r="Q27" s="215">
        <f t="shared" si="29"/>
        <v>0.71456780715596635</v>
      </c>
      <c r="R27" s="215">
        <f t="shared" si="30"/>
        <v>0.71093840094712812</v>
      </c>
      <c r="S27" s="321">
        <f t="shared" si="31"/>
        <v>0.69977028766454763</v>
      </c>
      <c r="T27" s="296">
        <f t="shared" si="32"/>
        <v>0.99992195596767119</v>
      </c>
      <c r="U27" s="296">
        <f t="shared" si="33"/>
        <v>0.99981100686238411</v>
      </c>
      <c r="V27" s="296">
        <f t="shared" si="34"/>
        <v>0.99965295745183169</v>
      </c>
      <c r="W27" s="296">
        <f t="shared" si="35"/>
        <v>0.99936738568527983</v>
      </c>
      <c r="X27" s="328">
        <f t="shared" si="36"/>
        <v>0.99853084169660278</v>
      </c>
      <c r="Y27" s="296">
        <f t="shared" si="37"/>
        <v>1</v>
      </c>
      <c r="Z27" s="296">
        <f t="shared" si="38"/>
        <v>0.99815306441764162</v>
      </c>
      <c r="AA27" s="296">
        <f t="shared" si="39"/>
        <v>0.9954395063873771</v>
      </c>
      <c r="AB27" s="296">
        <f t="shared" si="40"/>
        <v>0.99038350709826184</v>
      </c>
      <c r="AC27" s="328">
        <f t="shared" si="41"/>
        <v>0.97482559774108346</v>
      </c>
      <c r="AD27" s="333">
        <f t="shared" si="42"/>
        <v>5.4317046724605689E-4</v>
      </c>
      <c r="AE27" s="334">
        <f t="shared" si="43"/>
        <v>0.99945682953275394</v>
      </c>
      <c r="AF27" s="214">
        <f>AE27*GBDUS!K27/(Y27+Z27+AA27+AB27+AC27)</f>
        <v>0</v>
      </c>
      <c r="AG27" s="214">
        <f t="shared" si="44"/>
        <v>0</v>
      </c>
      <c r="AH27" s="214">
        <f t="shared" si="45"/>
        <v>0</v>
      </c>
      <c r="AI27" s="214">
        <f t="shared" si="46"/>
        <v>0</v>
      </c>
      <c r="AJ27" s="292">
        <f t="shared" si="47"/>
        <v>0</v>
      </c>
      <c r="AK27" s="301">
        <f>AE27*GBDUS!L27/(Y27+Z27+AA27+AB27+AC27)</f>
        <v>21.60561908389014</v>
      </c>
      <c r="AL27" s="301">
        <f t="shared" si="48"/>
        <v>21.565714897225224</v>
      </c>
      <c r="AM27" s="301">
        <f t="shared" si="49"/>
        <v>21.507086796061294</v>
      </c>
      <c r="AN27" s="301">
        <f t="shared" si="50"/>
        <v>21.397848801332252</v>
      </c>
      <c r="AO27" s="303">
        <f t="shared" si="51"/>
        <v>21.061710538019366</v>
      </c>
      <c r="AP27" s="301">
        <f>AE27*GBDUS!M27/(Y27+Z27+AA27+AB27+AC27)</f>
        <v>0.74526343492614366</v>
      </c>
      <c r="AQ27" s="301">
        <f t="shared" si="52"/>
        <v>0.74388698136994791</v>
      </c>
      <c r="AR27" s="301">
        <f t="shared" si="53"/>
        <v>0.74186466579144161</v>
      </c>
      <c r="AS27" s="301">
        <f t="shared" si="54"/>
        <v>0.73809661439425145</v>
      </c>
      <c r="AT27" s="303">
        <f t="shared" si="55"/>
        <v>0.72650187342645101</v>
      </c>
      <c r="AU27" s="262">
        <f t="shared" si="56"/>
        <v>0</v>
      </c>
      <c r="AV27" s="261">
        <f t="shared" si="57"/>
        <v>-5.8225813261898907E-2</v>
      </c>
      <c r="AW27" s="262">
        <f t="shared" si="58"/>
        <v>-2.0084390743182468E-3</v>
      </c>
      <c r="AX27" s="262">
        <f t="shared" si="59"/>
        <v>-6.0234252336217153E-2</v>
      </c>
    </row>
    <row r="28" spans="2:50" x14ac:dyDescent="0.2">
      <c r="B28" s="212">
        <v>1</v>
      </c>
      <c r="C28" s="325" t="s">
        <v>13</v>
      </c>
      <c r="D28" s="215">
        <f>Scenario!AL35</f>
        <v>0.42323926090175956</v>
      </c>
      <c r="E28" s="215">
        <f>Scenario!AM35</f>
        <v>1.0630083366056431</v>
      </c>
      <c r="F28" s="215">
        <f>Scenario!AN35</f>
        <v>2.011598592059475</v>
      </c>
      <c r="G28" s="215">
        <f>Scenario!AO35</f>
        <v>3.8066765388659869</v>
      </c>
      <c r="H28" s="321">
        <f>Scenario!AP35</f>
        <v>9.5608542717754226</v>
      </c>
      <c r="I28" s="218">
        <f>IF(D28+'Non-travel METs'!D29&gt;2.5, D28+'Non-travel METs'!D29, 0.1)</f>
        <v>58.198239260901758</v>
      </c>
      <c r="J28" s="218">
        <f>IF(E28+'Non-travel METs'!E29&gt;2.5, E28+'Non-travel METs'!E29, 0.1)</f>
        <v>58.83800833660564</v>
      </c>
      <c r="K28" s="218">
        <f>IF(F28+'Non-travel METs'!F29&gt;2.5, F28+'Non-travel METs'!F29, 0.1)</f>
        <v>59.786598592059477</v>
      </c>
      <c r="L28" s="218">
        <f>IF(G28+'Non-travel METs'!G29&gt;2.5, G28+'Non-travel METs'!G29, 0.1)</f>
        <v>61.581676538865985</v>
      </c>
      <c r="M28" s="223">
        <f>IF(H28+'Non-travel METs'!H29&gt;2.5, H28+'Non-travel METs'!H29, 0.1)</f>
        <v>67.335854271775418</v>
      </c>
      <c r="N28" s="268">
        <f>'Phy activity RRs'!$F$6</f>
        <v>0.96065247560449929</v>
      </c>
      <c r="O28" s="215">
        <f t="shared" si="27"/>
        <v>0.73621089029587417</v>
      </c>
      <c r="P28" s="215">
        <f t="shared" si="28"/>
        <v>0.73497610186068918</v>
      </c>
      <c r="Q28" s="215">
        <f t="shared" si="29"/>
        <v>0.73316133292788599</v>
      </c>
      <c r="R28" s="215">
        <f t="shared" si="30"/>
        <v>0.72977812814756293</v>
      </c>
      <c r="S28" s="321">
        <f t="shared" si="31"/>
        <v>0.71935265646174029</v>
      </c>
      <c r="T28" s="296">
        <f t="shared" si="32"/>
        <v>0.99994055474899535</v>
      </c>
      <c r="U28" s="296">
        <f t="shared" si="33"/>
        <v>0.99985696562968385</v>
      </c>
      <c r="V28" s="296">
        <f t="shared" si="34"/>
        <v>0.99973857134867627</v>
      </c>
      <c r="W28" s="296">
        <f t="shared" si="35"/>
        <v>0.99952573989644911</v>
      </c>
      <c r="X28" s="328">
        <f t="shared" si="36"/>
        <v>0.99890644345668966</v>
      </c>
      <c r="Y28" s="296">
        <f t="shared" si="37"/>
        <v>1</v>
      </c>
      <c r="Z28" s="296">
        <f t="shared" si="38"/>
        <v>0.99832277890552701</v>
      </c>
      <c r="AA28" s="296">
        <f t="shared" si="39"/>
        <v>0.99585776656093394</v>
      </c>
      <c r="AB28" s="296">
        <f t="shared" si="40"/>
        <v>0.99126233769005234</v>
      </c>
      <c r="AC28" s="328">
        <f t="shared" si="41"/>
        <v>0.97710135226693162</v>
      </c>
      <c r="AD28" s="333">
        <f t="shared" si="42"/>
        <v>4.0634498390108577E-4</v>
      </c>
      <c r="AE28" s="334">
        <f t="shared" si="43"/>
        <v>0.99959365501609887</v>
      </c>
      <c r="AF28" s="214">
        <f>AE28*GBDUS!K28/(Y28+Z28+AA28+AB28+AC28)</f>
        <v>4.2299807839490047</v>
      </c>
      <c r="AG28" s="214">
        <f t="shared" si="44"/>
        <v>4.22288617094895</v>
      </c>
      <c r="AH28" s="214">
        <f t="shared" si="45"/>
        <v>4.2124592160991243</v>
      </c>
      <c r="AI28" s="214">
        <f t="shared" si="46"/>
        <v>4.1930206402812908</v>
      </c>
      <c r="AJ28" s="292">
        <f t="shared" si="47"/>
        <v>4.1331199440597084</v>
      </c>
      <c r="AK28" s="301">
        <f>AE28*GBDUS!L28/(Y28+Z28+AA28+AB28+AC28)</f>
        <v>140.80544548575043</v>
      </c>
      <c r="AL28" s="301">
        <f t="shared" si="48"/>
        <v>140.56928362236505</v>
      </c>
      <c r="AM28" s="301">
        <f t="shared" si="49"/>
        <v>140.22219646105677</v>
      </c>
      <c r="AN28" s="301">
        <f t="shared" si="50"/>
        <v>139.57513505169419</v>
      </c>
      <c r="AO28" s="303">
        <f t="shared" si="51"/>
        <v>137.58119119067447</v>
      </c>
      <c r="AP28" s="301">
        <f>AE28*GBDUS!M28/(Y28+Z28+AA28+AB28+AC28)</f>
        <v>6.4436725637576417</v>
      </c>
      <c r="AQ28" s="301">
        <f t="shared" si="52"/>
        <v>6.432865100207831</v>
      </c>
      <c r="AR28" s="301">
        <f t="shared" si="53"/>
        <v>6.4169813677936522</v>
      </c>
      <c r="AS28" s="301">
        <f t="shared" si="54"/>
        <v>6.3873699288596528</v>
      </c>
      <c r="AT28" s="303">
        <f t="shared" si="55"/>
        <v>6.2961211756129183</v>
      </c>
      <c r="AU28" s="262">
        <f t="shared" si="56"/>
        <v>-8.5332446619226232E-3</v>
      </c>
      <c r="AV28" s="261">
        <f t="shared" si="57"/>
        <v>-0.28405030127328246</v>
      </c>
      <c r="AW28" s="262">
        <f t="shared" si="58"/>
        <v>-1.2998979739226257E-2</v>
      </c>
      <c r="AX28" s="262">
        <f t="shared" si="59"/>
        <v>-0.29704928101250871</v>
      </c>
    </row>
    <row r="29" spans="2:50" x14ac:dyDescent="0.2">
      <c r="B29" s="212">
        <v>1</v>
      </c>
      <c r="C29" s="325" t="s">
        <v>14</v>
      </c>
      <c r="D29" s="215">
        <f>Scenario!AL36</f>
        <v>0.34527632259518459</v>
      </c>
      <c r="E29" s="215">
        <f>Scenario!AM36</f>
        <v>0.86719650858764341</v>
      </c>
      <c r="F29" s="215">
        <f>Scenario!AN36</f>
        <v>1.641051359281066</v>
      </c>
      <c r="G29" s="215">
        <f>Scenario!AO36</f>
        <v>3.1054663356339605</v>
      </c>
      <c r="H29" s="321">
        <f>Scenario!AP36</f>
        <v>7.7996937164894184</v>
      </c>
      <c r="I29" s="218">
        <f>IF(D29+'Non-travel METs'!D30&gt;2.5, D29+'Non-travel METs'!D30, 0.1)</f>
        <v>23.428609655928486</v>
      </c>
      <c r="J29" s="218">
        <f>IF(E29+'Non-travel METs'!E30&gt;2.5, E29+'Non-travel METs'!E30, 0.1)</f>
        <v>23.950529841920943</v>
      </c>
      <c r="K29" s="218">
        <f>IF(F29+'Non-travel METs'!F30&gt;2.5, F29+'Non-travel METs'!F30, 0.1)</f>
        <v>24.724384692614365</v>
      </c>
      <c r="L29" s="218">
        <f>IF(G29+'Non-travel METs'!G30&gt;2.5, G29+'Non-travel METs'!G30, 0.1)</f>
        <v>26.18879966896726</v>
      </c>
      <c r="M29" s="223">
        <f>IF(H29+'Non-travel METs'!H30&gt;2.5, H29+'Non-travel METs'!H30, 0.1)</f>
        <v>30.883027049822719</v>
      </c>
      <c r="N29" s="268">
        <f>'Phy activity RRs'!$F$6</f>
        <v>0.96065247560449929</v>
      </c>
      <c r="O29" s="215">
        <f t="shared" si="27"/>
        <v>0.82340879623609853</v>
      </c>
      <c r="P29" s="215">
        <f t="shared" si="28"/>
        <v>0.82163846139782382</v>
      </c>
      <c r="Q29" s="215">
        <f t="shared" si="29"/>
        <v>0.81905555910910299</v>
      </c>
      <c r="R29" s="215">
        <f t="shared" si="30"/>
        <v>0.81429746642624523</v>
      </c>
      <c r="S29" s="321">
        <f t="shared" si="31"/>
        <v>0.80004903612561418</v>
      </c>
      <c r="T29" s="296">
        <f t="shared" si="32"/>
        <v>0.99991291341668975</v>
      </c>
      <c r="U29" s="296">
        <f t="shared" si="33"/>
        <v>0.99979055496359437</v>
      </c>
      <c r="V29" s="296">
        <f t="shared" si="34"/>
        <v>0.99961874441276011</v>
      </c>
      <c r="W29" s="296">
        <f t="shared" si="35"/>
        <v>0.99931511974451226</v>
      </c>
      <c r="X29" s="328">
        <f t="shared" si="36"/>
        <v>0.99846919325423023</v>
      </c>
      <c r="Y29" s="296">
        <f t="shared" si="37"/>
        <v>1</v>
      </c>
      <c r="Z29" s="296">
        <f t="shared" si="38"/>
        <v>0.99784999280264297</v>
      </c>
      <c r="AA29" s="296">
        <f t="shared" si="39"/>
        <v>0.99471315202497868</v>
      </c>
      <c r="AB29" s="296">
        <f t="shared" si="40"/>
        <v>0.9889346217194882</v>
      </c>
      <c r="AC29" s="328">
        <f t="shared" si="41"/>
        <v>0.9716304219516908</v>
      </c>
      <c r="AD29" s="333">
        <f t="shared" si="42"/>
        <v>5.7869484164267963E-4</v>
      </c>
      <c r="AE29" s="334">
        <f t="shared" si="43"/>
        <v>0.99942130515835736</v>
      </c>
      <c r="AF29" s="214">
        <f>AE29*GBDUS!K29/(Y29+Z29+AA29+AB29+AC29)</f>
        <v>2.2195335832957501</v>
      </c>
      <c r="AG29" s="214">
        <f t="shared" si="44"/>
        <v>2.2147615701168886</v>
      </c>
      <c r="AH29" s="214">
        <f t="shared" si="45"/>
        <v>2.2077992466654113</v>
      </c>
      <c r="AI29" s="214">
        <f t="shared" si="46"/>
        <v>2.1949736045902828</v>
      </c>
      <c r="AJ29" s="292">
        <f t="shared" si="47"/>
        <v>2.156566352073598</v>
      </c>
      <c r="AK29" s="301">
        <f>AE29*GBDUS!L29/(Y29+Z29+AA29+AB29+AC29)</f>
        <v>51.387346068188172</v>
      </c>
      <c r="AL29" s="301">
        <f t="shared" si="48"/>
        <v>51.276862904288492</v>
      </c>
      <c r="AM29" s="301">
        <f t="shared" si="49"/>
        <v>51.11566898168585</v>
      </c>
      <c r="AN29" s="301">
        <f t="shared" si="50"/>
        <v>50.818725645112103</v>
      </c>
      <c r="AO29" s="303">
        <f t="shared" si="51"/>
        <v>49.929508743211237</v>
      </c>
      <c r="AP29" s="301">
        <f>AE29*GBDUS!M29/(Y29+Z29+AA29+AB29+AC29)</f>
        <v>2.8983971875555974</v>
      </c>
      <c r="AQ29" s="301">
        <f t="shared" si="52"/>
        <v>2.8921656127415534</v>
      </c>
      <c r="AR29" s="301">
        <f t="shared" si="53"/>
        <v>2.8830738022537616</v>
      </c>
      <c r="AS29" s="301">
        <f t="shared" si="54"/>
        <v>2.8663253262681234</v>
      </c>
      <c r="AT29" s="303">
        <f t="shared" si="55"/>
        <v>2.816170882328239</v>
      </c>
      <c r="AU29" s="262">
        <f t="shared" si="56"/>
        <v>-6.3656432580678768E-3</v>
      </c>
      <c r="AV29" s="261">
        <f t="shared" si="57"/>
        <v>-0.14737939336032468</v>
      </c>
      <c r="AW29" s="262">
        <f t="shared" si="58"/>
        <v>-8.3126304801268702E-3</v>
      </c>
      <c r="AX29" s="262">
        <f t="shared" si="59"/>
        <v>-0.15569202384045155</v>
      </c>
    </row>
    <row r="30" spans="2:50" x14ac:dyDescent="0.2">
      <c r="B30" s="212">
        <v>1</v>
      </c>
      <c r="C30" s="325" t="s">
        <v>15</v>
      </c>
      <c r="D30" s="215">
        <f>Scenario!AL37</f>
        <v>0.19932213747057709</v>
      </c>
      <c r="E30" s="215">
        <f>Scenario!AM37</f>
        <v>0.50061776724078633</v>
      </c>
      <c r="F30" s="215">
        <f>Scenario!AN37</f>
        <v>0.94735098593598122</v>
      </c>
      <c r="G30" s="215">
        <f>Scenario!AO37</f>
        <v>1.7927327979196748</v>
      </c>
      <c r="H30" s="321">
        <f>Scenario!AP37</f>
        <v>4.5026302745040336</v>
      </c>
      <c r="I30" s="218">
        <f>IF(D30+'Non-travel METs'!D31&gt;2.5, D30+'Non-travel METs'!D31, 0.1)</f>
        <v>0.1</v>
      </c>
      <c r="J30" s="218">
        <f>IF(E30+'Non-travel METs'!E31&gt;2.5, E30+'Non-travel METs'!E31, 0.1)</f>
        <v>0.1</v>
      </c>
      <c r="K30" s="218">
        <f>IF(F30+'Non-travel METs'!F31&gt;2.5, F30+'Non-travel METs'!F31, 0.1)</f>
        <v>2.822350985935981</v>
      </c>
      <c r="L30" s="218">
        <f>IF(G30+'Non-travel METs'!G31&gt;2.5, G30+'Non-travel METs'!G31, 0.1)</f>
        <v>3.6677327979196748</v>
      </c>
      <c r="M30" s="223">
        <f>IF(H30+'Non-travel METs'!H31&gt;2.5, H30+'Non-travel METs'!H31, 0.1)</f>
        <v>6.3776302745040336</v>
      </c>
      <c r="N30" s="268">
        <f>'Phy activity RRs'!$F$6</f>
        <v>0.96065247560449929</v>
      </c>
      <c r="O30" s="215">
        <f t="shared" si="27"/>
        <v>0.98738603830564786</v>
      </c>
      <c r="P30" s="215">
        <f t="shared" si="28"/>
        <v>0.98738603830564786</v>
      </c>
      <c r="Q30" s="215">
        <f t="shared" si="29"/>
        <v>0.93478481482072595</v>
      </c>
      <c r="R30" s="215">
        <f t="shared" si="30"/>
        <v>0.92600251273265444</v>
      </c>
      <c r="S30" s="321">
        <f t="shared" si="31"/>
        <v>0.90359329833287638</v>
      </c>
      <c r="T30" s="296">
        <f t="shared" si="32"/>
        <v>1</v>
      </c>
      <c r="U30" s="296">
        <f t="shared" si="33"/>
        <v>1</v>
      </c>
      <c r="V30" s="296">
        <f t="shared" si="34"/>
        <v>0.99936163224410046</v>
      </c>
      <c r="W30" s="296">
        <f t="shared" si="35"/>
        <v>0.99896402710589594</v>
      </c>
      <c r="X30" s="328">
        <f t="shared" si="36"/>
        <v>0.99809318870988706</v>
      </c>
      <c r="Y30" s="296">
        <f t="shared" si="37"/>
        <v>1</v>
      </c>
      <c r="Z30" s="296">
        <f t="shared" si="38"/>
        <v>1</v>
      </c>
      <c r="AA30" s="296">
        <f t="shared" si="39"/>
        <v>0.94672679028844131</v>
      </c>
      <c r="AB30" s="296">
        <f t="shared" si="40"/>
        <v>0.93783229335678331</v>
      </c>
      <c r="AC30" s="328">
        <f t="shared" si="41"/>
        <v>0.91513679885877297</v>
      </c>
      <c r="AD30" s="333">
        <f t="shared" si="42"/>
        <v>7.162303880233978E-4</v>
      </c>
      <c r="AE30" s="334">
        <f t="shared" si="43"/>
        <v>0.99928376961197662</v>
      </c>
      <c r="AF30" s="214">
        <f>AE30*GBDUS!K30/(Y30+Z30+AA30+AB30+AC30)</f>
        <v>4.3721435014969474</v>
      </c>
      <c r="AG30" s="214">
        <f t="shared" si="44"/>
        <v>4.3721435014969474</v>
      </c>
      <c r="AH30" s="214">
        <f t="shared" si="45"/>
        <v>4.139225383852672</v>
      </c>
      <c r="AI30" s="214">
        <f t="shared" si="46"/>
        <v>4.1003373668938385</v>
      </c>
      <c r="AJ30" s="292">
        <f t="shared" si="47"/>
        <v>4.0011094081111036</v>
      </c>
      <c r="AK30" s="301">
        <f>AE30*GBDUS!L30/(Y30+Z30+AA30+AB30+AC30)</f>
        <v>64.599206779105913</v>
      </c>
      <c r="AL30" s="301">
        <f t="shared" si="48"/>
        <v>64.599206779105913</v>
      </c>
      <c r="AM30" s="301">
        <f t="shared" si="49"/>
        <v>61.15779968916226</v>
      </c>
      <c r="AN30" s="301">
        <f t="shared" si="50"/>
        <v>60.583222242677962</v>
      </c>
      <c r="AO30" s="303">
        <f t="shared" si="51"/>
        <v>59.117111300646933</v>
      </c>
      <c r="AP30" s="301">
        <f>AE30*GBDUS!M30/(Y30+Z30+AA30+AB30+AC30)</f>
        <v>4.9263520384132038</v>
      </c>
      <c r="AQ30" s="301">
        <f t="shared" si="52"/>
        <v>4.9263520384132038</v>
      </c>
      <c r="AR30" s="301">
        <f t="shared" si="53"/>
        <v>4.6639094531578529</v>
      </c>
      <c r="AS30" s="301">
        <f t="shared" si="54"/>
        <v>4.6200920300679194</v>
      </c>
      <c r="AT30" s="303">
        <f t="shared" si="55"/>
        <v>4.5082860344848505</v>
      </c>
      <c r="AU30" s="262">
        <f t="shared" si="56"/>
        <v>-1.5040838148497215E-2</v>
      </c>
      <c r="AV30" s="261">
        <f t="shared" si="57"/>
        <v>-0.22223108947650871</v>
      </c>
      <c r="AW30" s="262">
        <f t="shared" si="58"/>
        <v>-1.6947399747262892E-2</v>
      </c>
      <c r="AX30" s="262">
        <f t="shared" si="59"/>
        <v>-0.23917848922377161</v>
      </c>
    </row>
    <row r="31" spans="2:50" x14ac:dyDescent="0.2">
      <c r="B31" s="319">
        <v>1</v>
      </c>
      <c r="C31" s="326" t="s">
        <v>16</v>
      </c>
      <c r="D31" s="320">
        <f>Scenario!AL38</f>
        <v>0.19126931777272674</v>
      </c>
      <c r="E31" s="320">
        <f>Scenario!AM38</f>
        <v>0.48039229370187442</v>
      </c>
      <c r="F31" s="320">
        <f>Scenario!AN38</f>
        <v>0.909077030131903</v>
      </c>
      <c r="G31" s="320">
        <f>Scenario!AO38</f>
        <v>1.7203045459890483</v>
      </c>
      <c r="H31" s="322">
        <f>Scenario!AP38</f>
        <v>4.3207193727507578</v>
      </c>
      <c r="I31" s="230">
        <f>IF(D31+'Non-travel METs'!D32&gt;2.5, D31+'Non-travel METs'!D32, 0.1)</f>
        <v>0.1</v>
      </c>
      <c r="J31" s="228">
        <f>IF(E31+'Non-travel METs'!E32&gt;2.5, E31+'Non-travel METs'!E32, 0.1)</f>
        <v>0.1</v>
      </c>
      <c r="K31" s="228">
        <f>IF(F31+'Non-travel METs'!F32&gt;2.5, F31+'Non-travel METs'!F32, 0.1)</f>
        <v>0.1</v>
      </c>
      <c r="L31" s="228">
        <f>IF(G31+'Non-travel METs'!G32&gt;2.5, G31+'Non-travel METs'!G32, 0.1)</f>
        <v>0.1</v>
      </c>
      <c r="M31" s="229">
        <f>IF(H31+'Non-travel METs'!H32&gt;2.5, H31+'Non-travel METs'!H32, 0.1)</f>
        <v>4.6540527060840908</v>
      </c>
      <c r="N31" s="268">
        <f>'Phy activity RRs'!$F$6</f>
        <v>0.96065247560449929</v>
      </c>
      <c r="O31" s="327">
        <f t="shared" si="27"/>
        <v>0.98738603830564786</v>
      </c>
      <c r="P31" s="320">
        <f t="shared" si="28"/>
        <v>0.98738603830564786</v>
      </c>
      <c r="Q31" s="320">
        <f t="shared" si="29"/>
        <v>0.98738603830564786</v>
      </c>
      <c r="R31" s="320">
        <f t="shared" si="30"/>
        <v>0.98738603830564786</v>
      </c>
      <c r="S31" s="322">
        <f t="shared" si="31"/>
        <v>0.91704331729144284</v>
      </c>
      <c r="T31" s="329">
        <f t="shared" si="32"/>
        <v>1</v>
      </c>
      <c r="U31" s="330">
        <f t="shared" si="33"/>
        <v>1</v>
      </c>
      <c r="V31" s="330">
        <f t="shared" si="34"/>
        <v>1</v>
      </c>
      <c r="W31" s="330">
        <f t="shared" si="35"/>
        <v>1</v>
      </c>
      <c r="X31" s="331">
        <f t="shared" si="36"/>
        <v>0.99656526674363788</v>
      </c>
      <c r="Y31" s="329">
        <f t="shared" si="37"/>
        <v>1</v>
      </c>
      <c r="Z31" s="330">
        <f t="shared" si="38"/>
        <v>1</v>
      </c>
      <c r="AA31" s="330">
        <f t="shared" si="39"/>
        <v>1</v>
      </c>
      <c r="AB31" s="330">
        <f t="shared" si="40"/>
        <v>1</v>
      </c>
      <c r="AC31" s="331">
        <f t="shared" si="41"/>
        <v>0.928758643240578</v>
      </c>
      <c r="AD31" s="332">
        <f t="shared" si="42"/>
        <v>6.8694665127235768E-4</v>
      </c>
      <c r="AE31" s="334">
        <f t="shared" si="43"/>
        <v>0.99931305334872766</v>
      </c>
      <c r="AF31" s="293">
        <f>AE31*GBDUS!K31/(Y31+Z31+AA31+AB31+AC31)</f>
        <v>3.2440234977842475</v>
      </c>
      <c r="AG31" s="294">
        <f t="shared" si="44"/>
        <v>3.2440234977842475</v>
      </c>
      <c r="AH31" s="294">
        <f t="shared" si="45"/>
        <v>3.2440234977842475</v>
      </c>
      <c r="AI31" s="294">
        <f t="shared" si="46"/>
        <v>3.2440234977842475</v>
      </c>
      <c r="AJ31" s="295">
        <f t="shared" si="47"/>
        <v>3.0129148624426518</v>
      </c>
      <c r="AK31" s="304">
        <f>AE31*GBDUS!L31/(Y31+Z31+AA31+AB31+AC31)</f>
        <v>20.64876901214728</v>
      </c>
      <c r="AL31" s="305">
        <f t="shared" si="48"/>
        <v>20.64876901214728</v>
      </c>
      <c r="AM31" s="305">
        <f t="shared" si="49"/>
        <v>20.64876901214728</v>
      </c>
      <c r="AN31" s="305">
        <f t="shared" si="50"/>
        <v>20.64876901214728</v>
      </c>
      <c r="AO31" s="306">
        <f t="shared" si="51"/>
        <v>19.177722692309999</v>
      </c>
      <c r="AP31" s="304">
        <f>AE31*GBDUS!M31/(Y31+Z31+AA31+AB31+AC31)</f>
        <v>2.6847079532865501</v>
      </c>
      <c r="AQ31" s="305">
        <f t="shared" si="52"/>
        <v>2.6847079532865501</v>
      </c>
      <c r="AR31" s="305">
        <f t="shared" si="53"/>
        <v>2.6847079532865501</v>
      </c>
      <c r="AS31" s="305">
        <f t="shared" si="54"/>
        <v>2.6847079532865501</v>
      </c>
      <c r="AT31" s="306">
        <f t="shared" si="55"/>
        <v>2.4934457161916055</v>
      </c>
      <c r="AU31" s="287">
        <f t="shared" si="56"/>
        <v>-1.0991146420359144E-2</v>
      </c>
      <c r="AV31" s="265">
        <f t="shared" si="57"/>
        <v>-6.9960542446025897E-2</v>
      </c>
      <c r="AW31" s="264">
        <f t="shared" si="58"/>
        <v>-9.096117284794758E-3</v>
      </c>
      <c r="AX31" s="264">
        <f t="shared" si="59"/>
        <v>-7.9056659730820655E-2</v>
      </c>
    </row>
    <row r="32" spans="2:50" x14ac:dyDescent="0.2">
      <c r="B32" s="212">
        <v>2</v>
      </c>
      <c r="C32" s="325" t="s">
        <v>9</v>
      </c>
      <c r="D32" s="215">
        <f>Scenario!AL39</f>
        <v>0.67806159555829848</v>
      </c>
      <c r="E32" s="215">
        <f>Scenario!AM39</f>
        <v>1.703020478948196</v>
      </c>
      <c r="F32" s="215">
        <f>Scenario!AN39</f>
        <v>3.2227344600511354</v>
      </c>
      <c r="G32" s="369">
        <f>Scenario!AO39</f>
        <v>6.0985863225882078</v>
      </c>
      <c r="H32" s="321">
        <f>Scenario!AP39</f>
        <v>15.317218181999392</v>
      </c>
      <c r="I32" s="218">
        <f>IF(D32+'Non-travel METs'!D33&gt;2.5, D32+'Non-travel METs'!D33, 0.1)</f>
        <v>0.1</v>
      </c>
      <c r="J32" s="218">
        <f>IF(E32+'Non-travel METs'!E33&gt;2.5, E32+'Non-travel METs'!E33, 0.1)</f>
        <v>0.1</v>
      </c>
      <c r="K32" s="218">
        <f>IF(F32+'Non-travel METs'!F33&gt;2.5, F32+'Non-travel METs'!F33, 0.1)</f>
        <v>3.2227344600511354</v>
      </c>
      <c r="L32" s="218">
        <f>IF(G32+'Non-travel METs'!G33&gt;2.5, G32+'Non-travel METs'!G33, 0.1)</f>
        <v>6.0985863225882078</v>
      </c>
      <c r="M32" s="223">
        <f>IF(H32+'Non-travel METs'!H33&gt;2.5, H32+'Non-travel METs'!H33, 0.1)</f>
        <v>15.317218181999392</v>
      </c>
      <c r="N32" s="374">
        <f>'Phy activity RRs'!$F$7</f>
        <v>0.97288384048792509</v>
      </c>
      <c r="O32" s="214">
        <f t="shared" si="27"/>
        <v>0.99134439051762713</v>
      </c>
      <c r="P32" s="214">
        <f t="shared" si="28"/>
        <v>0.99134439051762713</v>
      </c>
      <c r="Q32" s="214">
        <f t="shared" si="29"/>
        <v>0.95184693880927229</v>
      </c>
      <c r="R32" s="214">
        <f t="shared" si="30"/>
        <v>0.93436430116104785</v>
      </c>
      <c r="S32" s="292">
        <f t="shared" si="31"/>
        <v>0.89799524281115939</v>
      </c>
      <c r="T32" s="296">
        <f t="shared" si="32"/>
        <v>1</v>
      </c>
      <c r="U32" s="296">
        <f t="shared" si="33"/>
        <v>1</v>
      </c>
      <c r="V32" s="296">
        <f t="shared" si="34"/>
        <v>0.99794461769382981</v>
      </c>
      <c r="W32" s="296">
        <f t="shared" si="35"/>
        <v>0.99722026160718202</v>
      </c>
      <c r="X32" s="328">
        <f t="shared" si="36"/>
        <v>0.99570484709427265</v>
      </c>
      <c r="Y32" s="296">
        <f t="shared" si="37"/>
        <v>1</v>
      </c>
      <c r="Z32" s="296">
        <f t="shared" si="38"/>
        <v>1</v>
      </c>
      <c r="AA32" s="296">
        <f t="shared" si="39"/>
        <v>0.96015768880506669</v>
      </c>
      <c r="AB32" s="296">
        <f t="shared" si="40"/>
        <v>0.94252240704481383</v>
      </c>
      <c r="AC32" s="328">
        <f t="shared" si="41"/>
        <v>0.90583580378386386</v>
      </c>
      <c r="AD32" s="371">
        <f t="shared" si="42"/>
        <v>1.8260547209431265E-3</v>
      </c>
      <c r="AE32" s="336">
        <f t="shared" si="43"/>
        <v>0.9981739452790569</v>
      </c>
      <c r="AF32" s="214">
        <f>AE32*GBDUS!K32/(Y32+Z32+AA32+AB32+AC32)</f>
        <v>0</v>
      </c>
      <c r="AG32" s="214">
        <f t="shared" si="44"/>
        <v>0</v>
      </c>
      <c r="AH32" s="214">
        <f t="shared" si="45"/>
        <v>0</v>
      </c>
      <c r="AI32" s="214">
        <f t="shared" si="46"/>
        <v>0</v>
      </c>
      <c r="AJ32" s="292">
        <f t="shared" si="47"/>
        <v>0</v>
      </c>
      <c r="AK32" s="301">
        <f>AE32*GBDUS!L32/(Y32+Z32+AA32+AB32+AC32)</f>
        <v>0</v>
      </c>
      <c r="AL32" s="301">
        <f t="shared" si="48"/>
        <v>0</v>
      </c>
      <c r="AM32" s="301">
        <f t="shared" si="49"/>
        <v>0</v>
      </c>
      <c r="AN32" s="301">
        <f t="shared" si="50"/>
        <v>0</v>
      </c>
      <c r="AO32" s="303">
        <f t="shared" si="51"/>
        <v>0</v>
      </c>
      <c r="AP32" s="301">
        <f>AE32*GBDUS!M32/(Y32+Z32+AA32+AB32+AC32)</f>
        <v>0</v>
      </c>
      <c r="AQ32" s="301">
        <f t="shared" si="52"/>
        <v>0</v>
      </c>
      <c r="AR32" s="301">
        <f t="shared" si="53"/>
        <v>0</v>
      </c>
      <c r="AS32" s="301">
        <f t="shared" si="54"/>
        <v>0</v>
      </c>
      <c r="AT32" s="303">
        <f t="shared" si="55"/>
        <v>0</v>
      </c>
      <c r="AU32" s="262">
        <f t="shared" si="56"/>
        <v>0</v>
      </c>
      <c r="AV32" s="261">
        <f t="shared" si="57"/>
        <v>0</v>
      </c>
      <c r="AW32" s="262">
        <f t="shared" si="58"/>
        <v>0</v>
      </c>
      <c r="AX32" s="262">
        <f t="shared" si="59"/>
        <v>0</v>
      </c>
    </row>
    <row r="33" spans="2:50" x14ac:dyDescent="0.2">
      <c r="B33" s="212">
        <v>2</v>
      </c>
      <c r="C33" s="325" t="s">
        <v>10</v>
      </c>
      <c r="D33" s="215">
        <f>Scenario!AL40</f>
        <v>0.49823535606718694</v>
      </c>
      <c r="E33" s="215">
        <f>Scenario!AM40</f>
        <v>1.2513686371218657</v>
      </c>
      <c r="F33" s="215">
        <f>Scenario!AN40</f>
        <v>2.3680448232604823</v>
      </c>
      <c r="G33" s="215">
        <f>Scenario!AO40</f>
        <v>4.4812025158855429</v>
      </c>
      <c r="H33" s="321">
        <f>Scenario!AP40</f>
        <v>11.254994686114927</v>
      </c>
      <c r="I33" s="218">
        <f>IF(D33+'Non-travel METs'!D34&gt;2.5, D33+'Non-travel METs'!D34, 0.1)</f>
        <v>0.1</v>
      </c>
      <c r="J33" s="218">
        <f>IF(E33+'Non-travel METs'!E34&gt;2.5, E33+'Non-travel METs'!E34, 0.1)</f>
        <v>0.1</v>
      </c>
      <c r="K33" s="218">
        <f>IF(F33+'Non-travel METs'!F34&gt;2.5, F33+'Non-travel METs'!F34, 0.1)</f>
        <v>0.1</v>
      </c>
      <c r="L33" s="218">
        <f>IF(G33+'Non-travel METs'!G34&gt;2.5, G33+'Non-travel METs'!G34, 0.1)</f>
        <v>4.4812025158855429</v>
      </c>
      <c r="M33" s="223">
        <f>IF(H33+'Non-travel METs'!H34&gt;2.5, H33+'Non-travel METs'!H34, 0.1)</f>
        <v>11.254994686114927</v>
      </c>
      <c r="N33" s="268">
        <f>'Phy activity RRs'!$F$7</f>
        <v>0.97288384048792509</v>
      </c>
      <c r="O33" s="214">
        <f t="shared" si="27"/>
        <v>0.99134439051762713</v>
      </c>
      <c r="P33" s="214">
        <f t="shared" si="28"/>
        <v>0.99134439051762713</v>
      </c>
      <c r="Q33" s="214">
        <f t="shared" si="29"/>
        <v>0.99134439051762713</v>
      </c>
      <c r="R33" s="214">
        <f t="shared" si="30"/>
        <v>0.9434665070196353</v>
      </c>
      <c r="S33" s="292">
        <f t="shared" si="31"/>
        <v>0.91189840114171428</v>
      </c>
      <c r="T33" s="296">
        <f t="shared" si="32"/>
        <v>1</v>
      </c>
      <c r="U33" s="296">
        <f t="shared" si="33"/>
        <v>1</v>
      </c>
      <c r="V33" s="296">
        <f t="shared" si="34"/>
        <v>1</v>
      </c>
      <c r="W33" s="296">
        <f t="shared" si="35"/>
        <v>0.99788925443804277</v>
      </c>
      <c r="X33" s="328">
        <f t="shared" si="36"/>
        <v>0.99674887357202324</v>
      </c>
      <c r="Y33" s="296">
        <f t="shared" si="37"/>
        <v>1</v>
      </c>
      <c r="Z33" s="296">
        <f t="shared" si="38"/>
        <v>1</v>
      </c>
      <c r="AA33" s="296">
        <f t="shared" si="39"/>
        <v>1</v>
      </c>
      <c r="AB33" s="296">
        <f t="shared" si="40"/>
        <v>0.95170408593022593</v>
      </c>
      <c r="AC33" s="328">
        <f t="shared" si="41"/>
        <v>0.91986035313678394</v>
      </c>
      <c r="AD33" s="371">
        <f t="shared" si="42"/>
        <v>1.0723743979868417E-3</v>
      </c>
      <c r="AE33" s="334">
        <f t="shared" si="43"/>
        <v>0.9989276256020132</v>
      </c>
      <c r="AF33" s="214">
        <f>AE33*GBDUS!K33/(Y33+Z33+AA33+AB33+AC33)</f>
        <v>0</v>
      </c>
      <c r="AG33" s="214">
        <f t="shared" si="44"/>
        <v>0</v>
      </c>
      <c r="AH33" s="214">
        <f t="shared" si="45"/>
        <v>0</v>
      </c>
      <c r="AI33" s="214">
        <f t="shared" si="46"/>
        <v>0</v>
      </c>
      <c r="AJ33" s="292">
        <f t="shared" si="47"/>
        <v>0</v>
      </c>
      <c r="AK33" s="301">
        <f>AE33*GBDUS!L33/(Y33+Z33+AA33+AB33+AC33)</f>
        <v>0</v>
      </c>
      <c r="AL33" s="301">
        <f t="shared" si="48"/>
        <v>0</v>
      </c>
      <c r="AM33" s="301">
        <f t="shared" si="49"/>
        <v>0</v>
      </c>
      <c r="AN33" s="301">
        <f t="shared" si="50"/>
        <v>0</v>
      </c>
      <c r="AO33" s="303">
        <f t="shared" si="51"/>
        <v>0</v>
      </c>
      <c r="AP33" s="301">
        <f>AE33*GBDUS!M33/(Y33+Z33+AA33+AB33+AC33)</f>
        <v>0</v>
      </c>
      <c r="AQ33" s="301">
        <f t="shared" si="52"/>
        <v>0</v>
      </c>
      <c r="AR33" s="301">
        <f t="shared" si="53"/>
        <v>0</v>
      </c>
      <c r="AS33" s="301">
        <f t="shared" si="54"/>
        <v>0</v>
      </c>
      <c r="AT33" s="303">
        <f t="shared" si="55"/>
        <v>0</v>
      </c>
      <c r="AU33" s="262">
        <f t="shared" si="56"/>
        <v>0</v>
      </c>
      <c r="AV33" s="261">
        <f t="shared" si="57"/>
        <v>0</v>
      </c>
      <c r="AW33" s="262">
        <f t="shared" si="58"/>
        <v>0</v>
      </c>
      <c r="AX33" s="262">
        <f t="shared" si="59"/>
        <v>0</v>
      </c>
    </row>
    <row r="34" spans="2:50" x14ac:dyDescent="0.2">
      <c r="B34" s="212">
        <v>2</v>
      </c>
      <c r="C34" s="325" t="s">
        <v>11</v>
      </c>
      <c r="D34" s="215">
        <f>Scenario!AL41</f>
        <v>0.48774232762808944</v>
      </c>
      <c r="E34" s="215">
        <f>Scenario!AM41</f>
        <v>1.225014331797649</v>
      </c>
      <c r="F34" s="215">
        <f>Scenario!AN41</f>
        <v>2.318172887491678</v>
      </c>
      <c r="G34" s="215">
        <f>Scenario!AO41</f>
        <v>4.3868266654607444</v>
      </c>
      <c r="H34" s="321">
        <f>Scenario!AP41</f>
        <v>11.017960164407139</v>
      </c>
      <c r="I34" s="218">
        <f>IF(D34+'Non-travel METs'!D35&gt;2.5, D34+'Non-travel METs'!D35, 0.1)</f>
        <v>37.987742327628091</v>
      </c>
      <c r="J34" s="218">
        <f>IF(E34+'Non-travel METs'!E35&gt;2.5, E34+'Non-travel METs'!E35, 0.1)</f>
        <v>38.725014331797652</v>
      </c>
      <c r="K34" s="218">
        <f>IF(F34+'Non-travel METs'!F35&gt;2.5, F34+'Non-travel METs'!F35, 0.1)</f>
        <v>39.818172887491677</v>
      </c>
      <c r="L34" s="218">
        <f>IF(G34+'Non-travel METs'!G35&gt;2.5, G34+'Non-travel METs'!G35, 0.1)</f>
        <v>41.886826665460745</v>
      </c>
      <c r="M34" s="223">
        <f>IF(H34+'Non-travel METs'!H35&gt;2.5, H34+'Non-travel METs'!H35, 0.1)</f>
        <v>48.517960164407143</v>
      </c>
      <c r="N34" s="268">
        <f>'Phy activity RRs'!$F$7</f>
        <v>0.97288384048792509</v>
      </c>
      <c r="O34" s="214">
        <f t="shared" si="27"/>
        <v>0.84414075757262075</v>
      </c>
      <c r="P34" s="214">
        <f t="shared" si="28"/>
        <v>0.84276060350115434</v>
      </c>
      <c r="Q34" s="214">
        <f t="shared" si="29"/>
        <v>0.8407422739188668</v>
      </c>
      <c r="R34" s="214">
        <f t="shared" si="30"/>
        <v>0.8370100777851619</v>
      </c>
      <c r="S34" s="292">
        <f t="shared" si="31"/>
        <v>0.82573182262634659</v>
      </c>
      <c r="T34" s="296">
        <f t="shared" si="32"/>
        <v>0.99990653129161822</v>
      </c>
      <c r="U34" s="296">
        <f t="shared" si="33"/>
        <v>0.99977255312347491</v>
      </c>
      <c r="V34" s="296">
        <f t="shared" si="34"/>
        <v>0.99958200456747148</v>
      </c>
      <c r="W34" s="296">
        <f t="shared" si="35"/>
        <v>0.99924050199406755</v>
      </c>
      <c r="X34" s="328">
        <f t="shared" si="36"/>
        <v>0.99826581228306488</v>
      </c>
      <c r="Y34" s="296">
        <f t="shared" si="37"/>
        <v>1</v>
      </c>
      <c r="Z34" s="296">
        <f t="shared" si="38"/>
        <v>0.99836501903375086</v>
      </c>
      <c r="AA34" s="296">
        <f t="shared" si="39"/>
        <v>0.99597403202811041</v>
      </c>
      <c r="AB34" s="296">
        <f t="shared" si="40"/>
        <v>0.99155273605321037</v>
      </c>
      <c r="AC34" s="328">
        <f t="shared" si="41"/>
        <v>0.9781921027019117</v>
      </c>
      <c r="AD34" s="371">
        <f t="shared" si="42"/>
        <v>6.4651934806061464E-4</v>
      </c>
      <c r="AE34" s="334">
        <f t="shared" si="43"/>
        <v>0.99935348065193941</v>
      </c>
      <c r="AF34" s="214">
        <f>AE34*GBDUS!K34/(Y34+Z34+AA34+AB34+AC34)</f>
        <v>0</v>
      </c>
      <c r="AG34" s="214">
        <f t="shared" si="44"/>
        <v>0</v>
      </c>
      <c r="AH34" s="214">
        <f t="shared" si="45"/>
        <v>0</v>
      </c>
      <c r="AI34" s="214">
        <f t="shared" si="46"/>
        <v>0</v>
      </c>
      <c r="AJ34" s="292">
        <f t="shared" si="47"/>
        <v>0</v>
      </c>
      <c r="AK34" s="301">
        <f>AE34*GBDUS!L34/(Y34+Z34+AA34+AB34+AC34)</f>
        <v>2.949141200987111</v>
      </c>
      <c r="AL34" s="301">
        <f t="shared" si="48"/>
        <v>2.9443194112567159</v>
      </c>
      <c r="AM34" s="301">
        <f t="shared" si="49"/>
        <v>2.9372680529673567</v>
      </c>
      <c r="AN34" s="301">
        <f t="shared" si="50"/>
        <v>2.9242290268460205</v>
      </c>
      <c r="AO34" s="303">
        <f t="shared" si="51"/>
        <v>2.8848266325584233</v>
      </c>
      <c r="AP34" s="301">
        <f>AE34*GBDUS!M34/(Y34+Z34+AA34+AB34+AC34)</f>
        <v>8.3046057913293586E-2</v>
      </c>
      <c r="AQ34" s="301">
        <f t="shared" si="52"/>
        <v>8.2910279189283329E-2</v>
      </c>
      <c r="AR34" s="301">
        <f t="shared" si="53"/>
        <v>8.2711717143942973E-2</v>
      </c>
      <c r="AS34" s="301">
        <f t="shared" si="54"/>
        <v>8.2344545942359612E-2</v>
      </c>
      <c r="AT34" s="303">
        <f t="shared" si="55"/>
        <v>8.1234998011309387E-2</v>
      </c>
      <c r="AU34" s="262">
        <f t="shared" si="56"/>
        <v>0</v>
      </c>
      <c r="AV34" s="261">
        <f t="shared" si="57"/>
        <v>-9.4710270195115243E-3</v>
      </c>
      <c r="AW34" s="262">
        <f t="shared" si="58"/>
        <v>-2.6669847415144998E-4</v>
      </c>
      <c r="AX34" s="262">
        <f t="shared" si="59"/>
        <v>-9.7377254936629742E-3</v>
      </c>
    </row>
    <row r="35" spans="2:50" x14ac:dyDescent="0.2">
      <c r="B35" s="212">
        <v>2</v>
      </c>
      <c r="C35" s="325" t="s">
        <v>12</v>
      </c>
      <c r="D35" s="215">
        <f>Scenario!AL42</f>
        <v>0.41128119423541215</v>
      </c>
      <c r="E35" s="215">
        <f>Scenario!AM42</f>
        <v>1.032974439162079</v>
      </c>
      <c r="F35" s="215">
        <f>Scenario!AN42</f>
        <v>1.9547635290302883</v>
      </c>
      <c r="G35" s="215">
        <f>Scenario!AO42</f>
        <v>3.6991239178449766</v>
      </c>
      <c r="H35" s="321">
        <f>Scenario!AP42</f>
        <v>9.2907249540804369</v>
      </c>
      <c r="I35" s="218">
        <f>IF(D35+'Non-travel METs'!D36&gt;2.5, D35+'Non-travel METs'!D36, 0.1)</f>
        <v>37.974614527568711</v>
      </c>
      <c r="J35" s="218">
        <f>IF(E35+'Non-travel METs'!E36&gt;2.5, E35+'Non-travel METs'!E36, 0.1)</f>
        <v>38.596307772495379</v>
      </c>
      <c r="K35" s="218">
        <f>IF(F35+'Non-travel METs'!F36&gt;2.5, F35+'Non-travel METs'!F36, 0.1)</f>
        <v>39.518096862363585</v>
      </c>
      <c r="L35" s="218">
        <f>IF(G35+'Non-travel METs'!G36&gt;2.5, G35+'Non-travel METs'!G36, 0.1)</f>
        <v>41.262457251178276</v>
      </c>
      <c r="M35" s="223">
        <f>IF(H35+'Non-travel METs'!H36&gt;2.5, H35+'Non-travel METs'!H36, 0.1)</f>
        <v>46.854058287413736</v>
      </c>
      <c r="N35" s="268">
        <f>'Phy activity RRs'!$F$7</f>
        <v>0.97288384048792509</v>
      </c>
      <c r="O35" s="214">
        <f t="shared" si="27"/>
        <v>0.84416547384538776</v>
      </c>
      <c r="P35" s="214">
        <f t="shared" si="28"/>
        <v>0.84300042395353603</v>
      </c>
      <c r="Q35" s="214">
        <f t="shared" si="29"/>
        <v>0.84129304394582305</v>
      </c>
      <c r="R35" s="214">
        <f t="shared" si="30"/>
        <v>0.83812489632570364</v>
      </c>
      <c r="S35" s="292">
        <f t="shared" si="31"/>
        <v>0.82847125885477713</v>
      </c>
      <c r="T35" s="296">
        <f t="shared" si="32"/>
        <v>0.99992053817242255</v>
      </c>
      <c r="U35" s="296">
        <f t="shared" si="33"/>
        <v>0.99980631961410538</v>
      </c>
      <c r="V35" s="296">
        <f t="shared" si="34"/>
        <v>0.99964327620288906</v>
      </c>
      <c r="W35" s="296">
        <f t="shared" si="35"/>
        <v>0.9993493793775684</v>
      </c>
      <c r="X35" s="328">
        <f t="shared" si="36"/>
        <v>0.99849952832038014</v>
      </c>
      <c r="Y35" s="296">
        <f t="shared" si="37"/>
        <v>1</v>
      </c>
      <c r="Z35" s="296">
        <f t="shared" si="38"/>
        <v>0.99861987971796018</v>
      </c>
      <c r="AA35" s="296">
        <f t="shared" si="39"/>
        <v>0.99659731416581154</v>
      </c>
      <c r="AB35" s="296">
        <f t="shared" si="40"/>
        <v>0.99284432056647876</v>
      </c>
      <c r="AC35" s="328">
        <f t="shared" si="41"/>
        <v>0.98140860355361426</v>
      </c>
      <c r="AD35" s="371">
        <f t="shared" si="42"/>
        <v>5.5619166252682815E-4</v>
      </c>
      <c r="AE35" s="334">
        <f t="shared" si="43"/>
        <v>0.99944380833747315</v>
      </c>
      <c r="AF35" s="214">
        <f>AE35*GBDUS!K35/(Y35+Z35+AA35+AB35+AC35)</f>
        <v>0.40223355190992854</v>
      </c>
      <c r="AG35" s="214">
        <f t="shared" si="44"/>
        <v>0.40167842122682074</v>
      </c>
      <c r="AH35" s="214">
        <f t="shared" si="45"/>
        <v>0.40086487750080935</v>
      </c>
      <c r="AI35" s="214">
        <f t="shared" si="46"/>
        <v>0.39935529755505444</v>
      </c>
      <c r="AJ35" s="292">
        <f t="shared" si="47"/>
        <v>0.39475546848233317</v>
      </c>
      <c r="AK35" s="301">
        <f>AE35*GBDUS!L35/(Y35+Z35+AA35+AB35+AC35)</f>
        <v>18.815890692143721</v>
      </c>
      <c r="AL35" s="301">
        <f t="shared" si="48"/>
        <v>18.78992249977485</v>
      </c>
      <c r="AM35" s="301">
        <f t="shared" si="49"/>
        <v>18.751866127427924</v>
      </c>
      <c r="AN35" s="301">
        <f t="shared" si="50"/>
        <v>18.681250210094564</v>
      </c>
      <c r="AO35" s="303">
        <f t="shared" si="51"/>
        <v>18.466077008794219</v>
      </c>
      <c r="AP35" s="301">
        <f>AE35*GBDUS!M35/(Y35+Z35+AA35+AB35+AC35)</f>
        <v>0.71159902219380555</v>
      </c>
      <c r="AQ35" s="301">
        <f t="shared" si="52"/>
        <v>0.71061692995059622</v>
      </c>
      <c r="AR35" s="301">
        <f t="shared" si="53"/>
        <v>0.70917767428136436</v>
      </c>
      <c r="AS35" s="301">
        <f t="shared" si="54"/>
        <v>0.70650704770577955</v>
      </c>
      <c r="AT35" s="303">
        <f t="shared" si="55"/>
        <v>0.69836940266134007</v>
      </c>
      <c r="AU35" s="262">
        <f t="shared" si="56"/>
        <v>-1.1123833250539228E-3</v>
      </c>
      <c r="AV35" s="261">
        <f t="shared" si="57"/>
        <v>-5.203564683401396E-2</v>
      </c>
      <c r="AW35" s="262">
        <f t="shared" si="58"/>
        <v>-1.9679384841317926E-3</v>
      </c>
      <c r="AX35" s="262">
        <f t="shared" si="59"/>
        <v>-5.4003585318145753E-2</v>
      </c>
    </row>
    <row r="36" spans="2:50" x14ac:dyDescent="0.2">
      <c r="B36" s="212">
        <v>2</v>
      </c>
      <c r="C36" s="325" t="s">
        <v>13</v>
      </c>
      <c r="D36" s="215">
        <f>Scenario!AL43</f>
        <v>0.30322026939990843</v>
      </c>
      <c r="E36" s="215">
        <f>Scenario!AM43</f>
        <v>0.76156846487530472</v>
      </c>
      <c r="F36" s="215">
        <f>Scenario!AN43</f>
        <v>1.4411646634793909</v>
      </c>
      <c r="G36" s="215">
        <f>Scenario!AO43</f>
        <v>2.727207970200991</v>
      </c>
      <c r="H36" s="321">
        <f>Scenario!AP43</f>
        <v>6.8496594616583133</v>
      </c>
      <c r="I36" s="218">
        <f>IF(D36+'Non-travel METs'!D37&gt;2.5, D36+'Non-travel METs'!D37, 0.1)</f>
        <v>38.05655360273321</v>
      </c>
      <c r="J36" s="218">
        <f>IF(E36+'Non-travel METs'!E37&gt;2.5, E36+'Non-travel METs'!E37, 0.1)</f>
        <v>38.514901798208605</v>
      </c>
      <c r="K36" s="218">
        <f>IF(F36+'Non-travel METs'!F37&gt;2.5, F36+'Non-travel METs'!F37, 0.1)</f>
        <v>39.194497996812693</v>
      </c>
      <c r="L36" s="218">
        <f>IF(G36+'Non-travel METs'!G37&gt;2.5, G36+'Non-travel METs'!G37, 0.1)</f>
        <v>40.480541303534295</v>
      </c>
      <c r="M36" s="223">
        <f>IF(H36+'Non-travel METs'!H37&gt;2.5, H36+'Non-travel METs'!H37, 0.1)</f>
        <v>44.602992794991614</v>
      </c>
      <c r="N36" s="268">
        <f>'Phy activity RRs'!$F$7</f>
        <v>0.97288384048792509</v>
      </c>
      <c r="O36" s="214">
        <f t="shared" si="27"/>
        <v>0.84401128526088154</v>
      </c>
      <c r="P36" s="214">
        <f t="shared" si="28"/>
        <v>0.84315235044819692</v>
      </c>
      <c r="Q36" s="214">
        <f t="shared" si="29"/>
        <v>0.84188974399356686</v>
      </c>
      <c r="R36" s="214">
        <f t="shared" si="30"/>
        <v>0.83953510252480767</v>
      </c>
      <c r="S36" s="292">
        <f t="shared" si="31"/>
        <v>0.83227099046321196</v>
      </c>
      <c r="T36" s="296">
        <f t="shared" si="32"/>
        <v>0.99995115690344261</v>
      </c>
      <c r="U36" s="296">
        <f t="shared" si="33"/>
        <v>0.99988128737089843</v>
      </c>
      <c r="V36" s="296">
        <f t="shared" si="34"/>
        <v>0.99978148703689418</v>
      </c>
      <c r="W36" s="296">
        <f t="shared" si="35"/>
        <v>0.99960083935489896</v>
      </c>
      <c r="X36" s="328">
        <f t="shared" si="36"/>
        <v>0.99907119174760028</v>
      </c>
      <c r="Y36" s="296">
        <f t="shared" si="37"/>
        <v>1</v>
      </c>
      <c r="Z36" s="296">
        <f t="shared" si="38"/>
        <v>0.99898231833189399</v>
      </c>
      <c r="AA36" s="296">
        <f t="shared" si="39"/>
        <v>0.99748635912296013</v>
      </c>
      <c r="AB36" s="296">
        <f t="shared" si="40"/>
        <v>0.9946965368659848</v>
      </c>
      <c r="AC36" s="328">
        <f t="shared" si="41"/>
        <v>0.98608988410144216</v>
      </c>
      <c r="AD36" s="371">
        <f t="shared" si="42"/>
        <v>3.4280751725308535E-4</v>
      </c>
      <c r="AE36" s="334">
        <f t="shared" si="43"/>
        <v>0.99965719248274687</v>
      </c>
      <c r="AF36" s="214">
        <f>AE36*GBDUS!K36/(Y36+Z36+AA36+AB36+AC36)</f>
        <v>1.8076057092586264</v>
      </c>
      <c r="AG36" s="214">
        <f t="shared" si="44"/>
        <v>1.8057661420651501</v>
      </c>
      <c r="AH36" s="214">
        <f t="shared" si="45"/>
        <v>1.8030620376582633</v>
      </c>
      <c r="AI36" s="214">
        <f t="shared" si="46"/>
        <v>1.7980191390187379</v>
      </c>
      <c r="AJ36" s="292">
        <f t="shared" si="47"/>
        <v>1.7824617043439441</v>
      </c>
      <c r="AK36" s="301">
        <f>AE36*GBDUS!L36/(Y36+Z36+AA36+AB36+AC36)</f>
        <v>60.352394507010843</v>
      </c>
      <c r="AL36" s="301">
        <f t="shared" si="48"/>
        <v>60.290974981494756</v>
      </c>
      <c r="AM36" s="301">
        <f t="shared" si="49"/>
        <v>60.200690261150783</v>
      </c>
      <c r="AN36" s="301">
        <f t="shared" si="50"/>
        <v>60.032317807693367</v>
      </c>
      <c r="AO36" s="303">
        <f t="shared" si="51"/>
        <v>59.512885704662835</v>
      </c>
      <c r="AP36" s="301">
        <f>AE36*GBDUS!M36/(Y36+Z36+AA36+AB36+AC36)</f>
        <v>2.9308268112555584</v>
      </c>
      <c r="AQ36" s="301">
        <f t="shared" si="52"/>
        <v>2.9278441625373501</v>
      </c>
      <c r="AR36" s="301">
        <f t="shared" si="53"/>
        <v>2.923459765179262</v>
      </c>
      <c r="AS36" s="301">
        <f t="shared" si="54"/>
        <v>2.9152832793098811</v>
      </c>
      <c r="AT36" s="303">
        <f t="shared" si="55"/>
        <v>2.890058670632393</v>
      </c>
      <c r="AU36" s="262">
        <f t="shared" si="56"/>
        <v>-3.0852676552761693E-3</v>
      </c>
      <c r="AV36" s="261">
        <f t="shared" si="57"/>
        <v>-0.1030110104970845</v>
      </c>
      <c r="AW36" s="262">
        <f t="shared" si="58"/>
        <v>-5.0024101592889281E-3</v>
      </c>
      <c r="AX36" s="262">
        <f t="shared" si="59"/>
        <v>-0.10801342065637343</v>
      </c>
    </row>
    <row r="37" spans="2:50" x14ac:dyDescent="0.2">
      <c r="B37" s="212">
        <v>2</v>
      </c>
      <c r="C37" s="325" t="s">
        <v>14</v>
      </c>
      <c r="D37" s="215">
        <f>Scenario!AL44</f>
        <v>0.20305771607435033</v>
      </c>
      <c r="E37" s="215">
        <f>Scenario!AM44</f>
        <v>0.51000005183649222</v>
      </c>
      <c r="F37" s="215">
        <f>Scenario!AN44</f>
        <v>0.96510568252028972</v>
      </c>
      <c r="G37" s="215">
        <f>Scenario!AO44</f>
        <v>1.8263311446320658</v>
      </c>
      <c r="H37" s="321">
        <f>Scenario!AP44</f>
        <v>4.5870159304456486</v>
      </c>
      <c r="I37" s="218">
        <f>IF(D37+'Non-travel METs'!D38&gt;2.5, D37+'Non-travel METs'!D38, 0.1)</f>
        <v>9.2030577160743512</v>
      </c>
      <c r="J37" s="218">
        <f>IF(E37+'Non-travel METs'!E38&gt;2.5, E37+'Non-travel METs'!E38, 0.1)</f>
        <v>9.5100000518364922</v>
      </c>
      <c r="K37" s="218">
        <f>IF(F37+'Non-travel METs'!F38&gt;2.5, F37+'Non-travel METs'!F38, 0.1)</f>
        <v>9.9651056825202904</v>
      </c>
      <c r="L37" s="218">
        <f>IF(G37+'Non-travel METs'!G38&gt;2.5, G37+'Non-travel METs'!G38, 0.1)</f>
        <v>10.826331144632066</v>
      </c>
      <c r="M37" s="223">
        <f>IF(H37+'Non-travel METs'!H38&gt;2.5, H37+'Non-travel METs'!H38, 0.1)</f>
        <v>13.587015930445649</v>
      </c>
      <c r="N37" s="268">
        <f>'Phy activity RRs'!$F$7</f>
        <v>0.97288384048792509</v>
      </c>
      <c r="O37" s="214">
        <f t="shared" si="27"/>
        <v>0.91998590140422043</v>
      </c>
      <c r="P37" s="214">
        <f t="shared" si="28"/>
        <v>0.91871781244238182</v>
      </c>
      <c r="Q37" s="214">
        <f t="shared" si="29"/>
        <v>0.9168778124005954</v>
      </c>
      <c r="R37" s="214">
        <f t="shared" si="30"/>
        <v>0.91351694710252285</v>
      </c>
      <c r="S37" s="292">
        <f t="shared" si="31"/>
        <v>0.90363309551275661</v>
      </c>
      <c r="T37" s="296">
        <f t="shared" si="32"/>
        <v>0.99991957656333119</v>
      </c>
      <c r="U37" s="296">
        <f t="shared" si="33"/>
        <v>0.99980548617976306</v>
      </c>
      <c r="V37" s="296">
        <f t="shared" si="34"/>
        <v>0.9996456546196214</v>
      </c>
      <c r="W37" s="296">
        <f t="shared" si="35"/>
        <v>0.99936589575644164</v>
      </c>
      <c r="X37" s="328">
        <f t="shared" si="36"/>
        <v>0.99860685088623669</v>
      </c>
      <c r="Y37" s="296">
        <f t="shared" si="37"/>
        <v>1</v>
      </c>
      <c r="Z37" s="296">
        <f t="shared" si="38"/>
        <v>0.99862162130973631</v>
      </c>
      <c r="AA37" s="296">
        <f t="shared" si="39"/>
        <v>0.99662159061472466</v>
      </c>
      <c r="AB37" s="296">
        <f t="shared" si="40"/>
        <v>0.9929684201770661</v>
      </c>
      <c r="AC37" s="328">
        <f t="shared" si="41"/>
        <v>0.98222493859253313</v>
      </c>
      <c r="AD37" s="371">
        <f t="shared" si="42"/>
        <v>5.3130719892120477E-4</v>
      </c>
      <c r="AE37" s="334">
        <f t="shared" si="43"/>
        <v>0.99946869280107875</v>
      </c>
      <c r="AF37" s="214">
        <f>AE37*GBDUS!K37/(Y37+Z37+AA37+AB37+AC37)</f>
        <v>1.2064960635779909</v>
      </c>
      <c r="AG37" s="214">
        <f t="shared" si="44"/>
        <v>1.204833055114068</v>
      </c>
      <c r="AH37" s="214">
        <f t="shared" si="45"/>
        <v>1.2024200259535012</v>
      </c>
      <c r="AI37" s="214">
        <f t="shared" si="46"/>
        <v>1.1980124902008866</v>
      </c>
      <c r="AJ37" s="292">
        <f t="shared" si="47"/>
        <v>1.1850505219600251</v>
      </c>
      <c r="AK37" s="301">
        <f>AE37*GBDUS!L37/(Y37+Z37+AA37+AB37+AC37)</f>
        <v>27.862589036782182</v>
      </c>
      <c r="AL37" s="301">
        <f t="shared" si="48"/>
        <v>27.824183837798309</v>
      </c>
      <c r="AM37" s="301">
        <f t="shared" si="49"/>
        <v>27.768457804482249</v>
      </c>
      <c r="AN37" s="301">
        <f t="shared" si="50"/>
        <v>27.666671017896444</v>
      </c>
      <c r="AO37" s="303">
        <f t="shared" si="51"/>
        <v>27.367329805682367</v>
      </c>
      <c r="AP37" s="301">
        <f>AE37*GBDUS!M37/(Y37+Z37+AA37+AB37+AC37)</f>
        <v>1.6905284085789372</v>
      </c>
      <c r="AQ37" s="301">
        <f t="shared" si="52"/>
        <v>1.6881982202452666</v>
      </c>
      <c r="AR37" s="301">
        <f t="shared" si="53"/>
        <v>1.6848171115373194</v>
      </c>
      <c r="AS37" s="301">
        <f t="shared" si="54"/>
        <v>1.6786413231310771</v>
      </c>
      <c r="AT37" s="303">
        <f t="shared" si="55"/>
        <v>1.6604791623053794</v>
      </c>
      <c r="AU37" s="262">
        <f t="shared" si="56"/>
        <v>-3.1878431935279394E-3</v>
      </c>
      <c r="AV37" s="261">
        <f t="shared" si="57"/>
        <v>-7.3619440209000686E-2</v>
      </c>
      <c r="AW37" s="262">
        <f t="shared" si="58"/>
        <v>-4.4667692199258369E-3</v>
      </c>
      <c r="AX37" s="262">
        <f t="shared" si="59"/>
        <v>-7.8086209428926523E-2</v>
      </c>
    </row>
    <row r="38" spans="2:50" x14ac:dyDescent="0.2">
      <c r="B38" s="212">
        <v>2</v>
      </c>
      <c r="C38" s="325" t="s">
        <v>15</v>
      </c>
      <c r="D38" s="215">
        <f>Scenario!AL45</f>
        <v>0.12940048412537145</v>
      </c>
      <c r="E38" s="215">
        <f>Scenario!AM45</f>
        <v>0.32500244210095713</v>
      </c>
      <c r="F38" s="215">
        <f>Scenario!AN45</f>
        <v>0.61502288592936483</v>
      </c>
      <c r="G38" s="215">
        <f>Scenario!AO45</f>
        <v>1.163847101491581</v>
      </c>
      <c r="H38" s="321">
        <f>Scenario!AP45</f>
        <v>2.9231200545618421</v>
      </c>
      <c r="I38" s="218">
        <f>IF(D38+'Non-travel METs'!D39&gt;2.5, D38+'Non-travel METs'!D39, 0.1)</f>
        <v>0.1</v>
      </c>
      <c r="J38" s="218">
        <f>IF(E38+'Non-travel METs'!E39&gt;2.5, E38+'Non-travel METs'!E39, 0.1)</f>
        <v>0.1</v>
      </c>
      <c r="K38" s="218">
        <f>IF(F38+'Non-travel METs'!F39&gt;2.5, F38+'Non-travel METs'!F39, 0.1)</f>
        <v>0.1</v>
      </c>
      <c r="L38" s="218">
        <f>IF(G38+'Non-travel METs'!G39&gt;2.5, G38+'Non-travel METs'!G39, 0.1)</f>
        <v>0.1</v>
      </c>
      <c r="M38" s="223">
        <f>IF(H38+'Non-travel METs'!H39&gt;2.5, H38+'Non-travel METs'!H39, 0.1)</f>
        <v>3.4231200545618421</v>
      </c>
      <c r="N38" s="268">
        <f>'Phy activity RRs'!$F$7</f>
        <v>0.97288384048792509</v>
      </c>
      <c r="O38" s="214">
        <f t="shared" si="27"/>
        <v>0.99134439051762713</v>
      </c>
      <c r="P38" s="214">
        <f t="shared" si="28"/>
        <v>0.99134439051762713</v>
      </c>
      <c r="Q38" s="214">
        <f t="shared" si="29"/>
        <v>0.99134439051762713</v>
      </c>
      <c r="R38" s="214">
        <f t="shared" si="30"/>
        <v>0.99134439051762713</v>
      </c>
      <c r="S38" s="292">
        <f t="shared" si="31"/>
        <v>0.95040963531653921</v>
      </c>
      <c r="T38" s="296">
        <f t="shared" si="32"/>
        <v>1</v>
      </c>
      <c r="U38" s="296">
        <f t="shared" si="33"/>
        <v>1</v>
      </c>
      <c r="V38" s="296">
        <f t="shared" si="34"/>
        <v>1</v>
      </c>
      <c r="W38" s="296">
        <f t="shared" si="35"/>
        <v>1</v>
      </c>
      <c r="X38" s="328">
        <f t="shared" si="36"/>
        <v>0.99804342860612183</v>
      </c>
      <c r="Y38" s="296">
        <f t="shared" si="37"/>
        <v>1</v>
      </c>
      <c r="Z38" s="296">
        <f t="shared" si="38"/>
        <v>1</v>
      </c>
      <c r="AA38" s="296">
        <f t="shared" si="39"/>
        <v>1</v>
      </c>
      <c r="AB38" s="296">
        <f t="shared" si="40"/>
        <v>1</v>
      </c>
      <c r="AC38" s="328">
        <f t="shared" si="41"/>
        <v>0.95870783595223252</v>
      </c>
      <c r="AD38" s="371">
        <f t="shared" si="42"/>
        <v>3.9131427877556744E-4</v>
      </c>
      <c r="AE38" s="334">
        <f t="shared" si="43"/>
        <v>0.99960868572122441</v>
      </c>
      <c r="AF38" s="214">
        <f>AE38*GBDUS!K38/(Y38+Z38+AA38+AB38+AC38)</f>
        <v>1.8142787333150887</v>
      </c>
      <c r="AG38" s="214">
        <f t="shared" si="44"/>
        <v>1.8142787333150887</v>
      </c>
      <c r="AH38" s="214">
        <f t="shared" si="45"/>
        <v>1.8142787333150887</v>
      </c>
      <c r="AI38" s="214">
        <f t="shared" si="46"/>
        <v>1.8142787333150887</v>
      </c>
      <c r="AJ38" s="292">
        <f t="shared" si="47"/>
        <v>1.7393632382306663</v>
      </c>
      <c r="AK38" s="301">
        <f>AE38*GBDUS!L38/(Y38+Z38+AA38+AB38+AC38)</f>
        <v>26.490244533498462</v>
      </c>
      <c r="AL38" s="301">
        <f t="shared" si="48"/>
        <v>26.490244533498462</v>
      </c>
      <c r="AM38" s="301">
        <f t="shared" si="49"/>
        <v>26.490244533498462</v>
      </c>
      <c r="AN38" s="301">
        <f t="shared" si="50"/>
        <v>26.490244533498462</v>
      </c>
      <c r="AO38" s="303">
        <f t="shared" si="51"/>
        <v>25.396405010555767</v>
      </c>
      <c r="AP38" s="301">
        <f>AE38*GBDUS!M38/(Y38+Z38+AA38+AB38+AC38)</f>
        <v>2.1564985641143837</v>
      </c>
      <c r="AQ38" s="301">
        <f t="shared" si="52"/>
        <v>2.1564985641143837</v>
      </c>
      <c r="AR38" s="301">
        <f t="shared" si="53"/>
        <v>2.1564985641143837</v>
      </c>
      <c r="AS38" s="301">
        <f t="shared" si="54"/>
        <v>2.1564985641143837</v>
      </c>
      <c r="AT38" s="303">
        <f t="shared" si="55"/>
        <v>2.0674520716361977</v>
      </c>
      <c r="AU38" s="262">
        <f t="shared" si="56"/>
        <v>-3.5218285089797519E-3</v>
      </c>
      <c r="AV38" s="261">
        <f t="shared" si="57"/>
        <v>-5.1422141865373305E-2</v>
      </c>
      <c r="AW38" s="262">
        <f t="shared" si="58"/>
        <v>-4.1861363324233736E-3</v>
      </c>
      <c r="AX38" s="262">
        <f t="shared" si="59"/>
        <v>-5.5608278197796679E-2</v>
      </c>
    </row>
    <row r="39" spans="2:50" x14ac:dyDescent="0.2">
      <c r="B39" s="319">
        <v>2</v>
      </c>
      <c r="C39" s="326" t="s">
        <v>16</v>
      </c>
      <c r="D39" s="320">
        <f>Scenario!AL46</f>
        <v>0.16226655238866916</v>
      </c>
      <c r="E39" s="320">
        <f>Scenario!AM46</f>
        <v>0.40754890643628044</v>
      </c>
      <c r="F39" s="320">
        <f>Scenario!AN46</f>
        <v>0.7712308343699662</v>
      </c>
      <c r="G39" s="320">
        <f>Scenario!AO46</f>
        <v>1.4594493826129056</v>
      </c>
      <c r="H39" s="322">
        <f>Scenario!AP46</f>
        <v>3.6655551691164661</v>
      </c>
      <c r="I39" s="228">
        <f>IF(D39+'Non-travel METs'!D40&gt;2.5, D39+'Non-travel METs'!D40, 0.1)</f>
        <v>0.1</v>
      </c>
      <c r="J39" s="228">
        <f>IF(E39+'Non-travel METs'!E40&gt;2.5, E39+'Non-travel METs'!E40, 0.1)</f>
        <v>0.1</v>
      </c>
      <c r="K39" s="228">
        <f>IF(F39+'Non-travel METs'!F40&gt;2.5, F39+'Non-travel METs'!F40, 0.1)</f>
        <v>0.1</v>
      </c>
      <c r="L39" s="228">
        <f>IF(G39+'Non-travel METs'!G40&gt;2.5, G39+'Non-travel METs'!G40, 0.1)</f>
        <v>0.1</v>
      </c>
      <c r="M39" s="229">
        <f>IF(H39+'Non-travel METs'!H40&gt;2.5, H39+'Non-travel METs'!H40, 0.1)</f>
        <v>3.7488885024497995</v>
      </c>
      <c r="N39" s="268">
        <f>'Phy activity RRs'!$F$7</f>
        <v>0.97288384048792509</v>
      </c>
      <c r="O39" s="293">
        <f t="shared" si="27"/>
        <v>0.99134439051762713</v>
      </c>
      <c r="P39" s="294">
        <f t="shared" si="28"/>
        <v>0.99134439051762713</v>
      </c>
      <c r="Q39" s="294">
        <f t="shared" si="29"/>
        <v>0.99134439051762713</v>
      </c>
      <c r="R39" s="294">
        <f t="shared" si="30"/>
        <v>0.99134439051762713</v>
      </c>
      <c r="S39" s="295">
        <f t="shared" si="31"/>
        <v>0.94816437317260194</v>
      </c>
      <c r="T39" s="329">
        <f t="shared" si="32"/>
        <v>1</v>
      </c>
      <c r="U39" s="330">
        <f t="shared" si="33"/>
        <v>1</v>
      </c>
      <c r="V39" s="330">
        <f t="shared" si="34"/>
        <v>1</v>
      </c>
      <c r="W39" s="330">
        <f t="shared" si="35"/>
        <v>1</v>
      </c>
      <c r="X39" s="331">
        <f t="shared" si="36"/>
        <v>0.99764912485473423</v>
      </c>
      <c r="Y39" s="329">
        <f t="shared" si="37"/>
        <v>1</v>
      </c>
      <c r="Z39" s="330">
        <f t="shared" si="38"/>
        <v>1</v>
      </c>
      <c r="AA39" s="330">
        <f t="shared" si="39"/>
        <v>1</v>
      </c>
      <c r="AB39" s="330">
        <f t="shared" si="40"/>
        <v>1</v>
      </c>
      <c r="AC39" s="331">
        <f t="shared" si="41"/>
        <v>0.956442970013197</v>
      </c>
      <c r="AD39" s="371">
        <f t="shared" si="42"/>
        <v>4.7017502905308815E-4</v>
      </c>
      <c r="AE39" s="335">
        <f t="shared" si="43"/>
        <v>0.99952982497094689</v>
      </c>
      <c r="AF39" s="293">
        <f>AE39*GBDUS!K39/(Y39+Z39+AA39+AB39+AC39)</f>
        <v>3.0249409637662557</v>
      </c>
      <c r="AG39" s="294">
        <f t="shared" si="44"/>
        <v>3.0249409637662557</v>
      </c>
      <c r="AH39" s="294">
        <f t="shared" si="45"/>
        <v>3.0249409637662557</v>
      </c>
      <c r="AI39" s="294">
        <f t="shared" si="46"/>
        <v>3.0249409637662557</v>
      </c>
      <c r="AJ39" s="295">
        <f t="shared" si="47"/>
        <v>2.8931835194991802</v>
      </c>
      <c r="AK39" s="304">
        <f>AE39*GBDUS!L39/(Y39+Z39+AA39+AB39+AC39)</f>
        <v>16.563386857537431</v>
      </c>
      <c r="AL39" s="305">
        <f t="shared" si="48"/>
        <v>16.563386857537431</v>
      </c>
      <c r="AM39" s="305">
        <f t="shared" si="49"/>
        <v>16.563386857537431</v>
      </c>
      <c r="AN39" s="305">
        <f t="shared" si="50"/>
        <v>16.563386857537431</v>
      </c>
      <c r="AO39" s="306">
        <f t="shared" si="51"/>
        <v>15.841934919500654</v>
      </c>
      <c r="AP39" s="304">
        <f>AE39*GBDUS!M39/(Y39+Z39+AA39+AB39+AC39)</f>
        <v>2.4811364018259354</v>
      </c>
      <c r="AQ39" s="305">
        <f t="shared" si="52"/>
        <v>2.4811364018259354</v>
      </c>
      <c r="AR39" s="305">
        <f t="shared" si="53"/>
        <v>2.4811364018259354</v>
      </c>
      <c r="AS39" s="305">
        <f t="shared" si="54"/>
        <v>2.4811364018259354</v>
      </c>
      <c r="AT39" s="306">
        <f t="shared" si="55"/>
        <v>2.3730654691702546</v>
      </c>
      <c r="AU39" s="287">
        <f t="shared" si="56"/>
        <v>-7.0526254357972107E-3</v>
      </c>
      <c r="AV39" s="265">
        <f t="shared" si="57"/>
        <v>-3.8617402737315842E-2</v>
      </c>
      <c r="AW39" s="264">
        <f t="shared" si="58"/>
        <v>-5.7847494899245788E-3</v>
      </c>
      <c r="AX39" s="264">
        <f t="shared" si="59"/>
        <v>-4.4402152227240421E-2</v>
      </c>
    </row>
    <row r="40" spans="2:50" x14ac:dyDescent="0.2">
      <c r="N40" s="288"/>
      <c r="AD40" s="288"/>
      <c r="AT40" s="337" t="s">
        <v>74</v>
      </c>
      <c r="AU40" s="262">
        <f>SUM(AU24:AU39)</f>
        <v>-5.9522867046167049E-2</v>
      </c>
      <c r="AV40" s="261">
        <f>SUM(AV24:AV39)</f>
        <v>-1.1486759526646857</v>
      </c>
      <c r="AW40" s="262">
        <f>SUM(AW24:AW39)</f>
        <v>-7.1937743303934265E-2</v>
      </c>
      <c r="AX40" s="262">
        <f>SUM(AX24:AX39)</f>
        <v>-1.22061369596862</v>
      </c>
    </row>
    <row r="41" spans="2:50" x14ac:dyDescent="0.2">
      <c r="AD41" s="370"/>
      <c r="AT41" s="337" t="s">
        <v>83</v>
      </c>
      <c r="AU41" s="368">
        <f>AU40/GBDUS!K40</f>
        <v>-5.3624204546096445E-4</v>
      </c>
      <c r="AV41" s="368">
        <f>AV40/GBDUS!L40</f>
        <v>-6.1601639095014459E-4</v>
      </c>
      <c r="AW41" s="368">
        <f>AW40/GBDUS!M40</f>
        <v>-5.655380148123616E-4</v>
      </c>
      <c r="AX41" s="368">
        <f>AX40/GBDUS!N40</f>
        <v>-6.127928304975489E-4</v>
      </c>
    </row>
    <row r="42" spans="2:50" x14ac:dyDescent="0.2">
      <c r="O42" s="214"/>
      <c r="P42" s="214"/>
      <c r="Q42" s="214"/>
      <c r="R42" s="214"/>
      <c r="S42" s="214"/>
      <c r="U42" s="373"/>
      <c r="AD42" s="370"/>
    </row>
    <row r="43" spans="2:50" x14ac:dyDescent="0.2">
      <c r="AD43" s="370"/>
    </row>
    <row r="44" spans="2:50" x14ac:dyDescent="0.2">
      <c r="O44" s="214"/>
      <c r="P44" s="214"/>
      <c r="Q44" s="214"/>
      <c r="R44" s="214"/>
      <c r="S44" s="214"/>
      <c r="U44" s="214"/>
      <c r="V44" s="372"/>
      <c r="W44" s="372"/>
      <c r="X44" s="372"/>
      <c r="Y44" s="372"/>
      <c r="AD44" s="370"/>
    </row>
    <row r="45" spans="2:50" x14ac:dyDescent="0.2">
      <c r="U45" s="373"/>
      <c r="AD45" s="370"/>
    </row>
    <row r="46" spans="2:50" x14ac:dyDescent="0.2">
      <c r="AD46" s="370"/>
    </row>
    <row r="47" spans="2:50" x14ac:dyDescent="0.2">
      <c r="AD47" s="370"/>
    </row>
    <row r="48" spans="2:50" x14ac:dyDescent="0.2">
      <c r="AD48" s="370"/>
    </row>
  </sheetData>
  <mergeCells count="12">
    <mergeCell ref="AK4:AO4"/>
    <mergeCell ref="AP4:AT4"/>
    <mergeCell ref="AU4:AX4"/>
    <mergeCell ref="D4:H4"/>
    <mergeCell ref="I4:M4"/>
    <mergeCell ref="O4:S4"/>
    <mergeCell ref="N4:N5"/>
    <mergeCell ref="AD4:AD5"/>
    <mergeCell ref="AE4:AE5"/>
    <mergeCell ref="Y3:AC4"/>
    <mergeCell ref="T3:X4"/>
    <mergeCell ref="AF4:AJ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J48"/>
  <sheetViews>
    <sheetView showGridLines="0" zoomScaleNormal="100" workbookViewId="0"/>
  </sheetViews>
  <sheetFormatPr defaultRowHeight="12.75" x14ac:dyDescent="0.2"/>
  <cols>
    <col min="1" max="1" width="5" style="7" customWidth="1"/>
    <col min="2" max="2" width="8.7109375" style="7" customWidth="1"/>
    <col min="3" max="3" width="6.140625" style="7" bestFit="1" customWidth="1"/>
    <col min="4" max="6" width="3.5703125" style="7" bestFit="1" customWidth="1"/>
    <col min="7" max="7" width="4.5703125" style="7" customWidth="1"/>
    <col min="8" max="13" width="4.5703125" style="7" bestFit="1" customWidth="1"/>
    <col min="14" max="14" width="6.28515625" style="7" customWidth="1"/>
    <col min="15" max="20" width="4.5703125" style="7" bestFit="1" customWidth="1"/>
    <col min="21" max="21" width="5.7109375" style="7" customWidth="1"/>
    <col min="22" max="24" width="7.5703125" style="7" bestFit="1" customWidth="1"/>
    <col min="25" max="25" width="6.42578125" style="7" customWidth="1"/>
    <col min="26" max="26" width="5.5703125" style="7" customWidth="1"/>
    <col min="27" max="27" width="5.28515625" style="7" customWidth="1"/>
    <col min="28" max="28" width="5.140625" style="7" customWidth="1"/>
    <col min="29" max="29" width="5.5703125" style="7" customWidth="1"/>
    <col min="30" max="30" width="7.28515625" style="7" customWidth="1"/>
    <col min="31" max="31" width="7.42578125" style="7" customWidth="1"/>
    <col min="32" max="36" width="4.5703125" style="7" bestFit="1" customWidth="1"/>
    <col min="37" max="46" width="5.5703125" style="7" bestFit="1" customWidth="1"/>
    <col min="47" max="47" width="8.85546875" style="7" bestFit="1" customWidth="1"/>
    <col min="48" max="48" width="6.140625" style="7" bestFit="1" customWidth="1"/>
    <col min="49" max="49" width="6.5703125" style="7" bestFit="1" customWidth="1"/>
    <col min="50" max="50" width="7.42578125" style="7" bestFit="1" customWidth="1"/>
    <col min="51" max="16384" width="9.140625" style="7"/>
  </cols>
  <sheetData>
    <row r="2" spans="2:62" x14ac:dyDescent="0.2">
      <c r="B2" s="76" t="s">
        <v>224</v>
      </c>
    </row>
    <row r="3" spans="2:62" x14ac:dyDescent="0.2">
      <c r="T3" s="581" t="s">
        <v>173</v>
      </c>
      <c r="U3" s="581"/>
      <c r="V3" s="581"/>
      <c r="W3" s="581"/>
      <c r="X3" s="581"/>
      <c r="Y3" s="582" t="s">
        <v>207</v>
      </c>
      <c r="Z3" s="582"/>
      <c r="AA3" s="582"/>
      <c r="AB3" s="582"/>
      <c r="AC3" s="582"/>
    </row>
    <row r="4" spans="2:62" ht="12.75" customHeight="1" x14ac:dyDescent="0.2">
      <c r="B4" s="216" t="s">
        <v>99</v>
      </c>
      <c r="C4" s="224"/>
      <c r="D4" s="583" t="s">
        <v>182</v>
      </c>
      <c r="E4" s="584"/>
      <c r="F4" s="584"/>
      <c r="G4" s="584"/>
      <c r="H4" s="585"/>
      <c r="I4" s="583" t="s">
        <v>183</v>
      </c>
      <c r="J4" s="584"/>
      <c r="K4" s="584"/>
      <c r="L4" s="584"/>
      <c r="M4" s="585"/>
      <c r="N4" s="586" t="s">
        <v>177</v>
      </c>
      <c r="O4" s="582" t="s">
        <v>204</v>
      </c>
      <c r="P4" s="581"/>
      <c r="Q4" s="581"/>
      <c r="R4" s="581"/>
      <c r="S4" s="588"/>
      <c r="T4" s="581"/>
      <c r="U4" s="581"/>
      <c r="V4" s="581"/>
      <c r="W4" s="581"/>
      <c r="X4" s="581"/>
      <c r="Y4" s="582"/>
      <c r="Z4" s="582"/>
      <c r="AA4" s="582"/>
      <c r="AB4" s="582"/>
      <c r="AC4" s="582"/>
      <c r="AD4" s="586" t="s">
        <v>2</v>
      </c>
      <c r="AE4" s="589" t="s">
        <v>206</v>
      </c>
      <c r="AF4" s="582" t="s">
        <v>205</v>
      </c>
      <c r="AG4" s="581"/>
      <c r="AH4" s="581"/>
      <c r="AI4" s="581"/>
      <c r="AJ4" s="588"/>
      <c r="AK4" s="581" t="s">
        <v>174</v>
      </c>
      <c r="AL4" s="581"/>
      <c r="AM4" s="581"/>
      <c r="AN4" s="581"/>
      <c r="AO4" s="588"/>
      <c r="AP4" s="591" t="s">
        <v>175</v>
      </c>
      <c r="AQ4" s="591"/>
      <c r="AR4" s="591"/>
      <c r="AS4" s="591"/>
      <c r="AT4" s="592"/>
      <c r="AU4" s="580" t="s">
        <v>176</v>
      </c>
      <c r="AV4" s="580"/>
      <c r="AW4" s="580"/>
      <c r="AX4" s="580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</row>
    <row r="5" spans="2:62" x14ac:dyDescent="0.2">
      <c r="B5" s="219" t="s">
        <v>1</v>
      </c>
      <c r="C5" s="225" t="s">
        <v>0</v>
      </c>
      <c r="D5" s="220">
        <v>1</v>
      </c>
      <c r="E5" s="220">
        <v>2</v>
      </c>
      <c r="F5" s="220">
        <v>3</v>
      </c>
      <c r="G5" s="220">
        <v>4</v>
      </c>
      <c r="H5" s="221">
        <v>5</v>
      </c>
      <c r="I5" s="220">
        <v>1</v>
      </c>
      <c r="J5" s="220">
        <v>2</v>
      </c>
      <c r="K5" s="220">
        <v>3</v>
      </c>
      <c r="L5" s="220">
        <v>4</v>
      </c>
      <c r="M5" s="221">
        <v>5</v>
      </c>
      <c r="N5" s="587"/>
      <c r="O5" s="263">
        <v>1</v>
      </c>
      <c r="P5" s="263">
        <v>2</v>
      </c>
      <c r="Q5" s="263">
        <v>3</v>
      </c>
      <c r="R5" s="263">
        <v>4</v>
      </c>
      <c r="S5" s="270">
        <v>5</v>
      </c>
      <c r="T5" s="281">
        <v>1</v>
      </c>
      <c r="U5" s="282">
        <v>2</v>
      </c>
      <c r="V5" s="282">
        <v>3</v>
      </c>
      <c r="W5" s="282">
        <v>4</v>
      </c>
      <c r="X5" s="283">
        <v>5</v>
      </c>
      <c r="Y5" s="282">
        <v>1</v>
      </c>
      <c r="Z5" s="282">
        <v>2</v>
      </c>
      <c r="AA5" s="282">
        <v>3</v>
      </c>
      <c r="AB5" s="282">
        <v>4</v>
      </c>
      <c r="AC5" s="283">
        <v>5</v>
      </c>
      <c r="AD5" s="586"/>
      <c r="AE5" s="590"/>
      <c r="AF5" s="281">
        <v>1</v>
      </c>
      <c r="AG5" s="282">
        <v>2</v>
      </c>
      <c r="AH5" s="282">
        <v>3</v>
      </c>
      <c r="AI5" s="282">
        <v>4</v>
      </c>
      <c r="AJ5" s="283">
        <v>5</v>
      </c>
      <c r="AK5" s="297">
        <v>1</v>
      </c>
      <c r="AL5" s="220">
        <v>2</v>
      </c>
      <c r="AM5" s="220">
        <v>3</v>
      </c>
      <c r="AN5" s="220">
        <v>4</v>
      </c>
      <c r="AO5" s="221">
        <v>5</v>
      </c>
      <c r="AP5" s="282">
        <v>1</v>
      </c>
      <c r="AQ5" s="282">
        <v>2</v>
      </c>
      <c r="AR5" s="282">
        <v>3</v>
      </c>
      <c r="AS5" s="282">
        <v>4</v>
      </c>
      <c r="AT5" s="283">
        <v>5</v>
      </c>
      <c r="AU5" s="298" t="s">
        <v>178</v>
      </c>
      <c r="AV5" s="282" t="s">
        <v>179</v>
      </c>
      <c r="AW5" s="282" t="s">
        <v>180</v>
      </c>
      <c r="AX5" s="282" t="s">
        <v>181</v>
      </c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</row>
    <row r="6" spans="2:62" x14ac:dyDescent="0.2">
      <c r="B6" s="217">
        <v>1</v>
      </c>
      <c r="C6" s="224" t="s">
        <v>9</v>
      </c>
      <c r="D6" s="218">
        <f>Baseline!AL31</f>
        <v>0.34178944291052044</v>
      </c>
      <c r="E6" s="218">
        <f>Baseline!AM31</f>
        <v>0.86022138962281691</v>
      </c>
      <c r="F6" s="218">
        <f>Baseline!AN31</f>
        <v>1.6301922696081339</v>
      </c>
      <c r="G6" s="218">
        <f>Baseline!AO31</f>
        <v>3.089352192294788</v>
      </c>
      <c r="H6" s="222">
        <f>Baseline!AP31</f>
        <v>7.7753332966046385</v>
      </c>
      <c r="I6" s="218">
        <f>IF(D6+'Non-travel METs'!D6&gt;2.5, D6+'Non-travel METs'!D6, 0.1)</f>
        <v>0.1</v>
      </c>
      <c r="J6" s="218">
        <f>IF(E6+'Non-travel METs'!E6&gt;2.5, E6+'Non-travel METs'!E6, 0.1)</f>
        <v>0.1</v>
      </c>
      <c r="K6" s="218">
        <f>IF(F6+'Non-travel METs'!F6&gt;2.5, F6+'Non-travel METs'!F6, 0.1)</f>
        <v>0.1</v>
      </c>
      <c r="L6" s="218">
        <f>IF(G6+'Non-travel METs'!G6&gt;2.5, G6+'Non-travel METs'!G6, 0.1)</f>
        <v>3.089352192294788</v>
      </c>
      <c r="M6" s="223">
        <f>IF(H6+'Non-travel METs'!H6&gt;2.5, H6+'Non-travel METs'!H6, 0.1)</f>
        <v>7.7753332966046385</v>
      </c>
      <c r="N6" s="268">
        <f>'Phy activity RRs'!$F$12</f>
        <v>0.9244331578735252</v>
      </c>
      <c r="O6" s="261">
        <f>$N6^(I6^0.5)</f>
        <v>0.97545870827357695</v>
      </c>
      <c r="P6" s="261">
        <f t="shared" ref="P6:S21" si="0">$N6^(J6^0.5)</f>
        <v>0.97545870827357695</v>
      </c>
      <c r="Q6" s="261">
        <f t="shared" si="0"/>
        <v>0.97545870827357695</v>
      </c>
      <c r="R6" s="261">
        <f t="shared" si="0"/>
        <v>0.87100553900111766</v>
      </c>
      <c r="S6" s="271">
        <f t="shared" si="0"/>
        <v>0.80324182338606798</v>
      </c>
      <c r="T6" s="275"/>
      <c r="U6" s="275"/>
      <c r="V6" s="275"/>
      <c r="W6" s="275"/>
      <c r="X6" s="276"/>
      <c r="Y6" s="262">
        <f>O6/$O6</f>
        <v>1</v>
      </c>
      <c r="Z6" s="262">
        <f t="shared" ref="Z6:AC21" si="1">P6/$O6</f>
        <v>1</v>
      </c>
      <c r="AA6" s="262">
        <f t="shared" si="1"/>
        <v>1</v>
      </c>
      <c r="AB6" s="262">
        <f t="shared" si="1"/>
        <v>0.89291892277293161</v>
      </c>
      <c r="AC6" s="286">
        <f t="shared" si="1"/>
        <v>0.82345035886520679</v>
      </c>
      <c r="AD6" s="289"/>
      <c r="AE6" s="290"/>
      <c r="AF6" s="214">
        <f>GBDUS!K109/(Y6+Z6+AA6+AB6+AC6)</f>
        <v>0</v>
      </c>
      <c r="AG6" s="214">
        <f>$AF6*Z6</f>
        <v>0</v>
      </c>
      <c r="AH6" s="214">
        <f t="shared" ref="AH6:AJ21" si="2">$AF6*AA6</f>
        <v>0</v>
      </c>
      <c r="AI6" s="214">
        <f t="shared" si="2"/>
        <v>0</v>
      </c>
      <c r="AJ6" s="292">
        <f t="shared" si="2"/>
        <v>0</v>
      </c>
      <c r="AK6" s="301">
        <f>GBDUS!L109/(Y6+Z6+AA6+AB6+AC6)</f>
        <v>0.97646983807979293</v>
      </c>
      <c r="AL6" s="301">
        <f>$AK6*Z6</f>
        <v>0.97646983807979293</v>
      </c>
      <c r="AM6" s="301">
        <f t="shared" ref="AM6:AO21" si="3">$AK6*AA6</f>
        <v>0.97646983807979293</v>
      </c>
      <c r="AN6" s="301">
        <f t="shared" si="3"/>
        <v>0.8719083959384677</v>
      </c>
      <c r="AO6" s="303">
        <f t="shared" si="3"/>
        <v>0.80407443858785588</v>
      </c>
      <c r="AP6" s="301">
        <f>GBDUS!M109/(Y6+Z6+AA6+AB6+AC6)</f>
        <v>2.3083635938375853</v>
      </c>
      <c r="AQ6" s="301">
        <f>$AP6*Z6</f>
        <v>2.3083635938375853</v>
      </c>
      <c r="AR6" s="301">
        <f t="shared" ref="AR6:AT21" si="4">$AP6*AA6</f>
        <v>2.3083635938375853</v>
      </c>
      <c r="AS6" s="301">
        <f t="shared" si="4"/>
        <v>2.0611815335777095</v>
      </c>
      <c r="AT6" s="302">
        <f t="shared" si="4"/>
        <v>1.9008228297369381</v>
      </c>
      <c r="AU6" s="299"/>
      <c r="AV6" s="299"/>
      <c r="AW6" s="299"/>
      <c r="AX6" s="299"/>
    </row>
    <row r="7" spans="2:62" x14ac:dyDescent="0.2">
      <c r="B7" s="217">
        <v>1</v>
      </c>
      <c r="C7" s="224" t="s">
        <v>10</v>
      </c>
      <c r="D7" s="218">
        <f>Baseline!AL32</f>
        <v>0.70925660709360083</v>
      </c>
      <c r="E7" s="218">
        <f>Baseline!AM32</f>
        <v>1.7850688978505065</v>
      </c>
      <c r="F7" s="218">
        <f>Baseline!AN32</f>
        <v>3.382856498452989</v>
      </c>
      <c r="G7" s="218">
        <f>Baseline!AO32</f>
        <v>6.410799102995739</v>
      </c>
      <c r="H7" s="223">
        <f>Baseline!AP32</f>
        <v>16.134806464503455</v>
      </c>
      <c r="I7" s="218">
        <f>IF(D7+'Non-travel METs'!D7&gt;2.5, D7+'Non-travel METs'!D7, 0.1)</f>
        <v>0.1</v>
      </c>
      <c r="J7" s="218">
        <f>IF(E7+'Non-travel METs'!E7&gt;2.5, E7+'Non-travel METs'!E7, 0.1)</f>
        <v>0.1</v>
      </c>
      <c r="K7" s="218">
        <f>IF(F7+'Non-travel METs'!F7&gt;2.5, F7+'Non-travel METs'!F7, 0.1)</f>
        <v>3.382856498452989</v>
      </c>
      <c r="L7" s="218">
        <f>IF(G7+'Non-travel METs'!G7&gt;2.5, G7+'Non-travel METs'!G7, 0.1)</f>
        <v>6.410799102995739</v>
      </c>
      <c r="M7" s="223">
        <f>IF(H7+'Non-travel METs'!H7&gt;2.5, H7+'Non-travel METs'!H7, 0.1)</f>
        <v>16.134806464503455</v>
      </c>
      <c r="N7" s="268">
        <f>'Phy activity RRs'!$F$12</f>
        <v>0.9244331578735252</v>
      </c>
      <c r="O7" s="261">
        <f t="shared" ref="O7:O13" si="5">$N7^(I7^0.5)</f>
        <v>0.97545870827357695</v>
      </c>
      <c r="P7" s="261">
        <f t="shared" si="0"/>
        <v>0.97545870827357695</v>
      </c>
      <c r="Q7" s="261">
        <f t="shared" si="0"/>
        <v>0.86543886038808959</v>
      </c>
      <c r="R7" s="261">
        <f t="shared" si="0"/>
        <v>0.81959314668401562</v>
      </c>
      <c r="S7" s="271">
        <f t="shared" si="0"/>
        <v>0.72933698769468369</v>
      </c>
      <c r="T7" s="275"/>
      <c r="U7" s="275"/>
      <c r="V7" s="275"/>
      <c r="W7" s="275"/>
      <c r="X7" s="276"/>
      <c r="Y7" s="262">
        <f t="shared" ref="Y7:Y21" si="6">O7/$O7</f>
        <v>1</v>
      </c>
      <c r="Z7" s="262">
        <f t="shared" si="1"/>
        <v>1</v>
      </c>
      <c r="AA7" s="262">
        <f t="shared" si="1"/>
        <v>0.88721219365583726</v>
      </c>
      <c r="AB7" s="262">
        <f t="shared" si="1"/>
        <v>0.84021306051445155</v>
      </c>
      <c r="AC7" s="273">
        <f t="shared" si="1"/>
        <v>0.74768617216561262</v>
      </c>
      <c r="AD7" s="290"/>
      <c r="AE7" s="290"/>
      <c r="AF7" s="214">
        <f>GBDUS!K110/(Y7+Z7+AA7+AB7+AC7)</f>
        <v>0</v>
      </c>
      <c r="AG7" s="214">
        <f t="shared" ref="AG7:AG21" si="7">$AF7*Z7</f>
        <v>0</v>
      </c>
      <c r="AH7" s="214">
        <f t="shared" si="2"/>
        <v>0</v>
      </c>
      <c r="AI7" s="214">
        <f t="shared" si="2"/>
        <v>0</v>
      </c>
      <c r="AJ7" s="292">
        <f t="shared" si="2"/>
        <v>0</v>
      </c>
      <c r="AK7" s="301">
        <f>GBDUS!L110/(Y7+Z7+AA7+AB7+AC7)</f>
        <v>0.82679624093342674</v>
      </c>
      <c r="AL7" s="301">
        <f t="shared" ref="AL7:AL21" si="8">$AK7*Z7</f>
        <v>0.82679624093342674</v>
      </c>
      <c r="AM7" s="301">
        <f t="shared" si="3"/>
        <v>0.73354370662494572</v>
      </c>
      <c r="AN7" s="301">
        <f t="shared" si="3"/>
        <v>0.69468500001651834</v>
      </c>
      <c r="AO7" s="303">
        <f t="shared" si="3"/>
        <v>0.61818411654443139</v>
      </c>
      <c r="AP7" s="301">
        <f>GBDUS!M110/(Y7+Z7+AA7+AB7+AC7)</f>
        <v>5.3197501195266135</v>
      </c>
      <c r="AQ7" s="301">
        <f t="shared" ref="AQ7:AQ21" si="9">$AP7*Z7</f>
        <v>5.3197501195266135</v>
      </c>
      <c r="AR7" s="301">
        <f t="shared" si="4"/>
        <v>4.7197471732461089</v>
      </c>
      <c r="AS7" s="301">
        <f t="shared" si="4"/>
        <v>4.4697235290995749</v>
      </c>
      <c r="AT7" s="303">
        <f t="shared" si="4"/>
        <v>3.9775036037464138</v>
      </c>
      <c r="AU7" s="299"/>
      <c r="AV7" s="299"/>
      <c r="AW7" s="299"/>
      <c r="AX7" s="299"/>
    </row>
    <row r="8" spans="2:62" x14ac:dyDescent="0.2">
      <c r="B8" s="217">
        <v>1</v>
      </c>
      <c r="C8" s="224" t="s">
        <v>11</v>
      </c>
      <c r="D8" s="218">
        <f>Baseline!AL33</f>
        <v>0.54814846293685915</v>
      </c>
      <c r="E8" s="218">
        <f>Baseline!AM33</f>
        <v>1.3795892245583525</v>
      </c>
      <c r="F8" s="218">
        <f>Baseline!AN33</f>
        <v>2.614438232111187</v>
      </c>
      <c r="G8" s="218">
        <f>Baseline!AO33</f>
        <v>4.9545815144452483</v>
      </c>
      <c r="H8" s="223">
        <f>Baseline!AP33</f>
        <v>12.469773668437746</v>
      </c>
      <c r="I8" s="218">
        <f>IF(D8+'Non-travel METs'!D8&gt;2.5, D8+'Non-travel METs'!D8, 0.1)</f>
        <v>65.425648462936863</v>
      </c>
      <c r="J8" s="218">
        <f>IF(E8+'Non-travel METs'!E8&gt;2.5, E8+'Non-travel METs'!E8, 0.1)</f>
        <v>66.257089224558356</v>
      </c>
      <c r="K8" s="218">
        <f>IF(F8+'Non-travel METs'!F8&gt;2.5, F8+'Non-travel METs'!F8, 0.1)</f>
        <v>67.491938232111181</v>
      </c>
      <c r="L8" s="218">
        <f>IF(G8+'Non-travel METs'!G8&gt;2.5, G8+'Non-travel METs'!G8, 0.1)</f>
        <v>69.83208151444525</v>
      </c>
      <c r="M8" s="223">
        <f>IF(H8+'Non-travel METs'!H8&gt;2.5, H8+'Non-travel METs'!H8, 0.1)</f>
        <v>77.347273668437737</v>
      </c>
      <c r="N8" s="268">
        <f>'Phy activity RRs'!$F$12</f>
        <v>0.9244331578735252</v>
      </c>
      <c r="O8" s="261">
        <f t="shared" si="5"/>
        <v>0.52963937925680471</v>
      </c>
      <c r="P8" s="261">
        <f t="shared" si="0"/>
        <v>0.52751152313798677</v>
      </c>
      <c r="Q8" s="261">
        <f t="shared" si="0"/>
        <v>0.52439130953103075</v>
      </c>
      <c r="R8" s="261">
        <f t="shared" si="0"/>
        <v>0.51860502088977845</v>
      </c>
      <c r="S8" s="271">
        <f t="shared" si="0"/>
        <v>0.50105380874803263</v>
      </c>
      <c r="T8" s="275"/>
      <c r="U8" s="275"/>
      <c r="V8" s="275"/>
      <c r="W8" s="275"/>
      <c r="X8" s="276"/>
      <c r="Y8" s="262">
        <f t="shared" si="6"/>
        <v>1</v>
      </c>
      <c r="Z8" s="262">
        <f t="shared" si="1"/>
        <v>0.99598244352260257</v>
      </c>
      <c r="AA8" s="262">
        <f t="shared" si="1"/>
        <v>0.99009123956542255</v>
      </c>
      <c r="AB8" s="262">
        <f t="shared" si="1"/>
        <v>0.97916628030470509</v>
      </c>
      <c r="AC8" s="273">
        <f t="shared" si="1"/>
        <v>0.94602823802700686</v>
      </c>
      <c r="AD8" s="290"/>
      <c r="AE8" s="290"/>
      <c r="AF8" s="214">
        <f>GBDUS!K111/(Y8+Z8+AA8+AB8+AC8)</f>
        <v>0</v>
      </c>
      <c r="AG8" s="214">
        <f t="shared" si="7"/>
        <v>0</v>
      </c>
      <c r="AH8" s="214">
        <f t="shared" si="2"/>
        <v>0</v>
      </c>
      <c r="AI8" s="214">
        <f t="shared" si="2"/>
        <v>0</v>
      </c>
      <c r="AJ8" s="292">
        <f t="shared" si="2"/>
        <v>0</v>
      </c>
      <c r="AK8" s="301">
        <f>GBDUS!L111/(Y8+Z8+AA8+AB8+AC8)</f>
        <v>10.297937830785514</v>
      </c>
      <c r="AL8" s="301">
        <f t="shared" si="8"/>
        <v>10.256565283949605</v>
      </c>
      <c r="AM8" s="301">
        <f t="shared" si="3"/>
        <v>10.195898031850088</v>
      </c>
      <c r="AN8" s="301">
        <f t="shared" si="3"/>
        <v>10.083393480579355</v>
      </c>
      <c r="AO8" s="303">
        <f t="shared" si="3"/>
        <v>9.742139981369677</v>
      </c>
      <c r="AP8" s="301">
        <f>GBDUS!M111/(Y8+Z8+AA8+AB8+AC8)</f>
        <v>13.696460104748168</v>
      </c>
      <c r="AQ8" s="301">
        <f t="shared" si="9"/>
        <v>13.641433802736922</v>
      </c>
      <c r="AR8" s="301">
        <f t="shared" si="4"/>
        <v>13.56074516276847</v>
      </c>
      <c r="AS8" s="301">
        <f t="shared" si="4"/>
        <v>13.411111894108055</v>
      </c>
      <c r="AT8" s="303">
        <f t="shared" si="4"/>
        <v>12.957238020102103</v>
      </c>
      <c r="AU8" s="299"/>
      <c r="AV8" s="299"/>
      <c r="AW8" s="299"/>
      <c r="AX8" s="299"/>
    </row>
    <row r="9" spans="2:62" x14ac:dyDescent="0.2">
      <c r="B9" s="217">
        <v>1</v>
      </c>
      <c r="C9" s="224" t="s">
        <v>12</v>
      </c>
      <c r="D9" s="218">
        <f>Baseline!AL34</f>
        <v>0.47247961244187975</v>
      </c>
      <c r="E9" s="218">
        <f>Baseline!AM34</f>
        <v>1.1891445953455264</v>
      </c>
      <c r="F9" s="218">
        <f>Baseline!AN34</f>
        <v>2.253529556651181</v>
      </c>
      <c r="G9" s="218">
        <f>Baseline!AO34</f>
        <v>4.2706290577092139</v>
      </c>
      <c r="H9" s="223">
        <f>Baseline!AP34</f>
        <v>10.7483906796617</v>
      </c>
      <c r="I9" s="218">
        <f>IF(D9+'Non-travel METs'!D9&gt;2.5, D9+'Non-travel METs'!D9, 0.1)</f>
        <v>68.166229612441867</v>
      </c>
      <c r="J9" s="218">
        <f>IF(E9+'Non-travel METs'!E9&gt;2.5, E9+'Non-travel METs'!E9, 0.1)</f>
        <v>68.882894595345519</v>
      </c>
      <c r="K9" s="218">
        <f>IF(F9+'Non-travel METs'!F9&gt;2.5, F9+'Non-travel METs'!F9, 0.1)</f>
        <v>69.947279556651182</v>
      </c>
      <c r="L9" s="218">
        <f>IF(G9+'Non-travel METs'!G9&gt;2.5, G9+'Non-travel METs'!G9, 0.1)</f>
        <v>71.964379057709209</v>
      </c>
      <c r="M9" s="223">
        <f>IF(H9+'Non-travel METs'!H9&gt;2.5, H9+'Non-travel METs'!H9, 0.1)</f>
        <v>78.442140679661691</v>
      </c>
      <c r="N9" s="268">
        <f>'Phy activity RRs'!$F$12</f>
        <v>0.9244331578735252</v>
      </c>
      <c r="O9" s="261">
        <f t="shared" si="5"/>
        <v>0.52270727891588487</v>
      </c>
      <c r="P9" s="261">
        <f t="shared" si="0"/>
        <v>0.52093240906620963</v>
      </c>
      <c r="Q9" s="261">
        <f t="shared" si="0"/>
        <v>0.51832434211047274</v>
      </c>
      <c r="R9" s="261">
        <f t="shared" si="0"/>
        <v>0.51347082743816219</v>
      </c>
      <c r="S9" s="271">
        <f t="shared" si="0"/>
        <v>0.49861774660934532</v>
      </c>
      <c r="T9" s="275"/>
      <c r="U9" s="275"/>
      <c r="V9" s="275"/>
      <c r="W9" s="275"/>
      <c r="X9" s="276"/>
      <c r="Y9" s="262">
        <f t="shared" si="6"/>
        <v>1</v>
      </c>
      <c r="Z9" s="262">
        <f t="shared" si="1"/>
        <v>0.99660446693346916</v>
      </c>
      <c r="AA9" s="262">
        <f t="shared" si="1"/>
        <v>0.99161493060800199</v>
      </c>
      <c r="AB9" s="262">
        <f t="shared" si="1"/>
        <v>0.98232959086225191</v>
      </c>
      <c r="AC9" s="273">
        <f t="shared" si="1"/>
        <v>0.95391391457853392</v>
      </c>
      <c r="AD9" s="290"/>
      <c r="AE9" s="290"/>
      <c r="AF9" s="214">
        <f>GBDUS!K112/(Y9+Z9+AA9+AB9+AC9)</f>
        <v>0.60920349266580898</v>
      </c>
      <c r="AG9" s="214">
        <f t="shared" si="7"/>
        <v>0.6071349220622162</v>
      </c>
      <c r="AH9" s="214">
        <f t="shared" si="2"/>
        <v>0.60409527910595862</v>
      </c>
      <c r="AI9" s="214">
        <f t="shared" si="2"/>
        <v>0.59843861770225903</v>
      </c>
      <c r="AJ9" s="292">
        <f t="shared" si="2"/>
        <v>0.58112768846375706</v>
      </c>
      <c r="AK9" s="301">
        <f>GBDUS!L112/(Y9+Z9+AA9+AB9+AC9)</f>
        <v>28.776540066773851</v>
      </c>
      <c r="AL9" s="301">
        <f t="shared" si="8"/>
        <v>28.678828373436772</v>
      </c>
      <c r="AM9" s="301">
        <f t="shared" si="3"/>
        <v>28.53524678145234</v>
      </c>
      <c r="AN9" s="301">
        <f t="shared" si="3"/>
        <v>28.268046830225156</v>
      </c>
      <c r="AO9" s="303">
        <f t="shared" si="3"/>
        <v>27.450341983122271</v>
      </c>
      <c r="AP9" s="301">
        <f>GBDUS!M112/(Y9+Z9+AA9+AB9+AC9)</f>
        <v>34.271962243177434</v>
      </c>
      <c r="AQ9" s="301">
        <f t="shared" si="9"/>
        <v>34.155590662125832</v>
      </c>
      <c r="AR9" s="301">
        <f t="shared" si="4"/>
        <v>33.984589461568454</v>
      </c>
      <c r="AS9" s="301">
        <f t="shared" si="4"/>
        <v>33.666362648387036</v>
      </c>
      <c r="AT9" s="303">
        <f t="shared" si="4"/>
        <v>32.692501663677099</v>
      </c>
      <c r="AU9" s="299"/>
      <c r="AV9" s="299"/>
      <c r="AW9" s="299"/>
      <c r="AX9" s="299"/>
    </row>
    <row r="10" spans="2:62" x14ac:dyDescent="0.2">
      <c r="B10" s="217">
        <v>1</v>
      </c>
      <c r="C10" s="224" t="s">
        <v>13</v>
      </c>
      <c r="D10" s="218">
        <f>Baseline!AL35</f>
        <v>0.40064658164119982</v>
      </c>
      <c r="E10" s="218">
        <f>Baseline!AM35</f>
        <v>1.0083540213301772</v>
      </c>
      <c r="F10" s="218">
        <f>Baseline!AN35</f>
        <v>1.9109161320918737</v>
      </c>
      <c r="G10" s="218">
        <f>Baseline!AO35</f>
        <v>3.6213476483903273</v>
      </c>
      <c r="H10" s="223">
        <f>Baseline!AP35</f>
        <v>9.1142683632308312</v>
      </c>
      <c r="I10" s="218">
        <f>IF(D10+'Non-travel METs'!D10&gt;2.5, D10+'Non-travel METs'!D10, 0.1)</f>
        <v>58.175646581641196</v>
      </c>
      <c r="J10" s="218">
        <f>IF(E10+'Non-travel METs'!E10&gt;2.5, E10+'Non-travel METs'!E10, 0.1)</f>
        <v>58.783354021330176</v>
      </c>
      <c r="K10" s="218">
        <f>IF(F10+'Non-travel METs'!F10&gt;2.5, F10+'Non-travel METs'!F10, 0.1)</f>
        <v>59.685916132091876</v>
      </c>
      <c r="L10" s="218">
        <f>IF(G10+'Non-travel METs'!G10&gt;2.5, G10+'Non-travel METs'!G10, 0.1)</f>
        <v>61.396347648390325</v>
      </c>
      <c r="M10" s="223">
        <f>IF(H10+'Non-travel METs'!H10&gt;2.5, H10+'Non-travel METs'!H10, 0.1)</f>
        <v>66.889268363230826</v>
      </c>
      <c r="N10" s="268">
        <f>'Phy activity RRs'!$F$12</f>
        <v>0.9244331578735252</v>
      </c>
      <c r="O10" s="261">
        <f t="shared" si="5"/>
        <v>0.54918977539105684</v>
      </c>
      <c r="P10" s="261">
        <f t="shared" si="0"/>
        <v>0.54747782702131198</v>
      </c>
      <c r="Q10" s="261">
        <f t="shared" si="0"/>
        <v>0.54496124750519559</v>
      </c>
      <c r="R10" s="261">
        <f t="shared" si="0"/>
        <v>0.54027489863376255</v>
      </c>
      <c r="S10" s="271">
        <f t="shared" si="0"/>
        <v>0.52590822360432754</v>
      </c>
      <c r="T10" s="275"/>
      <c r="U10" s="275"/>
      <c r="V10" s="275"/>
      <c r="W10" s="275"/>
      <c r="X10" s="276"/>
      <c r="Y10" s="262">
        <f t="shared" si="6"/>
        <v>1</v>
      </c>
      <c r="Z10" s="262">
        <f t="shared" si="1"/>
        <v>0.99688277450444907</v>
      </c>
      <c r="AA10" s="262">
        <f t="shared" si="1"/>
        <v>0.99230042496175341</v>
      </c>
      <c r="AB10" s="262">
        <f t="shared" si="1"/>
        <v>0.98376722008171702</v>
      </c>
      <c r="AC10" s="273">
        <f t="shared" si="1"/>
        <v>0.95760745587415319</v>
      </c>
      <c r="AD10" s="290"/>
      <c r="AE10" s="290"/>
      <c r="AF10" s="214">
        <f>GBDUS!K113/(Y10+Z10+AA10+AB10+AC10)</f>
        <v>2.6366184777594066</v>
      </c>
      <c r="AG10" s="214">
        <f t="shared" si="7"/>
        <v>2.6283995434184941</v>
      </c>
      <c r="AH10" s="214">
        <f t="shared" si="2"/>
        <v>2.6163176359426705</v>
      </c>
      <c r="AI10" s="214">
        <f t="shared" si="2"/>
        <v>2.5938188302814598</v>
      </c>
      <c r="AJ10" s="292">
        <f t="shared" si="2"/>
        <v>2.5248455125979681</v>
      </c>
      <c r="AK10" s="301">
        <f>GBDUS!L113/(Y10+Z10+AA10+AB10+AC10)</f>
        <v>88.082187893955137</v>
      </c>
      <c r="AL10" s="301">
        <f t="shared" si="8"/>
        <v>87.807615852148189</v>
      </c>
      <c r="AM10" s="301">
        <f t="shared" si="3"/>
        <v>87.40399247873269</v>
      </c>
      <c r="AN10" s="301">
        <f t="shared" si="3"/>
        <v>86.652369123151715</v>
      </c>
      <c r="AO10" s="303">
        <f t="shared" si="3"/>
        <v>84.348159856959512</v>
      </c>
      <c r="AP10" s="301">
        <f>GBDUS!M113/(Y10+Z10+AA10+AB10+AC10)</f>
        <v>75.177903132551108</v>
      </c>
      <c r="AQ10" s="301">
        <f t="shared" si="9"/>
        <v>74.943556656204265</v>
      </c>
      <c r="AR10" s="301">
        <f t="shared" si="4"/>
        <v>74.599065226164001</v>
      </c>
      <c r="AS10" s="301">
        <f t="shared" si="4"/>
        <v>73.957556776282416</v>
      </c>
      <c r="AT10" s="303">
        <f t="shared" si="4"/>
        <v>71.990920556715793</v>
      </c>
      <c r="AU10" s="299"/>
      <c r="AV10" s="299"/>
      <c r="AW10" s="299"/>
      <c r="AX10" s="299"/>
    </row>
    <row r="11" spans="2:62" x14ac:dyDescent="0.2">
      <c r="B11" s="217">
        <v>1</v>
      </c>
      <c r="C11" s="224" t="s">
        <v>14</v>
      </c>
      <c r="D11" s="218">
        <f>Baseline!AL36</f>
        <v>0.32427865889454843</v>
      </c>
      <c r="E11" s="218">
        <f>Baseline!AM36</f>
        <v>0.8161499553756566</v>
      </c>
      <c r="F11" s="218">
        <f>Baseline!AN36</f>
        <v>1.5466731752366658</v>
      </c>
      <c r="G11" s="218">
        <f>Baseline!AO36</f>
        <v>2.9310764464792394</v>
      </c>
      <c r="H11" s="223">
        <f>Baseline!AP36</f>
        <v>7.3769822508566136</v>
      </c>
      <c r="I11" s="218">
        <f>IF(D11+'Non-travel METs'!D11&gt;2.5, D11+'Non-travel METs'!D11, 0.1)</f>
        <v>23.407611992227849</v>
      </c>
      <c r="J11" s="218">
        <f>IF(E11+'Non-travel METs'!E11&gt;2.5, E11+'Non-travel METs'!E11, 0.1)</f>
        <v>23.899483288708957</v>
      </c>
      <c r="K11" s="218">
        <f>IF(F11+'Non-travel METs'!F11&gt;2.5, F11+'Non-travel METs'!F11, 0.1)</f>
        <v>24.630006508569966</v>
      </c>
      <c r="L11" s="218">
        <f>IF(G11+'Non-travel METs'!G11&gt;2.5, G11+'Non-travel METs'!G11, 0.1)</f>
        <v>26.014409779812539</v>
      </c>
      <c r="M11" s="223">
        <f>IF(H11+'Non-travel METs'!H11&gt;2.5, H11+'Non-travel METs'!H11, 0.1)</f>
        <v>30.460315584189914</v>
      </c>
      <c r="N11" s="268">
        <f>'Phy activity RRs'!$F$12</f>
        <v>0.9244331578735252</v>
      </c>
      <c r="O11" s="261">
        <f t="shared" si="5"/>
        <v>0.68375562907949095</v>
      </c>
      <c r="P11" s="261">
        <f t="shared" si="0"/>
        <v>0.6810441928137636</v>
      </c>
      <c r="Q11" s="261">
        <f t="shared" si="0"/>
        <v>0.67708760362537979</v>
      </c>
      <c r="R11" s="261">
        <f t="shared" si="0"/>
        <v>0.66980806351879496</v>
      </c>
      <c r="S11" s="271">
        <f t="shared" si="0"/>
        <v>0.64813281957809921</v>
      </c>
      <c r="T11" s="275"/>
      <c r="U11" s="275"/>
      <c r="V11" s="275"/>
      <c r="W11" s="275"/>
      <c r="X11" s="276"/>
      <c r="Y11" s="262">
        <f t="shared" si="6"/>
        <v>1</v>
      </c>
      <c r="Z11" s="262">
        <f t="shared" si="1"/>
        <v>0.99603449514649312</v>
      </c>
      <c r="AA11" s="262">
        <f t="shared" si="1"/>
        <v>0.99024794068154431</v>
      </c>
      <c r="AB11" s="262">
        <f t="shared" si="1"/>
        <v>0.97960153457241306</v>
      </c>
      <c r="AC11" s="273">
        <f t="shared" si="1"/>
        <v>0.94790125596574748</v>
      </c>
      <c r="AD11" s="290"/>
      <c r="AE11" s="290"/>
      <c r="AF11" s="214">
        <f>GBDUS!K114/(Y11+Z11+AA11+AB11+AC11)</f>
        <v>2.8491273743262822</v>
      </c>
      <c r="AG11" s="214">
        <f t="shared" si="7"/>
        <v>2.8378291458951321</v>
      </c>
      <c r="AH11" s="214">
        <f t="shared" si="2"/>
        <v>2.8213425151660165</v>
      </c>
      <c r="AI11" s="214">
        <f t="shared" si="2"/>
        <v>2.7910095480822958</v>
      </c>
      <c r="AJ11" s="292">
        <f t="shared" si="2"/>
        <v>2.7006914165302751</v>
      </c>
      <c r="AK11" s="301">
        <f>GBDUS!L114/(Y11+Z11+AA11+AB11+AC11)</f>
        <v>66.028104416178266</v>
      </c>
      <c r="AL11" s="301">
        <f t="shared" si="8"/>
        <v>65.766269647648045</v>
      </c>
      <c r="AM11" s="301">
        <f t="shared" si="3"/>
        <v>65.384194425226511</v>
      </c>
      <c r="AN11" s="301">
        <f t="shared" si="3"/>
        <v>64.681232410995747</v>
      </c>
      <c r="AO11" s="303">
        <f t="shared" si="3"/>
        <v>62.588123105132894</v>
      </c>
      <c r="AP11" s="301">
        <f>GBDUS!M114/(Y11+Z11+AA11+AB11+AC11)</f>
        <v>42.108494240294227</v>
      </c>
      <c r="AQ11" s="301">
        <f t="shared" si="9"/>
        <v>41.941512802010472</v>
      </c>
      <c r="AR11" s="301">
        <f t="shared" si="4"/>
        <v>41.697849706652029</v>
      </c>
      <c r="AS11" s="301">
        <f t="shared" si="4"/>
        <v>41.249545576325843</v>
      </c>
      <c r="AT11" s="303">
        <f t="shared" si="4"/>
        <v>39.914694577201345</v>
      </c>
      <c r="AU11" s="299"/>
      <c r="AV11" s="299"/>
      <c r="AW11" s="299"/>
      <c r="AX11" s="299"/>
    </row>
    <row r="12" spans="2:62" x14ac:dyDescent="0.2">
      <c r="B12" s="217">
        <v>1</v>
      </c>
      <c r="C12" s="224" t="s">
        <v>15</v>
      </c>
      <c r="D12" s="218">
        <f>Baseline!AL37</f>
        <v>0.187470361714002</v>
      </c>
      <c r="E12" s="218">
        <f>Baseline!AM37</f>
        <v>0.47182854360112558</v>
      </c>
      <c r="F12" s="218">
        <f>Baseline!AN37</f>
        <v>0.89415498572556928</v>
      </c>
      <c r="G12" s="218">
        <f>Baseline!AO37</f>
        <v>1.69449930348806</v>
      </c>
      <c r="H12" s="223">
        <f>Baseline!AP37</f>
        <v>4.2647442037669991</v>
      </c>
      <c r="I12" s="218">
        <f>IF(D12+'Non-travel METs'!D12&gt;2.5, D12+'Non-travel METs'!D12, 0.1)</f>
        <v>0.1</v>
      </c>
      <c r="J12" s="218">
        <f>IF(E12+'Non-travel METs'!E12&gt;2.5, E12+'Non-travel METs'!E12, 0.1)</f>
        <v>0.1</v>
      </c>
      <c r="K12" s="218">
        <f>IF(F12+'Non-travel METs'!F12&gt;2.5, F12+'Non-travel METs'!F12, 0.1)</f>
        <v>2.7691549857255691</v>
      </c>
      <c r="L12" s="218">
        <f>IF(G12+'Non-travel METs'!G12&gt;2.5, G12+'Non-travel METs'!G12, 0.1)</f>
        <v>3.56949930348806</v>
      </c>
      <c r="M12" s="223">
        <f>IF(H12+'Non-travel METs'!H12&gt;2.5, H12+'Non-travel METs'!H12, 0.1)</f>
        <v>6.1397442037669991</v>
      </c>
      <c r="N12" s="268">
        <f>'Phy activity RRs'!$F$12</f>
        <v>0.9244331578735252</v>
      </c>
      <c r="O12" s="261">
        <f t="shared" si="5"/>
        <v>0.97545870827357695</v>
      </c>
      <c r="P12" s="261">
        <f t="shared" si="0"/>
        <v>0.97545870827357695</v>
      </c>
      <c r="Q12" s="261">
        <f t="shared" si="0"/>
        <v>0.877433477930466</v>
      </c>
      <c r="R12" s="261">
        <f t="shared" si="0"/>
        <v>0.86204156136118915</v>
      </c>
      <c r="S12" s="271">
        <f t="shared" si="0"/>
        <v>0.82308487079936732</v>
      </c>
      <c r="T12" s="275"/>
      <c r="U12" s="275"/>
      <c r="V12" s="275"/>
      <c r="W12" s="275"/>
      <c r="X12" s="276"/>
      <c r="Y12" s="262">
        <f t="shared" si="6"/>
        <v>1</v>
      </c>
      <c r="Z12" s="262">
        <f t="shared" si="1"/>
        <v>1</v>
      </c>
      <c r="AA12" s="262">
        <f t="shared" si="1"/>
        <v>0.89950858041279713</v>
      </c>
      <c r="AB12" s="262">
        <f t="shared" si="1"/>
        <v>0.8837294229367022</v>
      </c>
      <c r="AC12" s="273">
        <f t="shared" si="1"/>
        <v>0.84379263193632292</v>
      </c>
      <c r="AD12" s="290"/>
      <c r="AE12" s="290"/>
      <c r="AF12" s="214">
        <f>GBDUS!K115/(Y12+Z12+AA12+AB12+AC12)</f>
        <v>5.4030331697718914</v>
      </c>
      <c r="AG12" s="214">
        <f t="shared" si="7"/>
        <v>5.4030331697718914</v>
      </c>
      <c r="AH12" s="214">
        <f t="shared" si="2"/>
        <v>4.8600746964647694</v>
      </c>
      <c r="AI12" s="214">
        <f t="shared" si="2"/>
        <v>4.7748193852303746</v>
      </c>
      <c r="AJ12" s="292">
        <f t="shared" si="2"/>
        <v>4.5590395787610776</v>
      </c>
      <c r="AK12" s="301">
        <f>GBDUS!L115/(Y12+Z12+AA12+AB12+AC12)</f>
        <v>79.664958112292297</v>
      </c>
      <c r="AL12" s="301">
        <f t="shared" si="8"/>
        <v>79.664958112292297</v>
      </c>
      <c r="AM12" s="301">
        <f t="shared" si="3"/>
        <v>71.659313380232987</v>
      </c>
      <c r="AN12" s="301">
        <f t="shared" si="3"/>
        <v>70.402267460852627</v>
      </c>
      <c r="AO12" s="303">
        <f t="shared" si="3"/>
        <v>67.220704678668042</v>
      </c>
      <c r="AP12" s="301">
        <f>GBDUS!M115/(Y12+Z12+AA12+AB12+AC12)</f>
        <v>46.374086004135975</v>
      </c>
      <c r="AQ12" s="301">
        <f t="shared" si="9"/>
        <v>46.374086004135975</v>
      </c>
      <c r="AR12" s="301">
        <f t="shared" si="4"/>
        <v>41.713888269521313</v>
      </c>
      <c r="AS12" s="301">
        <f t="shared" si="4"/>
        <v>40.982144263652081</v>
      </c>
      <c r="AT12" s="303">
        <f t="shared" si="4"/>
        <v>39.130112083071289</v>
      </c>
      <c r="AU12" s="299"/>
      <c r="AV12" s="299"/>
      <c r="AW12" s="299"/>
      <c r="AX12" s="299"/>
    </row>
    <row r="13" spans="2:62" x14ac:dyDescent="0.2">
      <c r="B13" s="226">
        <v>1</v>
      </c>
      <c r="C13" s="227" t="s">
        <v>16</v>
      </c>
      <c r="D13" s="228">
        <f>Baseline!AL38</f>
        <v>0.17399761857642834</v>
      </c>
      <c r="E13" s="228">
        <f>Baseline!AM38</f>
        <v>0.4379201182116701</v>
      </c>
      <c r="F13" s="228">
        <f>Baseline!AN38</f>
        <v>0.82989565247565811</v>
      </c>
      <c r="G13" s="228">
        <f>Baseline!AO38</f>
        <v>1.5727224335126344</v>
      </c>
      <c r="H13" s="229">
        <f>Baseline!AP38</f>
        <v>3.9582541395270634</v>
      </c>
      <c r="I13" s="230">
        <f>IF(D13+'Non-travel METs'!D13&gt;2.5, D13+'Non-travel METs'!D13, 0.1)</f>
        <v>0.1</v>
      </c>
      <c r="J13" s="228">
        <f>IF(E13+'Non-travel METs'!E13&gt;2.5, E13+'Non-travel METs'!E13, 0.1)</f>
        <v>0.1</v>
      </c>
      <c r="K13" s="228">
        <f>IF(F13+'Non-travel METs'!F13&gt;2.5, F13+'Non-travel METs'!F13, 0.1)</f>
        <v>0.1</v>
      </c>
      <c r="L13" s="228">
        <f>IF(G13+'Non-travel METs'!G13&gt;2.5, G13+'Non-travel METs'!G13, 0.1)</f>
        <v>0.1</v>
      </c>
      <c r="M13" s="229">
        <f>IF(H13+'Non-travel METs'!H13&gt;2.5, H13+'Non-travel METs'!H13, 0.1)</f>
        <v>4.291587472860396</v>
      </c>
      <c r="N13" s="268">
        <f>'Phy activity RRs'!$F$12</f>
        <v>0.9244331578735252</v>
      </c>
      <c r="O13" s="265">
        <f t="shared" si="5"/>
        <v>0.97545870827357695</v>
      </c>
      <c r="P13" s="265">
        <f t="shared" si="0"/>
        <v>0.97545870827357695</v>
      </c>
      <c r="Q13" s="265">
        <f t="shared" si="0"/>
        <v>0.97545870827357695</v>
      </c>
      <c r="R13" s="265">
        <f t="shared" si="0"/>
        <v>0.97545870827357695</v>
      </c>
      <c r="S13" s="272">
        <f t="shared" si="0"/>
        <v>0.8497813865509718</v>
      </c>
      <c r="T13" s="275"/>
      <c r="U13" s="275"/>
      <c r="V13" s="275"/>
      <c r="W13" s="275"/>
      <c r="X13" s="276"/>
      <c r="Y13" s="287">
        <f t="shared" si="6"/>
        <v>1</v>
      </c>
      <c r="Z13" s="264">
        <f t="shared" si="1"/>
        <v>1</v>
      </c>
      <c r="AA13" s="264">
        <f t="shared" si="1"/>
        <v>1</v>
      </c>
      <c r="AB13" s="264">
        <f t="shared" si="1"/>
        <v>1</v>
      </c>
      <c r="AC13" s="274">
        <f t="shared" si="1"/>
        <v>0.87116079783116995</v>
      </c>
      <c r="AD13" s="290"/>
      <c r="AE13" s="290"/>
      <c r="AF13" s="214">
        <f>GBDUS!K116/(Y13+Z13+AA13+AB13+AC13)</f>
        <v>9.6486242090234899</v>
      </c>
      <c r="AG13" s="294">
        <f t="shared" si="7"/>
        <v>9.6486242090234899</v>
      </c>
      <c r="AH13" s="294">
        <f t="shared" si="2"/>
        <v>9.6486242090234899</v>
      </c>
      <c r="AI13" s="294">
        <f t="shared" si="2"/>
        <v>9.6486242090234899</v>
      </c>
      <c r="AJ13" s="295">
        <f t="shared" si="2"/>
        <v>8.4055031639060438</v>
      </c>
      <c r="AK13" s="301">
        <f>GBDUS!L116/(Y13+Z13+AA13+AB13+AC13)</f>
        <v>61.415143498348428</v>
      </c>
      <c r="AL13" s="305">
        <f t="shared" si="8"/>
        <v>61.415143498348428</v>
      </c>
      <c r="AM13" s="305">
        <f t="shared" si="3"/>
        <v>61.415143498348428</v>
      </c>
      <c r="AN13" s="305">
        <f t="shared" si="3"/>
        <v>61.415143498348428</v>
      </c>
      <c r="AO13" s="306">
        <f t="shared" si="3"/>
        <v>53.502465408937006</v>
      </c>
      <c r="AP13" s="301">
        <f>GBDUS!M116/(Y13+Z13+AA13+AB13+AC13)</f>
        <v>36.812654666305662</v>
      </c>
      <c r="AQ13" s="305">
        <f t="shared" si="9"/>
        <v>36.812654666305662</v>
      </c>
      <c r="AR13" s="305">
        <f t="shared" si="4"/>
        <v>36.812654666305662</v>
      </c>
      <c r="AS13" s="305">
        <f t="shared" si="4"/>
        <v>36.812654666305662</v>
      </c>
      <c r="AT13" s="306">
        <f t="shared" si="4"/>
        <v>32.069741609382184</v>
      </c>
      <c r="AU13" s="299"/>
      <c r="AV13" s="299"/>
      <c r="AW13" s="299"/>
      <c r="AX13" s="299"/>
    </row>
    <row r="14" spans="2:62" x14ac:dyDescent="0.2">
      <c r="B14" s="217">
        <v>2</v>
      </c>
      <c r="C14" s="224" t="s">
        <v>9</v>
      </c>
      <c r="D14" s="218">
        <f>Baseline!AL39</f>
        <v>0.62051946258483393</v>
      </c>
      <c r="E14" s="218">
        <f>Baseline!AM39</f>
        <v>1.5617337675712608</v>
      </c>
      <c r="F14" s="218">
        <f>Baseline!AN39</f>
        <v>2.9596175424061157</v>
      </c>
      <c r="G14" s="218">
        <f>Baseline!AO39</f>
        <v>5.6087254941923606</v>
      </c>
      <c r="H14" s="223">
        <f>Baseline!AP39</f>
        <v>14.116134183495483</v>
      </c>
      <c r="I14" s="218">
        <f>IF(D14+'Non-travel METs'!D14&gt;2.5, D14+'Non-travel METs'!D14, 0.1)</f>
        <v>0.1</v>
      </c>
      <c r="J14" s="218">
        <f>IF(E14+'Non-travel METs'!E14&gt;2.5, E14+'Non-travel METs'!E14, 0.1)</f>
        <v>0.1</v>
      </c>
      <c r="K14" s="218">
        <f>IF(F14+'Non-travel METs'!F14&gt;2.5, F14+'Non-travel METs'!F14, 0.1)</f>
        <v>2.9596175424061157</v>
      </c>
      <c r="L14" s="218">
        <f>IF(G14+'Non-travel METs'!G14&gt;2.5, G14+'Non-travel METs'!G14, 0.1)</f>
        <v>5.6087254941923606</v>
      </c>
      <c r="M14" s="223">
        <f>IF(H14+'Non-travel METs'!H14&gt;2.5, H14+'Non-travel METs'!H14, 0.1)</f>
        <v>14.116134183495483</v>
      </c>
      <c r="N14" s="268">
        <f>'Phy activity RRs'!$F$12</f>
        <v>0.9244331578735252</v>
      </c>
      <c r="O14" s="262">
        <f>$N14^(I14^0.5)</f>
        <v>0.97545870827357695</v>
      </c>
      <c r="P14" s="262">
        <f t="shared" si="0"/>
        <v>0.97545870827357695</v>
      </c>
      <c r="Q14" s="262">
        <f t="shared" si="0"/>
        <v>0.87356214954150824</v>
      </c>
      <c r="R14" s="262">
        <f t="shared" si="0"/>
        <v>0.83020212597774445</v>
      </c>
      <c r="S14" s="273">
        <f t="shared" si="0"/>
        <v>0.74437088807013163</v>
      </c>
      <c r="T14" s="275"/>
      <c r="U14" s="275"/>
      <c r="V14" s="275"/>
      <c r="W14" s="275"/>
      <c r="X14" s="276"/>
      <c r="Y14" s="262">
        <f t="shared" si="6"/>
        <v>1</v>
      </c>
      <c r="Z14" s="262">
        <f t="shared" si="1"/>
        <v>1</v>
      </c>
      <c r="AA14" s="262">
        <f t="shared" si="1"/>
        <v>0.89553985435999528</v>
      </c>
      <c r="AB14" s="262">
        <f t="shared" si="1"/>
        <v>0.85108894813916214</v>
      </c>
      <c r="AC14" s="273">
        <f t="shared" si="1"/>
        <v>0.76309830621899122</v>
      </c>
      <c r="AD14" s="290"/>
      <c r="AE14" s="290"/>
      <c r="AF14" s="214">
        <f>GBDUS!K117/(Y14+Z14+AA14+AB14+AC14)</f>
        <v>0</v>
      </c>
      <c r="AG14" s="214">
        <f t="shared" si="7"/>
        <v>0</v>
      </c>
      <c r="AH14" s="214">
        <f t="shared" si="2"/>
        <v>0</v>
      </c>
      <c r="AI14" s="214">
        <f t="shared" si="2"/>
        <v>0</v>
      </c>
      <c r="AJ14" s="292">
        <f t="shared" si="2"/>
        <v>0</v>
      </c>
      <c r="AK14" s="301">
        <f>GBDUS!L117/(Y14+Z14+AA14+AB14+AC14)</f>
        <v>0.92112911154117583</v>
      </c>
      <c r="AL14" s="301">
        <f t="shared" si="8"/>
        <v>0.92112911154117583</v>
      </c>
      <c r="AM14" s="301">
        <f t="shared" si="3"/>
        <v>0.82490783039633642</v>
      </c>
      <c r="AN14" s="301">
        <f t="shared" si="3"/>
        <v>0.78396280664194029</v>
      </c>
      <c r="AO14" s="303">
        <f t="shared" si="3"/>
        <v>0.70291206482607549</v>
      </c>
      <c r="AP14" s="301">
        <f>GBDUS!M117/(Y14+Z14+AA14+AB14+AC14)</f>
        <v>2.0384552100724362</v>
      </c>
      <c r="AQ14" s="301">
        <f t="shared" si="9"/>
        <v>2.0384552100724362</v>
      </c>
      <c r="AR14" s="301">
        <f t="shared" si="4"/>
        <v>1.8255178819476432</v>
      </c>
      <c r="AS14" s="301">
        <f t="shared" si="4"/>
        <v>1.7349067005693446</v>
      </c>
      <c r="AT14" s="303">
        <f t="shared" si="4"/>
        <v>1.5555417181095541</v>
      </c>
      <c r="AU14" s="299"/>
      <c r="AV14" s="299"/>
      <c r="AW14" s="299"/>
      <c r="AX14" s="299"/>
    </row>
    <row r="15" spans="2:62" x14ac:dyDescent="0.2">
      <c r="B15" s="217">
        <v>2</v>
      </c>
      <c r="C15" s="224" t="s">
        <v>10</v>
      </c>
      <c r="D15" s="218">
        <f>Baseline!AL40</f>
        <v>0.46042772990101311</v>
      </c>
      <c r="E15" s="218">
        <f>Baseline!AM40</f>
        <v>1.1588122156833804</v>
      </c>
      <c r="F15" s="218">
        <f>Baseline!AN40</f>
        <v>2.1960471324281206</v>
      </c>
      <c r="G15" s="218">
        <f>Baseline!AO40</f>
        <v>4.1616950033632074</v>
      </c>
      <c r="H15" s="223">
        <f>Baseline!AP40</f>
        <v>10.474223628717107</v>
      </c>
      <c r="I15" s="218">
        <f>IF(D15+'Non-travel METs'!D15&gt;2.5, D15+'Non-travel METs'!D15, 0.1)</f>
        <v>0.1</v>
      </c>
      <c r="J15" s="218">
        <f>IF(E15+'Non-travel METs'!E15&gt;2.5, E15+'Non-travel METs'!E15, 0.1)</f>
        <v>0.1</v>
      </c>
      <c r="K15" s="218">
        <f>IF(F15+'Non-travel METs'!F15&gt;2.5, F15+'Non-travel METs'!F15, 0.1)</f>
        <v>0.1</v>
      </c>
      <c r="L15" s="218">
        <f>IF(G15+'Non-travel METs'!G15&gt;2.5, G15+'Non-travel METs'!G15, 0.1)</f>
        <v>4.1616950033632074</v>
      </c>
      <c r="M15" s="223">
        <f>IF(H15+'Non-travel METs'!H15&gt;2.5, H15+'Non-travel METs'!H15, 0.1)</f>
        <v>10.474223628717107</v>
      </c>
      <c r="N15" s="268">
        <f>'Phy activity RRs'!$F$12</f>
        <v>0.9244331578735252</v>
      </c>
      <c r="O15" s="262">
        <f t="shared" ref="O15:O21" si="10">$N15^(I15^0.5)</f>
        <v>0.97545870827357695</v>
      </c>
      <c r="P15" s="262">
        <f t="shared" si="0"/>
        <v>0.97545870827357695</v>
      </c>
      <c r="Q15" s="262">
        <f t="shared" si="0"/>
        <v>0.97545870827357695</v>
      </c>
      <c r="R15" s="262">
        <f t="shared" si="0"/>
        <v>0.85189340277842762</v>
      </c>
      <c r="S15" s="273">
        <f t="shared" si="0"/>
        <v>0.77546078145979391</v>
      </c>
      <c r="T15" s="275"/>
      <c r="U15" s="275"/>
      <c r="V15" s="275"/>
      <c r="W15" s="275"/>
      <c r="X15" s="276"/>
      <c r="Y15" s="262">
        <f t="shared" si="6"/>
        <v>1</v>
      </c>
      <c r="Z15" s="262">
        <f t="shared" si="1"/>
        <v>1</v>
      </c>
      <c r="AA15" s="262">
        <f t="shared" si="1"/>
        <v>1</v>
      </c>
      <c r="AB15" s="262">
        <f t="shared" si="1"/>
        <v>0.87332594968182475</v>
      </c>
      <c r="AC15" s="273">
        <f t="shared" si="1"/>
        <v>0.79497038150620347</v>
      </c>
      <c r="AD15" s="290"/>
      <c r="AE15" s="290"/>
      <c r="AF15" s="214">
        <f>GBDUS!K118/(Y15+Z15+AA15+AB15+AC15)</f>
        <v>0</v>
      </c>
      <c r="AG15" s="214">
        <f t="shared" si="7"/>
        <v>0</v>
      </c>
      <c r="AH15" s="214">
        <f t="shared" si="2"/>
        <v>0</v>
      </c>
      <c r="AI15" s="214">
        <f t="shared" si="2"/>
        <v>0</v>
      </c>
      <c r="AJ15" s="292">
        <f t="shared" si="2"/>
        <v>0</v>
      </c>
      <c r="AK15" s="301">
        <f>GBDUS!L118/(Y15+Z15+AA15+AB15+AC15)</f>
        <v>0.8307637789736122</v>
      </c>
      <c r="AL15" s="301">
        <f t="shared" si="8"/>
        <v>0.8307637789736122</v>
      </c>
      <c r="AM15" s="301">
        <f t="shared" si="3"/>
        <v>0.8307637789736122</v>
      </c>
      <c r="AN15" s="301">
        <f t="shared" si="3"/>
        <v>0.72552756623339143</v>
      </c>
      <c r="AO15" s="303">
        <f t="shared" si="3"/>
        <v>0.66043259831218781</v>
      </c>
      <c r="AP15" s="301">
        <f>GBDUS!M118/(Y15+Z15+AA15+AB15+AC15)</f>
        <v>4.6314636529982325</v>
      </c>
      <c r="AQ15" s="301">
        <f t="shared" si="9"/>
        <v>4.6314636529982325</v>
      </c>
      <c r="AR15" s="301">
        <f t="shared" si="4"/>
        <v>4.6314636529982325</v>
      </c>
      <c r="AS15" s="301">
        <f t="shared" si="4"/>
        <v>4.0447773931715343</v>
      </c>
      <c r="AT15" s="303">
        <f t="shared" si="4"/>
        <v>3.6818764271561197</v>
      </c>
      <c r="AU15" s="299"/>
      <c r="AV15" s="299"/>
      <c r="AW15" s="299"/>
      <c r="AX15" s="299"/>
    </row>
    <row r="16" spans="2:62" x14ac:dyDescent="0.2">
      <c r="B16" s="217">
        <v>2</v>
      </c>
      <c r="C16" s="224" t="s">
        <v>11</v>
      </c>
      <c r="D16" s="218">
        <f>Baseline!AL41</f>
        <v>0.44584035626070379</v>
      </c>
      <c r="E16" s="218">
        <f>Baseline!AM41</f>
        <v>1.1220984695917575</v>
      </c>
      <c r="F16" s="218">
        <f>Baseline!AN41</f>
        <v>2.126471479242884</v>
      </c>
      <c r="G16" s="218">
        <f>Baseline!AO41</f>
        <v>4.0298432575873413</v>
      </c>
      <c r="H16" s="223">
        <f>Baseline!AP41</f>
        <v>10.142376948463733</v>
      </c>
      <c r="I16" s="218">
        <f>IF(D16+'Non-travel METs'!D16&gt;2.5, D16+'Non-travel METs'!D16, 0.1)</f>
        <v>37.945840356260703</v>
      </c>
      <c r="J16" s="218">
        <f>IF(E16+'Non-travel METs'!E16&gt;2.5, E16+'Non-travel METs'!E16, 0.1)</f>
        <v>38.622098469591755</v>
      </c>
      <c r="K16" s="218">
        <f>IF(F16+'Non-travel METs'!F16&gt;2.5, F16+'Non-travel METs'!F16, 0.1)</f>
        <v>39.62647147924288</v>
      </c>
      <c r="L16" s="218">
        <f>IF(G16+'Non-travel METs'!G16&gt;2.5, G16+'Non-travel METs'!G16, 0.1)</f>
        <v>41.529843257587345</v>
      </c>
      <c r="M16" s="223">
        <f>IF(H16+'Non-travel METs'!H16&gt;2.5, H16+'Non-travel METs'!H16, 0.1)</f>
        <v>47.642376948463735</v>
      </c>
      <c r="N16" s="268">
        <f>'Phy activity RRs'!$F$12</f>
        <v>0.9244331578735252</v>
      </c>
      <c r="O16" s="262">
        <f t="shared" si="10"/>
        <v>0.6163004766232294</v>
      </c>
      <c r="P16" s="262">
        <f t="shared" si="0"/>
        <v>0.61365976814653278</v>
      </c>
      <c r="Q16" s="262">
        <f t="shared" si="0"/>
        <v>0.60980062352173248</v>
      </c>
      <c r="R16" s="262">
        <f t="shared" si="0"/>
        <v>0.6026835698909252</v>
      </c>
      <c r="S16" s="273">
        <f t="shared" si="0"/>
        <v>0.58138122457390085</v>
      </c>
      <c r="T16" s="275"/>
      <c r="U16" s="275"/>
      <c r="V16" s="275"/>
      <c r="W16" s="275"/>
      <c r="X16" s="276"/>
      <c r="Y16" s="262">
        <f t="shared" si="6"/>
        <v>1</v>
      </c>
      <c r="Z16" s="262">
        <f t="shared" si="1"/>
        <v>0.99571522564583215</v>
      </c>
      <c r="AA16" s="262">
        <f t="shared" si="1"/>
        <v>0.98945343489411164</v>
      </c>
      <c r="AB16" s="262">
        <f t="shared" si="1"/>
        <v>0.97790540937610082</v>
      </c>
      <c r="AC16" s="273">
        <f t="shared" si="1"/>
        <v>0.94334054024969349</v>
      </c>
      <c r="AD16" s="290"/>
      <c r="AE16" s="290"/>
      <c r="AF16" s="214">
        <f>GBDUS!K119/(Y16+Z16+AA16+AB16+AC16)</f>
        <v>0</v>
      </c>
      <c r="AG16" s="214">
        <f t="shared" si="7"/>
        <v>0</v>
      </c>
      <c r="AH16" s="214">
        <f t="shared" si="2"/>
        <v>0</v>
      </c>
      <c r="AI16" s="214">
        <f t="shared" si="2"/>
        <v>0</v>
      </c>
      <c r="AJ16" s="292">
        <f t="shared" si="2"/>
        <v>0</v>
      </c>
      <c r="AK16" s="301">
        <f>GBDUS!L119/(Y16+Z16+AA16+AB16+AC16)</f>
        <v>7.9743370796781248</v>
      </c>
      <c r="AL16" s="301">
        <f t="shared" si="8"/>
        <v>7.94016884466763</v>
      </c>
      <c r="AM16" s="301">
        <f t="shared" si="3"/>
        <v>7.8902352144909997</v>
      </c>
      <c r="AN16" s="301">
        <f t="shared" si="3"/>
        <v>7.7981473664056571</v>
      </c>
      <c r="AO16" s="303">
        <f t="shared" si="3"/>
        <v>7.5225154488767254</v>
      </c>
      <c r="AP16" s="301">
        <f>GBDUS!M119/(Y16+Z16+AA16+AB16+AC16)</f>
        <v>12.667273842078391</v>
      </c>
      <c r="AQ16" s="301">
        <f t="shared" si="9"/>
        <v>12.612997431982633</v>
      </c>
      <c r="AR16" s="301">
        <f t="shared" si="4"/>
        <v>12.533677613788795</v>
      </c>
      <c r="AS16" s="301">
        <f t="shared" si="4"/>
        <v>12.387395612216842</v>
      </c>
      <c r="AT16" s="303">
        <f t="shared" si="4"/>
        <v>11.94955294967704</v>
      </c>
      <c r="AU16" s="299"/>
      <c r="AV16" s="299"/>
      <c r="AW16" s="299"/>
      <c r="AX16" s="299"/>
    </row>
    <row r="17" spans="2:50" x14ac:dyDescent="0.2">
      <c r="B17" s="217">
        <v>2</v>
      </c>
      <c r="C17" s="224" t="s">
        <v>12</v>
      </c>
      <c r="D17" s="218">
        <f>Baseline!AL42</f>
        <v>0.37566343393324825</v>
      </c>
      <c r="E17" s="218">
        <f>Baseline!AM42</f>
        <v>0.94547601709611273</v>
      </c>
      <c r="F17" s="218">
        <f>Baseline!AN42</f>
        <v>1.7917569974001593</v>
      </c>
      <c r="G17" s="218">
        <f>Baseline!AO42</f>
        <v>3.3955310126138083</v>
      </c>
      <c r="H17" s="223">
        <f>Baseline!AP42</f>
        <v>8.5459292753600575</v>
      </c>
      <c r="I17" s="218">
        <f>IF(D17+'Non-travel METs'!D17&gt;2.5, D17+'Non-travel METs'!D17, 0.1)</f>
        <v>37.938996767266545</v>
      </c>
      <c r="J17" s="218">
        <f>IF(E17+'Non-travel METs'!E17&gt;2.5, E17+'Non-travel METs'!E17, 0.1)</f>
        <v>38.508809350429409</v>
      </c>
      <c r="K17" s="218">
        <f>IF(F17+'Non-travel METs'!F17&gt;2.5, F17+'Non-travel METs'!F17, 0.1)</f>
        <v>39.355090330733454</v>
      </c>
      <c r="L17" s="218">
        <f>IF(G17+'Non-travel METs'!G17&gt;2.5, G17+'Non-travel METs'!G17, 0.1)</f>
        <v>40.958864345947106</v>
      </c>
      <c r="M17" s="223">
        <f>IF(H17+'Non-travel METs'!H17&gt;2.5, H17+'Non-travel METs'!H17, 0.1)</f>
        <v>46.109262608693356</v>
      </c>
      <c r="N17" s="268">
        <f>'Phy activity RRs'!$F$12</f>
        <v>0.9244331578735252</v>
      </c>
      <c r="O17" s="262">
        <f t="shared" si="10"/>
        <v>0.6163273780430043</v>
      </c>
      <c r="P17" s="262">
        <f t="shared" si="0"/>
        <v>0.61409973928710671</v>
      </c>
      <c r="Q17" s="262">
        <f t="shared" si="0"/>
        <v>0.61083610084789064</v>
      </c>
      <c r="R17" s="262">
        <f t="shared" si="0"/>
        <v>0.60479239362075354</v>
      </c>
      <c r="S17" s="273">
        <f t="shared" si="0"/>
        <v>0.58651857533579921</v>
      </c>
      <c r="T17" s="275"/>
      <c r="U17" s="275"/>
      <c r="V17" s="275"/>
      <c r="W17" s="275"/>
      <c r="X17" s="276"/>
      <c r="Y17" s="262">
        <f t="shared" si="6"/>
        <v>1</v>
      </c>
      <c r="Z17" s="262">
        <f t="shared" si="1"/>
        <v>0.99638562420677967</v>
      </c>
      <c r="AA17" s="262">
        <f t="shared" si="1"/>
        <v>0.99109032408628372</v>
      </c>
      <c r="AB17" s="262">
        <f t="shared" si="1"/>
        <v>0.98128432253183806</v>
      </c>
      <c r="AC17" s="273">
        <f t="shared" si="1"/>
        <v>0.95163479058506928</v>
      </c>
      <c r="AD17" s="290"/>
      <c r="AE17" s="290"/>
      <c r="AF17" s="214">
        <f>GBDUS!K120/(Y17+Z17+AA17+AB17+AC17)</f>
        <v>1.0161785664761678</v>
      </c>
      <c r="AG17" s="214">
        <f t="shared" si="7"/>
        <v>1.012505715263907</v>
      </c>
      <c r="AH17" s="214">
        <f t="shared" si="2"/>
        <v>1.0071247447784004</v>
      </c>
      <c r="AI17" s="214">
        <f t="shared" si="2"/>
        <v>0.9971600961759407</v>
      </c>
      <c r="AJ17" s="292">
        <f t="shared" si="2"/>
        <v>0.96703087730558379</v>
      </c>
      <c r="AK17" s="301">
        <f>GBDUS!L120/(Y17+Z17+AA17+AB17+AC17)</f>
        <v>48.098423846325787</v>
      </c>
      <c r="AL17" s="301">
        <f t="shared" si="8"/>
        <v>47.924578067483573</v>
      </c>
      <c r="AM17" s="301">
        <f t="shared" si="3"/>
        <v>47.669882477894461</v>
      </c>
      <c r="AN17" s="301">
        <f t="shared" si="3"/>
        <v>47.198229258891004</v>
      </c>
      <c r="AO17" s="303">
        <f t="shared" si="3"/>
        <v>45.772133504470141</v>
      </c>
      <c r="AP17" s="301">
        <f>GBDUS!M120/(Y17+Z17+AA17+AB17+AC17)</f>
        <v>75.258564793472814</v>
      </c>
      <c r="AQ17" s="301">
        <f t="shared" si="9"/>
        <v>74.986552058650787</v>
      </c>
      <c r="AR17" s="301">
        <f t="shared" si="4"/>
        <v>74.588035371431559</v>
      </c>
      <c r="AS17" s="301">
        <f t="shared" si="4"/>
        <v>73.850049768081405</v>
      </c>
      <c r="AT17" s="303">
        <f t="shared" si="4"/>
        <v>71.618668546969374</v>
      </c>
      <c r="AU17" s="299"/>
      <c r="AV17" s="299"/>
      <c r="AW17" s="299"/>
      <c r="AX17" s="299"/>
    </row>
    <row r="18" spans="2:50" x14ac:dyDescent="0.2">
      <c r="B18" s="217">
        <v>2</v>
      </c>
      <c r="C18" s="224" t="s">
        <v>13</v>
      </c>
      <c r="D18" s="218">
        <f>Baseline!AL43</f>
        <v>0.28130171216737176</v>
      </c>
      <c r="E18" s="218">
        <f>Baseline!AM43</f>
        <v>0.70798485665118815</v>
      </c>
      <c r="F18" s="218">
        <f>Baseline!AN43</f>
        <v>1.3416911672220251</v>
      </c>
      <c r="G18" s="218">
        <f>Baseline!AO43</f>
        <v>2.5426182089774487</v>
      </c>
      <c r="H18" s="223">
        <f>Baseline!AP43</f>
        <v>6.3993040580234215</v>
      </c>
      <c r="I18" s="218">
        <f>IF(D18+'Non-travel METs'!D18&gt;2.5, D18+'Non-travel METs'!D18, 0.1)</f>
        <v>38.034635045500671</v>
      </c>
      <c r="J18" s="218">
        <f>IF(E18+'Non-travel METs'!E18&gt;2.5, E18+'Non-travel METs'!E18, 0.1)</f>
        <v>38.461318189984489</v>
      </c>
      <c r="K18" s="218">
        <f>IF(F18+'Non-travel METs'!F18&gt;2.5, F18+'Non-travel METs'!F18, 0.1)</f>
        <v>39.095024500555326</v>
      </c>
      <c r="L18" s="218">
        <f>IF(G18+'Non-travel METs'!G18&gt;2.5, G18+'Non-travel METs'!G18, 0.1)</f>
        <v>40.295951542310753</v>
      </c>
      <c r="M18" s="223">
        <f>IF(H18+'Non-travel METs'!H18&gt;2.5, H18+'Non-travel METs'!H18, 0.1)</f>
        <v>44.15263739135672</v>
      </c>
      <c r="N18" s="268">
        <f>'Phy activity RRs'!$F$12</f>
        <v>0.9244331578735252</v>
      </c>
      <c r="O18" s="262">
        <f t="shared" si="10"/>
        <v>0.61595176014226616</v>
      </c>
      <c r="P18" s="262">
        <f t="shared" si="0"/>
        <v>0.61428446303260742</v>
      </c>
      <c r="Q18" s="262">
        <f t="shared" si="0"/>
        <v>0.61183341709752692</v>
      </c>
      <c r="R18" s="262">
        <f t="shared" si="0"/>
        <v>0.60726865316513101</v>
      </c>
      <c r="S18" s="273">
        <f t="shared" si="0"/>
        <v>0.59326877671055589</v>
      </c>
      <c r="T18" s="275"/>
      <c r="U18" s="275"/>
      <c r="V18" s="275"/>
      <c r="W18" s="275"/>
      <c r="X18" s="276"/>
      <c r="Y18" s="262">
        <f t="shared" si="6"/>
        <v>1</v>
      </c>
      <c r="Z18" s="262">
        <f t="shared" si="1"/>
        <v>0.99729313686956</v>
      </c>
      <c r="AA18" s="262">
        <f t="shared" si="1"/>
        <v>0.99331385457233201</v>
      </c>
      <c r="AB18" s="262">
        <f t="shared" si="1"/>
        <v>0.9859029431539742</v>
      </c>
      <c r="AC18" s="273">
        <f t="shared" si="1"/>
        <v>0.9631740910579244</v>
      </c>
      <c r="AD18" s="290"/>
      <c r="AE18" s="290"/>
      <c r="AF18" s="214">
        <f>GBDUS!K121/(Y18+Z18+AA18+AB18+AC18)</f>
        <v>5.2634945605774401</v>
      </c>
      <c r="AG18" s="214">
        <f t="shared" si="7"/>
        <v>5.2492470012141412</v>
      </c>
      <c r="AH18" s="214">
        <f t="shared" si="2"/>
        <v>5.2283020704876799</v>
      </c>
      <c r="AI18" s="214">
        <f t="shared" si="2"/>
        <v>5.1892947785482324</v>
      </c>
      <c r="AJ18" s="292">
        <f t="shared" si="2"/>
        <v>5.0696615891725054</v>
      </c>
      <c r="AK18" s="301">
        <f>GBDUS!L121/(Y18+Z18+AA18+AB18+AC18)</f>
        <v>174.7517840066449</v>
      </c>
      <c r="AL18" s="301">
        <f t="shared" si="8"/>
        <v>174.27875484553869</v>
      </c>
      <c r="AM18" s="301">
        <f t="shared" si="3"/>
        <v>173.58336816503206</v>
      </c>
      <c r="AN18" s="301">
        <f t="shared" si="3"/>
        <v>172.28829817355881</v>
      </c>
      <c r="AO18" s="303">
        <f t="shared" si="3"/>
        <v>168.31639072135093</v>
      </c>
      <c r="AP18" s="301">
        <f>GBDUS!M121/(Y18+Z18+AA18+AB18+AC18)</f>
        <v>200.17585153341338</v>
      </c>
      <c r="AQ18" s="301">
        <f t="shared" si="9"/>
        <v>199.63400290129314</v>
      </c>
      <c r="AR18" s="301">
        <f t="shared" si="4"/>
        <v>198.83744667895371</v>
      </c>
      <c r="AS18" s="301">
        <f t="shared" si="4"/>
        <v>197.35396117514523</v>
      </c>
      <c r="AT18" s="303">
        <f t="shared" si="4"/>
        <v>192.80419385244144</v>
      </c>
      <c r="AU18" s="299"/>
      <c r="AV18" s="299"/>
      <c r="AW18" s="299"/>
      <c r="AX18" s="299"/>
    </row>
    <row r="19" spans="2:50" x14ac:dyDescent="0.2">
      <c r="B19" s="217">
        <v>2</v>
      </c>
      <c r="C19" s="224" t="s">
        <v>14</v>
      </c>
      <c r="D19" s="218">
        <f>Baseline!AL44</f>
        <v>0.18531571150483678</v>
      </c>
      <c r="E19" s="218">
        <f>Baseline!AM44</f>
        <v>0.46640568389751447</v>
      </c>
      <c r="F19" s="218">
        <f>Baseline!AN44</f>
        <v>0.88387820805572703</v>
      </c>
      <c r="G19" s="218">
        <f>Baseline!AO44</f>
        <v>1.6750239408477468</v>
      </c>
      <c r="H19" s="223">
        <f>Baseline!AP44</f>
        <v>4.2157282851616866</v>
      </c>
      <c r="I19" s="218">
        <f>IF(D19+'Non-travel METs'!D19&gt;2.5, D19+'Non-travel METs'!D19, 0.1)</f>
        <v>9.1853157115048365</v>
      </c>
      <c r="J19" s="218">
        <f>IF(E19+'Non-travel METs'!E19&gt;2.5, E19+'Non-travel METs'!E19, 0.1)</f>
        <v>9.4664056838975146</v>
      </c>
      <c r="K19" s="218">
        <f>IF(F19+'Non-travel METs'!F19&gt;2.5, F19+'Non-travel METs'!F19, 0.1)</f>
        <v>9.8838782080557266</v>
      </c>
      <c r="L19" s="218">
        <f>IF(G19+'Non-travel METs'!G19&gt;2.5, G19+'Non-travel METs'!G19, 0.1)</f>
        <v>10.675023940847748</v>
      </c>
      <c r="M19" s="223">
        <f>IF(H19+'Non-travel METs'!H19&gt;2.5, H19+'Non-travel METs'!H19, 0.1)</f>
        <v>13.215728285161687</v>
      </c>
      <c r="N19" s="268">
        <f>'Phy activity RRs'!$F$12</f>
        <v>0.9244331578735252</v>
      </c>
      <c r="O19" s="262">
        <f t="shared" si="10"/>
        <v>0.78809386482228816</v>
      </c>
      <c r="P19" s="262">
        <f t="shared" si="0"/>
        <v>0.78524902420980125</v>
      </c>
      <c r="Q19" s="262">
        <f t="shared" si="0"/>
        <v>0.78111912792484017</v>
      </c>
      <c r="R19" s="262">
        <f t="shared" si="0"/>
        <v>0.77358180314364777</v>
      </c>
      <c r="S19" s="273">
        <f t="shared" si="0"/>
        <v>0.75152900322839877</v>
      </c>
      <c r="T19" s="275"/>
      <c r="U19" s="275"/>
      <c r="V19" s="275"/>
      <c r="W19" s="275"/>
      <c r="X19" s="276"/>
      <c r="Y19" s="262">
        <f t="shared" si="6"/>
        <v>1</v>
      </c>
      <c r="Z19" s="262">
        <f t="shared" si="1"/>
        <v>0.99639022616534589</v>
      </c>
      <c r="AA19" s="262">
        <f t="shared" si="1"/>
        <v>0.99114986525238236</v>
      </c>
      <c r="AB19" s="262">
        <f t="shared" si="1"/>
        <v>0.98158587152316834</v>
      </c>
      <c r="AC19" s="273">
        <f t="shared" si="1"/>
        <v>0.95360341803684179</v>
      </c>
      <c r="AD19" s="290"/>
      <c r="AE19" s="290"/>
      <c r="AF19" s="214">
        <f>GBDUS!K122/(Y19+Z19+AA19+AB19+AC19)</f>
        <v>5.8910408750196428</v>
      </c>
      <c r="AG19" s="214">
        <f t="shared" si="7"/>
        <v>5.869775549810119</v>
      </c>
      <c r="AH19" s="214">
        <f t="shared" si="2"/>
        <v>5.8389043694719955</v>
      </c>
      <c r="AI19" s="214">
        <f t="shared" si="2"/>
        <v>5.7825624914847644</v>
      </c>
      <c r="AJ19" s="292">
        <f t="shared" si="2"/>
        <v>5.6177167142134783</v>
      </c>
      <c r="AK19" s="301">
        <f>GBDUS!L122/(Y19+Z19+AA19+AB19+AC19)</f>
        <v>135.7171721383512</v>
      </c>
      <c r="AL19" s="301">
        <f t="shared" si="8"/>
        <v>135.22726384145292</v>
      </c>
      <c r="AM19" s="301">
        <f t="shared" si="3"/>
        <v>134.51605687736117</v>
      </c>
      <c r="AN19" s="301">
        <f t="shared" si="3"/>
        <v>133.21805869408331</v>
      </c>
      <c r="AO19" s="303">
        <f t="shared" si="3"/>
        <v>129.42035923742614</v>
      </c>
      <c r="AP19" s="301">
        <f>GBDUS!M122/(Y19+Z19+AA19+AB19+AC19)</f>
        <v>109.69036395181614</v>
      </c>
      <c r="AQ19" s="301">
        <f t="shared" si="9"/>
        <v>109.29440654610919</v>
      </c>
      <c r="AR19" s="301">
        <f t="shared" si="4"/>
        <v>108.71958945032735</v>
      </c>
      <c r="AS19" s="301">
        <f t="shared" si="4"/>
        <v>107.67051149733697</v>
      </c>
      <c r="AT19" s="303">
        <f t="shared" si="4"/>
        <v>104.60110599015705</v>
      </c>
      <c r="AU19" s="299"/>
      <c r="AV19" s="299"/>
      <c r="AW19" s="299"/>
      <c r="AX19" s="299"/>
    </row>
    <row r="20" spans="2:50" x14ac:dyDescent="0.2">
      <c r="B20" s="217">
        <v>2</v>
      </c>
      <c r="C20" s="224" t="s">
        <v>15</v>
      </c>
      <c r="D20" s="218">
        <f>Baseline!AL45</f>
        <v>0.11712988000202922</v>
      </c>
      <c r="E20" s="218">
        <f>Baseline!AM45</f>
        <v>0.29479444210942879</v>
      </c>
      <c r="F20" s="218">
        <f>Baseline!AN45</f>
        <v>0.55866039422822378</v>
      </c>
      <c r="G20" s="218">
        <f>Baseline!AO45</f>
        <v>1.0587086847566183</v>
      </c>
      <c r="H20" s="223">
        <f>Baseline!AP45</f>
        <v>2.6645757348494454</v>
      </c>
      <c r="I20" s="218">
        <f>IF(D20+'Non-travel METs'!D20&gt;2.5, D20+'Non-travel METs'!D20, 0.1)</f>
        <v>0.1</v>
      </c>
      <c r="J20" s="218">
        <f>IF(E20+'Non-travel METs'!E20&gt;2.5, E20+'Non-travel METs'!E20, 0.1)</f>
        <v>0.1</v>
      </c>
      <c r="K20" s="218">
        <f>IF(F20+'Non-travel METs'!F20&gt;2.5, F20+'Non-travel METs'!F20, 0.1)</f>
        <v>0.1</v>
      </c>
      <c r="L20" s="218">
        <f>IF(G20+'Non-travel METs'!G20&gt;2.5, G20+'Non-travel METs'!G20, 0.1)</f>
        <v>0.1</v>
      </c>
      <c r="M20" s="223">
        <f>IF(H20+'Non-travel METs'!H20&gt;2.5, H20+'Non-travel METs'!H20, 0.1)</f>
        <v>3.1645757348494454</v>
      </c>
      <c r="N20" s="268">
        <f>'Phy activity RRs'!$F$12</f>
        <v>0.9244331578735252</v>
      </c>
      <c r="O20" s="262">
        <f t="shared" si="10"/>
        <v>0.97545870827357695</v>
      </c>
      <c r="P20" s="262">
        <f t="shared" si="0"/>
        <v>0.97545870827357695</v>
      </c>
      <c r="Q20" s="262">
        <f t="shared" si="0"/>
        <v>0.97545870827357695</v>
      </c>
      <c r="R20" s="262">
        <f t="shared" si="0"/>
        <v>0.97545870827357695</v>
      </c>
      <c r="S20" s="273">
        <f t="shared" si="0"/>
        <v>0.86955105129477228</v>
      </c>
      <c r="T20" s="275"/>
      <c r="U20" s="275"/>
      <c r="V20" s="275"/>
      <c r="W20" s="275"/>
      <c r="X20" s="276"/>
      <c r="Y20" s="262">
        <f t="shared" si="6"/>
        <v>1</v>
      </c>
      <c r="Z20" s="262">
        <f t="shared" si="1"/>
        <v>1</v>
      </c>
      <c r="AA20" s="262">
        <f t="shared" si="1"/>
        <v>1</v>
      </c>
      <c r="AB20" s="262">
        <f t="shared" si="1"/>
        <v>1</v>
      </c>
      <c r="AC20" s="273">
        <f t="shared" si="1"/>
        <v>0.89142784201881176</v>
      </c>
      <c r="AD20" s="290"/>
      <c r="AE20" s="290"/>
      <c r="AF20" s="214">
        <f>GBDUS!K123/(Y20+Z20+AA20+AB20+AC20)</f>
        <v>6.5420570503178102</v>
      </c>
      <c r="AG20" s="214">
        <f t="shared" si="7"/>
        <v>6.5420570503178102</v>
      </c>
      <c r="AH20" s="214">
        <f t="shared" si="2"/>
        <v>6.5420570503178102</v>
      </c>
      <c r="AI20" s="214">
        <f t="shared" si="2"/>
        <v>6.5420570503178102</v>
      </c>
      <c r="AJ20" s="292">
        <f t="shared" si="2"/>
        <v>5.8317717987287585</v>
      </c>
      <c r="AK20" s="301">
        <f>GBDUS!L123/(Y20+Z20+AA20+AB20+AC20)</f>
        <v>95.363267945276149</v>
      </c>
      <c r="AL20" s="301">
        <f t="shared" si="8"/>
        <v>95.363267945276149</v>
      </c>
      <c r="AM20" s="301">
        <f t="shared" si="3"/>
        <v>95.363267945276149</v>
      </c>
      <c r="AN20" s="301">
        <f t="shared" si="3"/>
        <v>95.363267945276149</v>
      </c>
      <c r="AO20" s="303">
        <f t="shared" si="3"/>
        <v>85.009472152319248</v>
      </c>
      <c r="AP20" s="301">
        <f>GBDUS!M123/(Y20+Z20+AA20+AB20+AC20)</f>
        <v>67.656005646225623</v>
      </c>
      <c r="AQ20" s="301">
        <f t="shared" si="9"/>
        <v>67.656005646225623</v>
      </c>
      <c r="AR20" s="301">
        <f t="shared" si="4"/>
        <v>67.656005646225623</v>
      </c>
      <c r="AS20" s="301">
        <f t="shared" si="4"/>
        <v>67.656005646225623</v>
      </c>
      <c r="AT20" s="303">
        <f t="shared" si="4"/>
        <v>60.310447112827454</v>
      </c>
      <c r="AU20" s="299"/>
      <c r="AV20" s="299"/>
      <c r="AW20" s="299"/>
      <c r="AX20" s="299"/>
    </row>
    <row r="21" spans="2:50" x14ac:dyDescent="0.2">
      <c r="B21" s="226">
        <v>2</v>
      </c>
      <c r="C21" s="227" t="s">
        <v>16</v>
      </c>
      <c r="D21" s="228">
        <f>Baseline!AL46</f>
        <v>0.14687937172795515</v>
      </c>
      <c r="E21" s="228">
        <f>Baseline!AM46</f>
        <v>0.36966846073073589</v>
      </c>
      <c r="F21" s="228">
        <f>Baseline!AN46</f>
        <v>0.70055299051029241</v>
      </c>
      <c r="G21" s="228">
        <f>Baseline!AO46</f>
        <v>1.3276071524813979</v>
      </c>
      <c r="H21" s="229">
        <f>Baseline!AP46</f>
        <v>3.3413438983243293</v>
      </c>
      <c r="I21" s="230">
        <f>IF(D21+'Non-travel METs'!D21&gt;2.5, D21+'Non-travel METs'!D21, 0.1)</f>
        <v>0.1</v>
      </c>
      <c r="J21" s="228">
        <f>IF(E21+'Non-travel METs'!E21&gt;2.5, E21+'Non-travel METs'!E21, 0.1)</f>
        <v>0.1</v>
      </c>
      <c r="K21" s="228">
        <f>IF(F21+'Non-travel METs'!F21&gt;2.5, F21+'Non-travel METs'!F21, 0.1)</f>
        <v>0.1</v>
      </c>
      <c r="L21" s="228">
        <f>IF(G21+'Non-travel METs'!G21&gt;2.5, G21+'Non-travel METs'!G21, 0.1)</f>
        <v>0.1</v>
      </c>
      <c r="M21" s="229">
        <f>IF(H21+'Non-travel METs'!H21&gt;2.5, H21+'Non-travel METs'!H21, 0.1)</f>
        <v>3.4246772316576628</v>
      </c>
      <c r="N21" s="268">
        <f>'Phy activity RRs'!$F$12</f>
        <v>0.9244331578735252</v>
      </c>
      <c r="O21" s="264">
        <f t="shared" si="10"/>
        <v>0.97545870827357695</v>
      </c>
      <c r="P21" s="264">
        <f t="shared" si="0"/>
        <v>0.97545870827357695</v>
      </c>
      <c r="Q21" s="264">
        <f t="shared" si="0"/>
        <v>0.97545870827357695</v>
      </c>
      <c r="R21" s="264">
        <f t="shared" si="0"/>
        <v>0.97545870827357695</v>
      </c>
      <c r="S21" s="274">
        <f t="shared" si="0"/>
        <v>0.86466847397214719</v>
      </c>
      <c r="T21" s="277"/>
      <c r="U21" s="278"/>
      <c r="V21" s="278"/>
      <c r="W21" s="278"/>
      <c r="X21" s="279"/>
      <c r="Y21" s="287">
        <f t="shared" si="6"/>
        <v>1</v>
      </c>
      <c r="Z21" s="264">
        <f t="shared" si="1"/>
        <v>1</v>
      </c>
      <c r="AA21" s="264">
        <f t="shared" si="1"/>
        <v>1</v>
      </c>
      <c r="AB21" s="264">
        <f t="shared" si="1"/>
        <v>1</v>
      </c>
      <c r="AC21" s="274">
        <f t="shared" si="1"/>
        <v>0.88642242530438553</v>
      </c>
      <c r="AD21" s="290"/>
      <c r="AE21" s="291"/>
      <c r="AF21" s="214">
        <f>GBDUS!K124/(Y21+Z21+AA21+AB21+AC21)</f>
        <v>5.7301636172512911</v>
      </c>
      <c r="AG21" s="294">
        <f t="shared" si="7"/>
        <v>5.7301636172512911</v>
      </c>
      <c r="AH21" s="294">
        <f t="shared" si="2"/>
        <v>5.7301636172512911</v>
      </c>
      <c r="AI21" s="294">
        <f t="shared" si="2"/>
        <v>5.7301636172512911</v>
      </c>
      <c r="AJ21" s="295">
        <f t="shared" si="2"/>
        <v>5.0793455309948401</v>
      </c>
      <c r="AK21" s="301">
        <f>GBDUS!L124/(Y21+Z21+AA21+AB21+AC21)</f>
        <v>31.376019408066654</v>
      </c>
      <c r="AL21" s="305">
        <f t="shared" si="8"/>
        <v>31.376019408066654</v>
      </c>
      <c r="AM21" s="305">
        <f t="shared" si="3"/>
        <v>31.376019408066654</v>
      </c>
      <c r="AN21" s="305">
        <f t="shared" si="3"/>
        <v>31.376019408066654</v>
      </c>
      <c r="AO21" s="306">
        <f t="shared" si="3"/>
        <v>27.812407220095913</v>
      </c>
      <c r="AP21" s="301">
        <f>GBDUS!M124/(Y21+Z21+AA21+AB21+AC21)</f>
        <v>22.834968996224081</v>
      </c>
      <c r="AQ21" s="305">
        <f t="shared" si="9"/>
        <v>22.834968996224081</v>
      </c>
      <c r="AR21" s="305">
        <f t="shared" si="4"/>
        <v>22.834968996224081</v>
      </c>
      <c r="AS21" s="305">
        <f t="shared" si="4"/>
        <v>22.834968996224081</v>
      </c>
      <c r="AT21" s="306">
        <f t="shared" si="4"/>
        <v>20.241428599383401</v>
      </c>
      <c r="AU21" s="300"/>
      <c r="AV21" s="300"/>
      <c r="AW21" s="300"/>
      <c r="AX21" s="300"/>
    </row>
    <row r="22" spans="2:50" x14ac:dyDescent="0.2">
      <c r="B22" s="212"/>
      <c r="C22" s="212"/>
      <c r="AD22" s="288"/>
      <c r="AK22" s="215"/>
      <c r="AL22" s="215"/>
      <c r="AM22" s="215"/>
      <c r="AN22" s="215"/>
      <c r="AO22" s="215"/>
    </row>
    <row r="23" spans="2:50" x14ac:dyDescent="0.2">
      <c r="B23" s="338" t="s">
        <v>70</v>
      </c>
      <c r="C23" s="319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320"/>
      <c r="AL23" s="320"/>
      <c r="AM23" s="320"/>
      <c r="AN23" s="320"/>
      <c r="AO23" s="320"/>
      <c r="AP23" s="280"/>
      <c r="AQ23" s="280"/>
      <c r="AR23" s="280"/>
      <c r="AS23" s="280"/>
      <c r="AT23" s="280"/>
      <c r="AU23" s="280"/>
      <c r="AV23" s="280"/>
      <c r="AW23" s="280"/>
      <c r="AX23" s="280"/>
    </row>
    <row r="24" spans="2:50" x14ac:dyDescent="0.2">
      <c r="B24" s="212">
        <v>1</v>
      </c>
      <c r="C24" s="325" t="s">
        <v>9</v>
      </c>
      <c r="D24" s="215">
        <f>Scenario!AL31</f>
        <v>0.37643845197996767</v>
      </c>
      <c r="E24" s="215">
        <f>Scenario!AM31</f>
        <v>0.9454633575841902</v>
      </c>
      <c r="F24" s="215">
        <f>Scenario!AN31</f>
        <v>1.7891607181870568</v>
      </c>
      <c r="G24" s="215">
        <f>Scenario!AO31</f>
        <v>3.3857431383516916</v>
      </c>
      <c r="H24" s="321">
        <f>Scenario!AP31</f>
        <v>8.5036373374364302</v>
      </c>
      <c r="I24" s="218">
        <f>IF(D24+'Non-travel METs'!D25&gt;2.5, D24+'Non-travel METs'!D25, 0.1)</f>
        <v>0.1</v>
      </c>
      <c r="J24" s="218">
        <f>IF(E24+'Non-travel METs'!E25&gt;2.5, E24+'Non-travel METs'!E25, 0.1)</f>
        <v>0.1</v>
      </c>
      <c r="K24" s="218">
        <f>IF(F24+'Non-travel METs'!F25&gt;2.5, F24+'Non-travel METs'!F25, 0.1)</f>
        <v>0.1</v>
      </c>
      <c r="L24" s="218">
        <f>IF(G24+'Non-travel METs'!G25&gt;2.5, G24+'Non-travel METs'!G25, 0.1)</f>
        <v>3.3857431383516916</v>
      </c>
      <c r="M24" s="223">
        <f>IF(H24+'Non-travel METs'!H25&gt;2.5, H24+'Non-travel METs'!H25, 0.1)</f>
        <v>8.5036373374364302</v>
      </c>
      <c r="N24" s="268">
        <f>'Phy activity RRs'!$F$12</f>
        <v>0.9244331578735252</v>
      </c>
      <c r="O24" s="215">
        <f>$N24^(I24^0.5)</f>
        <v>0.97545870827357695</v>
      </c>
      <c r="P24" s="215">
        <f t="shared" ref="P24:S39" si="11">$N24^(J24^0.5)</f>
        <v>0.97545870827357695</v>
      </c>
      <c r="Q24" s="215">
        <f t="shared" si="11"/>
        <v>0.97545870827357695</v>
      </c>
      <c r="R24" s="215">
        <f t="shared" si="11"/>
        <v>0.86538551056106428</v>
      </c>
      <c r="S24" s="321">
        <f t="shared" si="11"/>
        <v>0.79522421996918269</v>
      </c>
      <c r="T24" s="296">
        <f>O24/O6</f>
        <v>1</v>
      </c>
      <c r="U24" s="296">
        <f t="shared" ref="U24:X39" si="12">P24/P6</f>
        <v>1</v>
      </c>
      <c r="V24" s="296">
        <f t="shared" si="12"/>
        <v>1</v>
      </c>
      <c r="W24" s="296">
        <f t="shared" si="12"/>
        <v>0.99354765476405749</v>
      </c>
      <c r="X24" s="328">
        <f t="shared" si="12"/>
        <v>0.99001844378186499</v>
      </c>
      <c r="Y24" s="296">
        <f>O24/$O24</f>
        <v>1</v>
      </c>
      <c r="Z24" s="296">
        <f t="shared" ref="Z24:AC39" si="13">P24/$O24</f>
        <v>1</v>
      </c>
      <c r="AA24" s="296">
        <f t="shared" si="13"/>
        <v>1</v>
      </c>
      <c r="AB24" s="296">
        <f t="shared" si="13"/>
        <v>0.88715750161549478</v>
      </c>
      <c r="AC24" s="328">
        <f t="shared" si="13"/>
        <v>0.8152310428153503</v>
      </c>
      <c r="AD24" s="333">
        <f>(5-SUM(T24:X24))/5</f>
        <v>3.2867802908155496E-3</v>
      </c>
      <c r="AE24" s="334">
        <f>1-AD24</f>
        <v>0.99671321970918447</v>
      </c>
      <c r="AF24" s="214">
        <f>AE24*GBDUS!K109/(Y24+Z24+AA24+AB24+AC24)</f>
        <v>0</v>
      </c>
      <c r="AG24" s="214">
        <f>$AF24*Z24</f>
        <v>0</v>
      </c>
      <c r="AH24" s="214">
        <f t="shared" ref="AH24:AJ39" si="14">$AF24*AA24</f>
        <v>0</v>
      </c>
      <c r="AI24" s="214">
        <f t="shared" si="14"/>
        <v>0</v>
      </c>
      <c r="AJ24" s="292">
        <f t="shared" si="14"/>
        <v>0</v>
      </c>
      <c r="AK24" s="301">
        <f>AE24*GBDUS!L109/(Y24+Z24+AA24+AB24+AC24)</f>
        <v>0.97615401036961524</v>
      </c>
      <c r="AL24" s="301">
        <f>$AK24*Z24</f>
        <v>0.97615401036961524</v>
      </c>
      <c r="AM24" s="301">
        <f t="shared" ref="AM24:AO39" si="15">$AK24*AA24</f>
        <v>0.97615401036961524</v>
      </c>
      <c r="AN24" s="301">
        <f t="shared" si="15"/>
        <v>0.86600235303145368</v>
      </c>
      <c r="AO24" s="303">
        <f t="shared" si="15"/>
        <v>0.79579105182200771</v>
      </c>
      <c r="AP24" s="301">
        <f>AE24*GBDUS!M109/(Y24+Z24+AA24+AB24+AC24)</f>
        <v>2.3076169807219835</v>
      </c>
      <c r="AQ24" s="301">
        <f>$AP24*Z24</f>
        <v>2.3076169807219835</v>
      </c>
      <c r="AR24" s="301">
        <f t="shared" ref="AR24:AT39" si="16">$AP24*AA24</f>
        <v>2.3076169807219835</v>
      </c>
      <c r="AS24" s="301">
        <f t="shared" si="16"/>
        <v>2.0472197153028064</v>
      </c>
      <c r="AT24" s="303">
        <f t="shared" si="16"/>
        <v>1.8812409976123927</v>
      </c>
      <c r="AU24" s="376">
        <f>SUM(AF24:AJ24)-SUM(AF6:AJ6)</f>
        <v>0</v>
      </c>
      <c r="AV24" s="376">
        <f>SUM(AK24:AO24)-SUM(AK6:AO6)</f>
        <v>-1.5136912803395575E-2</v>
      </c>
      <c r="AW24" s="376">
        <f>SUM(AP24:AT24)-SUM(AP6:AT6)</f>
        <v>-3.578348974625456E-2</v>
      </c>
      <c r="AX24" s="376">
        <f>AV24+AW24</f>
        <v>-5.0920402549650134E-2</v>
      </c>
    </row>
    <row r="25" spans="2:50" x14ac:dyDescent="0.2">
      <c r="B25" s="212">
        <v>1</v>
      </c>
      <c r="C25" s="325" t="s">
        <v>10</v>
      </c>
      <c r="D25" s="215">
        <f>Scenario!AL32</f>
        <v>0.76131359914254593</v>
      </c>
      <c r="E25" s="215">
        <f>Scenario!AM32</f>
        <v>1.912116330927107</v>
      </c>
      <c r="F25" s="215">
        <f>Scenario!AN32</f>
        <v>3.6184199001007888</v>
      </c>
      <c r="G25" s="369">
        <f>Scenario!AO32</f>
        <v>6.8473671615456384</v>
      </c>
      <c r="H25" s="321">
        <f>Scenario!AP32</f>
        <v>17.19785721441437</v>
      </c>
      <c r="I25" s="218">
        <f>IF(D25+'Non-travel METs'!D26&gt;2.5, D25+'Non-travel METs'!D26, 0.1)</f>
        <v>0.1</v>
      </c>
      <c r="J25" s="218">
        <f>IF(E25+'Non-travel METs'!E26&gt;2.5, E25+'Non-travel METs'!E26, 0.1)</f>
        <v>0.1</v>
      </c>
      <c r="K25" s="218">
        <f>IF(F25+'Non-travel METs'!F26&gt;2.5, F25+'Non-travel METs'!F26, 0.1)</f>
        <v>3.6184199001007888</v>
      </c>
      <c r="L25" s="218">
        <f>IF(G25+'Non-travel METs'!G26&gt;2.5, G25+'Non-travel METs'!G26, 0.1)</f>
        <v>6.8473671615456384</v>
      </c>
      <c r="M25" s="223">
        <f>IF(H25+'Non-travel METs'!H26&gt;2.5, H25+'Non-travel METs'!H26, 0.1)</f>
        <v>17.19785721441437</v>
      </c>
      <c r="N25" s="268">
        <f>'Phy activity RRs'!$F$12</f>
        <v>0.9244331578735252</v>
      </c>
      <c r="O25" s="215">
        <f t="shared" ref="O25:O39" si="17">$N25^(I25^0.5)</f>
        <v>0.97545870827357695</v>
      </c>
      <c r="P25" s="215">
        <f t="shared" si="11"/>
        <v>0.97545870827357695</v>
      </c>
      <c r="Q25" s="215">
        <f t="shared" si="11"/>
        <v>0.86116805203724522</v>
      </c>
      <c r="R25" s="215">
        <f t="shared" si="11"/>
        <v>0.81415077375531009</v>
      </c>
      <c r="S25" s="321">
        <f t="shared" si="11"/>
        <v>0.72191279201204495</v>
      </c>
      <c r="T25" s="296">
        <f t="shared" ref="T25:T39" si="18">O25/O7</f>
        <v>1</v>
      </c>
      <c r="U25" s="296">
        <f t="shared" si="12"/>
        <v>1</v>
      </c>
      <c r="V25" s="296">
        <f t="shared" si="12"/>
        <v>0.99506515301505039</v>
      </c>
      <c r="W25" s="296">
        <f t="shared" si="12"/>
        <v>0.9933596651573714</v>
      </c>
      <c r="X25" s="328">
        <f t="shared" si="12"/>
        <v>0.98982062365148182</v>
      </c>
      <c r="Y25" s="296">
        <f t="shared" ref="Y25:Y39" si="19">O25/$O25</f>
        <v>1</v>
      </c>
      <c r="Z25" s="296">
        <f t="shared" si="13"/>
        <v>1</v>
      </c>
      <c r="AA25" s="296">
        <f t="shared" si="13"/>
        <v>0.88283393723696424</v>
      </c>
      <c r="AB25" s="296">
        <f t="shared" si="13"/>
        <v>0.83463376445348569</v>
      </c>
      <c r="AC25" s="328">
        <f t="shared" si="13"/>
        <v>0.74007519322855586</v>
      </c>
      <c r="AD25" s="333">
        <f t="shared" ref="AD25:AD39" si="20">(5-SUM(T25:X25))/5</f>
        <v>4.35091163521939E-3</v>
      </c>
      <c r="AE25" s="334">
        <f t="shared" ref="AE25:AE39" si="21">1-AD25</f>
        <v>0.99564908836478061</v>
      </c>
      <c r="AF25" s="214">
        <f>AE25*GBDUS!K110/(Y25+Z25+AA25+AB25+AC25)</f>
        <v>0</v>
      </c>
      <c r="AG25" s="214">
        <f t="shared" ref="AG25:AG39" si="22">$AF25*Z25</f>
        <v>0</v>
      </c>
      <c r="AH25" s="214">
        <f t="shared" si="14"/>
        <v>0</v>
      </c>
      <c r="AI25" s="214">
        <f t="shared" si="14"/>
        <v>0</v>
      </c>
      <c r="AJ25" s="292">
        <f t="shared" si="14"/>
        <v>0</v>
      </c>
      <c r="AK25" s="301">
        <f>AE25*GBDUS!L110/(Y25+Z25+AA25+AB25+AC25)</f>
        <v>0.82644340071741651</v>
      </c>
      <c r="AL25" s="301">
        <f t="shared" ref="AL25:AL39" si="23">$AK25*Z25</f>
        <v>0.82644340071741651</v>
      </c>
      <c r="AM25" s="301">
        <f t="shared" si="15"/>
        <v>0.72961228135886302</v>
      </c>
      <c r="AN25" s="301">
        <f t="shared" si="15"/>
        <v>0.68977756664851786</v>
      </c>
      <c r="AO25" s="303">
        <f t="shared" si="15"/>
        <v>0.61163025947840688</v>
      </c>
      <c r="AP25" s="301">
        <f>AE25*GBDUS!M110/(Y25+Z25+AA25+AB25+AC25)</f>
        <v>5.3174798845057394</v>
      </c>
      <c r="AQ25" s="301">
        <f t="shared" ref="AQ25:AQ39" si="24">$AP25*Z25</f>
        <v>5.3174798845057394</v>
      </c>
      <c r="AR25" s="301">
        <f t="shared" si="16"/>
        <v>4.6944517026165595</v>
      </c>
      <c r="AS25" s="301">
        <f t="shared" si="16"/>
        <v>4.438148253410712</v>
      </c>
      <c r="AT25" s="303">
        <f t="shared" si="16"/>
        <v>3.9353349530145438</v>
      </c>
      <c r="AU25" s="376">
        <f t="shared" ref="AU25:AU39" si="25">SUM(AF25:AJ25)-SUM(AF7:AJ7)</f>
        <v>0</v>
      </c>
      <c r="AV25" s="376">
        <f t="shared" ref="AV25:AV39" si="26">SUM(AK25:AO25)-SUM(AK7:AO7)</f>
        <v>-1.609839613212749E-2</v>
      </c>
      <c r="AW25" s="376">
        <f t="shared" ref="AW25:AW39" si="27">SUM(AP25:AT25)-SUM(AP7:AT7)</f>
        <v>-0.10357986709203004</v>
      </c>
      <c r="AX25" s="376">
        <f t="shared" ref="AX25:AX39" si="28">AV25+AW25</f>
        <v>-0.11967826322415753</v>
      </c>
    </row>
    <row r="26" spans="2:50" x14ac:dyDescent="0.2">
      <c r="B26" s="212">
        <v>1</v>
      </c>
      <c r="C26" s="325" t="s">
        <v>11</v>
      </c>
      <c r="D26" s="215">
        <f>Scenario!AL33</f>
        <v>0.58511880095294533</v>
      </c>
      <c r="E26" s="215">
        <f>Scenario!AM33</f>
        <v>1.4695852222982959</v>
      </c>
      <c r="F26" s="215">
        <f>Scenario!AN33</f>
        <v>2.7809900094728652</v>
      </c>
      <c r="G26" s="215">
        <f>Scenario!AO33</f>
        <v>5.2626450752497185</v>
      </c>
      <c r="H26" s="321">
        <f>Scenario!AP33</f>
        <v>13.217666942494709</v>
      </c>
      <c r="I26" s="218">
        <f>IF(D26+'Non-travel METs'!D27&gt;2.5, D26+'Non-travel METs'!D27, 0.1)</f>
        <v>65.462618800952939</v>
      </c>
      <c r="J26" s="218">
        <f>IF(E26+'Non-travel METs'!E27&gt;2.5, E26+'Non-travel METs'!E27, 0.1)</f>
        <v>66.34708522229829</v>
      </c>
      <c r="K26" s="218">
        <f>IF(F26+'Non-travel METs'!F27&gt;2.5, F26+'Non-travel METs'!F27, 0.1)</f>
        <v>67.658490009472857</v>
      </c>
      <c r="L26" s="218">
        <f>IF(G26+'Non-travel METs'!G27&gt;2.5, G26+'Non-travel METs'!G27, 0.1)</f>
        <v>70.14014507524972</v>
      </c>
      <c r="M26" s="223">
        <f>IF(H26+'Non-travel METs'!H27&gt;2.5, H26+'Non-travel METs'!H27, 0.1)</f>
        <v>78.0951669424947</v>
      </c>
      <c r="N26" s="268">
        <f>'Phy activity RRs'!$F$12</f>
        <v>0.9244331578735252</v>
      </c>
      <c r="O26" s="215">
        <f t="shared" si="17"/>
        <v>0.52954429444516771</v>
      </c>
      <c r="P26" s="215">
        <f t="shared" si="11"/>
        <v>0.52728251596244846</v>
      </c>
      <c r="Q26" s="215">
        <f t="shared" si="11"/>
        <v>0.52397406553677583</v>
      </c>
      <c r="R26" s="215">
        <f t="shared" si="11"/>
        <v>0.51785528368339651</v>
      </c>
      <c r="S26" s="321">
        <f t="shared" si="11"/>
        <v>0.49938662402627071</v>
      </c>
      <c r="T26" s="296">
        <f t="shared" si="18"/>
        <v>0.99982047254158024</v>
      </c>
      <c r="U26" s="296">
        <f t="shared" si="12"/>
        <v>0.99956587265776486</v>
      </c>
      <c r="V26" s="296">
        <f t="shared" si="12"/>
        <v>0.99920432702321471</v>
      </c>
      <c r="W26" s="296">
        <f t="shared" si="12"/>
        <v>0.99855431942194539</v>
      </c>
      <c r="X26" s="328">
        <f t="shared" si="12"/>
        <v>0.99667264335156402</v>
      </c>
      <c r="Y26" s="296">
        <f t="shared" si="19"/>
        <v>1</v>
      </c>
      <c r="Z26" s="296">
        <f t="shared" si="13"/>
        <v>0.99572882097598836</v>
      </c>
      <c r="AA26" s="296">
        <f t="shared" si="13"/>
        <v>0.9894810897467452</v>
      </c>
      <c r="AB26" s="296">
        <f t="shared" si="13"/>
        <v>0.97792628325073649</v>
      </c>
      <c r="AC26" s="328">
        <f t="shared" si="13"/>
        <v>0.94304976800761342</v>
      </c>
      <c r="AD26" s="333">
        <f t="shared" si="20"/>
        <v>1.236473000786198E-3</v>
      </c>
      <c r="AE26" s="334">
        <f t="shared" si="21"/>
        <v>0.99876352699921378</v>
      </c>
      <c r="AF26" s="214">
        <f>AE26*GBDUS!K111/(Y26+Z26+AA26+AB26+AC26)</f>
        <v>0</v>
      </c>
      <c r="AG26" s="214">
        <f t="shared" si="22"/>
        <v>0</v>
      </c>
      <c r="AH26" s="214">
        <f t="shared" si="14"/>
        <v>0</v>
      </c>
      <c r="AI26" s="214">
        <f t="shared" si="14"/>
        <v>0</v>
      </c>
      <c r="AJ26" s="292">
        <f t="shared" si="14"/>
        <v>0</v>
      </c>
      <c r="AK26" s="301">
        <f>AE26*GBDUS!L111/(Y26+Z26+AA26+AB26+AC26)</f>
        <v>10.295858987477985</v>
      </c>
      <c r="AL26" s="301">
        <f t="shared" si="23"/>
        <v>10.251883530536487</v>
      </c>
      <c r="AM26" s="301">
        <f t="shared" si="15"/>
        <v>10.187557770808537</v>
      </c>
      <c r="AN26" s="301">
        <f t="shared" si="15"/>
        <v>10.068591112498037</v>
      </c>
      <c r="AO26" s="303">
        <f t="shared" si="15"/>
        <v>9.7095074295802153</v>
      </c>
      <c r="AP26" s="301">
        <f>AE26*GBDUS!M111/(Y26+Z26+AA26+AB26+AC26)</f>
        <v>13.693695202212004</v>
      </c>
      <c r="AQ26" s="301">
        <f t="shared" si="24"/>
        <v>13.635206978503106</v>
      </c>
      <c r="AR26" s="301">
        <f t="shared" si="16"/>
        <v>13.54965245134451</v>
      </c>
      <c r="AS26" s="301">
        <f t="shared" si="16"/>
        <v>13.391424453067627</v>
      </c>
      <c r="AT26" s="303">
        <f t="shared" si="16"/>
        <v>12.913836083612999</v>
      </c>
      <c r="AU26" s="376">
        <f t="shared" si="25"/>
        <v>0</v>
      </c>
      <c r="AV26" s="376">
        <f t="shared" si="26"/>
        <v>-6.2535777632973577E-2</v>
      </c>
      <c r="AW26" s="376">
        <f t="shared" si="27"/>
        <v>-8.3173815723483813E-2</v>
      </c>
      <c r="AX26" s="376">
        <f t="shared" si="28"/>
        <v>-0.14570959335645739</v>
      </c>
    </row>
    <row r="27" spans="2:50" x14ac:dyDescent="0.2">
      <c r="B27" s="212">
        <v>1</v>
      </c>
      <c r="C27" s="325" t="s">
        <v>12</v>
      </c>
      <c r="D27" s="215">
        <f>Scenario!AL34</f>
        <v>0.50458791239407375</v>
      </c>
      <c r="E27" s="215">
        <f>Scenario!AM34</f>
        <v>1.2673237267320545</v>
      </c>
      <c r="F27" s="215">
        <f>Scenario!AN34</f>
        <v>2.3982376587169973</v>
      </c>
      <c r="G27" s="215">
        <f>Scenario!AO34</f>
        <v>4.5383383474713499</v>
      </c>
      <c r="H27" s="321">
        <f>Scenario!AP34</f>
        <v>11.398497122928575</v>
      </c>
      <c r="I27" s="218">
        <f>IF(D27+'Non-travel METs'!D28&gt;2.5, D27+'Non-travel METs'!D28, 0.1)</f>
        <v>68.198337912394067</v>
      </c>
      <c r="J27" s="218">
        <f>IF(E27+'Non-travel METs'!E28&gt;2.5, E27+'Non-travel METs'!E28, 0.1)</f>
        <v>68.961073726732053</v>
      </c>
      <c r="K27" s="218">
        <f>IF(F27+'Non-travel METs'!F28&gt;2.5, F27+'Non-travel METs'!F28, 0.1)</f>
        <v>70.091987658716988</v>
      </c>
      <c r="L27" s="218">
        <f>IF(G27+'Non-travel METs'!G28&gt;2.5, G27+'Non-travel METs'!G28, 0.1)</f>
        <v>72.232088347471347</v>
      </c>
      <c r="M27" s="223">
        <f>IF(H27+'Non-travel METs'!H28&gt;2.5, H27+'Non-travel METs'!H28, 0.1)</f>
        <v>79.092247122928569</v>
      </c>
      <c r="N27" s="268">
        <f>'Phy activity RRs'!$F$12</f>
        <v>0.9244331578735252</v>
      </c>
      <c r="O27" s="215">
        <f t="shared" si="17"/>
        <v>0.52262743189395922</v>
      </c>
      <c r="P27" s="215">
        <f t="shared" si="11"/>
        <v>0.52073971656237406</v>
      </c>
      <c r="Q27" s="215">
        <f t="shared" si="11"/>
        <v>0.5179723046542285</v>
      </c>
      <c r="R27" s="215">
        <f t="shared" si="11"/>
        <v>0.51283520392925253</v>
      </c>
      <c r="S27" s="321">
        <f t="shared" si="11"/>
        <v>0.49718487432369163</v>
      </c>
      <c r="T27" s="296">
        <f t="shared" si="18"/>
        <v>0.99984724333265218</v>
      </c>
      <c r="U27" s="296">
        <f t="shared" si="12"/>
        <v>0.99963010075686975</v>
      </c>
      <c r="V27" s="296">
        <f t="shared" si="12"/>
        <v>0.99932081627729297</v>
      </c>
      <c r="W27" s="296">
        <f t="shared" si="12"/>
        <v>0.99876210395032383</v>
      </c>
      <c r="X27" s="328">
        <f t="shared" si="12"/>
        <v>0.99712631109623073</v>
      </c>
      <c r="Y27" s="296">
        <f t="shared" si="19"/>
        <v>1</v>
      </c>
      <c r="Z27" s="296">
        <f t="shared" si="13"/>
        <v>0.99638802861008613</v>
      </c>
      <c r="AA27" s="296">
        <f t="shared" si="13"/>
        <v>0.99109283792689384</v>
      </c>
      <c r="AB27" s="296">
        <f t="shared" si="13"/>
        <v>0.98126346347871474</v>
      </c>
      <c r="AC27" s="328">
        <f t="shared" si="13"/>
        <v>0.95131798291171621</v>
      </c>
      <c r="AD27" s="333">
        <f t="shared" si="20"/>
        <v>1.0626849173259955E-3</v>
      </c>
      <c r="AE27" s="334">
        <f t="shared" si="21"/>
        <v>0.99893731508267403</v>
      </c>
      <c r="AF27" s="214">
        <f>AE27*GBDUS!K112/(Y27+Z27+AA27+AB27+AC27)</f>
        <v>0.60910040455665182</v>
      </c>
      <c r="AG27" s="214">
        <f t="shared" si="22"/>
        <v>0.6069003513218082</v>
      </c>
      <c r="AH27" s="214">
        <f t="shared" si="14"/>
        <v>0.60367504853447118</v>
      </c>
      <c r="AI27" s="214">
        <f t="shared" si="14"/>
        <v>0.59768797258154649</v>
      </c>
      <c r="AJ27" s="292">
        <f t="shared" si="14"/>
        <v>0.57944816825354428</v>
      </c>
      <c r="AK27" s="301">
        <f>AE27*GBDUS!L112/(Y27+Z27+AA27+AB27+AC27)</f>
        <v>28.771670562348348</v>
      </c>
      <c r="AL27" s="301">
        <f t="shared" si="23"/>
        <v>28.667748111437117</v>
      </c>
      <c r="AM27" s="301">
        <f t="shared" si="15"/>
        <v>28.515396629535495</v>
      </c>
      <c r="AN27" s="301">
        <f t="shared" si="15"/>
        <v>28.232589106078521</v>
      </c>
      <c r="AO27" s="303">
        <f t="shared" si="15"/>
        <v>27.371007604373634</v>
      </c>
      <c r="AP27" s="301">
        <f>AE27*GBDUS!M112/(Y27+Z27+AA27+AB27+AC27)</f>
        <v>34.26616281519108</v>
      </c>
      <c r="AQ27" s="301">
        <f t="shared" si="24"/>
        <v>34.14239441546048</v>
      </c>
      <c r="AR27" s="301">
        <f t="shared" si="16"/>
        <v>33.960948549372731</v>
      </c>
      <c r="AS27" s="301">
        <f t="shared" si="16"/>
        <v>33.624133604159944</v>
      </c>
      <c r="AT27" s="303">
        <f t="shared" si="16"/>
        <v>32.598016891472035</v>
      </c>
      <c r="AU27" s="376">
        <f t="shared" si="25"/>
        <v>-3.1880547519782532E-3</v>
      </c>
      <c r="AV27" s="376">
        <f t="shared" si="26"/>
        <v>-0.15059202123725868</v>
      </c>
      <c r="AW27" s="376">
        <f t="shared" si="27"/>
        <v>-0.17935040327955676</v>
      </c>
      <c r="AX27" s="376">
        <f t="shared" si="28"/>
        <v>-0.32994242451681544</v>
      </c>
    </row>
    <row r="28" spans="2:50" x14ac:dyDescent="0.2">
      <c r="B28" s="212">
        <v>1</v>
      </c>
      <c r="C28" s="325" t="s">
        <v>13</v>
      </c>
      <c r="D28" s="215">
        <f>Scenario!AL35</f>
        <v>0.42323926090175956</v>
      </c>
      <c r="E28" s="215">
        <f>Scenario!AM35</f>
        <v>1.0630083366056431</v>
      </c>
      <c r="F28" s="215">
        <f>Scenario!AN35</f>
        <v>2.011598592059475</v>
      </c>
      <c r="G28" s="215">
        <f>Scenario!AO35</f>
        <v>3.8066765388659869</v>
      </c>
      <c r="H28" s="321">
        <f>Scenario!AP35</f>
        <v>9.5608542717754226</v>
      </c>
      <c r="I28" s="218">
        <f>IF(D28+'Non-travel METs'!D29&gt;2.5, D28+'Non-travel METs'!D29, 0.1)</f>
        <v>58.198239260901758</v>
      </c>
      <c r="J28" s="218">
        <f>IF(E28+'Non-travel METs'!E29&gt;2.5, E28+'Non-travel METs'!E29, 0.1)</f>
        <v>58.83800833660564</v>
      </c>
      <c r="K28" s="218">
        <f>IF(F28+'Non-travel METs'!F29&gt;2.5, F28+'Non-travel METs'!F29, 0.1)</f>
        <v>59.786598592059477</v>
      </c>
      <c r="L28" s="218">
        <f>IF(G28+'Non-travel METs'!G29&gt;2.5, G28+'Non-travel METs'!G29, 0.1)</f>
        <v>61.581676538865985</v>
      </c>
      <c r="M28" s="223">
        <f>IF(H28+'Non-travel METs'!H29&gt;2.5, H28+'Non-travel METs'!H29, 0.1)</f>
        <v>67.335854271775418</v>
      </c>
      <c r="N28" s="268">
        <f>'Phy activity RRs'!$F$12</f>
        <v>0.9244331578735252</v>
      </c>
      <c r="O28" s="215">
        <f t="shared" si="17"/>
        <v>0.54912587493617115</v>
      </c>
      <c r="P28" s="215">
        <f t="shared" si="11"/>
        <v>0.54732455816872638</v>
      </c>
      <c r="Q28" s="215">
        <f t="shared" si="11"/>
        <v>0.54468241644514814</v>
      </c>
      <c r="R28" s="215">
        <f t="shared" si="11"/>
        <v>0.53977346960260841</v>
      </c>
      <c r="S28" s="321">
        <f t="shared" si="11"/>
        <v>0.52478309931971923</v>
      </c>
      <c r="T28" s="296">
        <f t="shared" si="18"/>
        <v>0.99988364594945311</v>
      </c>
      <c r="U28" s="296">
        <f t="shared" si="12"/>
        <v>0.99972004555249394</v>
      </c>
      <c r="V28" s="296">
        <f t="shared" si="12"/>
        <v>0.99948834699471945</v>
      </c>
      <c r="W28" s="296">
        <f t="shared" si="12"/>
        <v>0.9990719001892886</v>
      </c>
      <c r="X28" s="328">
        <f t="shared" si="12"/>
        <v>0.99786060716659408</v>
      </c>
      <c r="Y28" s="296">
        <f t="shared" si="19"/>
        <v>1</v>
      </c>
      <c r="Z28" s="296">
        <f t="shared" si="13"/>
        <v>0.9967196651083795</v>
      </c>
      <c r="AA28" s="296">
        <f t="shared" si="13"/>
        <v>0.9919081239951778</v>
      </c>
      <c r="AB28" s="296">
        <f t="shared" si="13"/>
        <v>0.98296855828429164</v>
      </c>
      <c r="AC28" s="328">
        <f t="shared" si="13"/>
        <v>0.95566995341590588</v>
      </c>
      <c r="AD28" s="333">
        <f t="shared" si="20"/>
        <v>7.9509082949016376E-4</v>
      </c>
      <c r="AE28" s="334">
        <f t="shared" si="21"/>
        <v>0.99920490917050986</v>
      </c>
      <c r="AF28" s="214">
        <f>AE28*GBDUS!K113/(Y28+Z28+AA28+AB28+AC28)</f>
        <v>2.6362820733065928</v>
      </c>
      <c r="AG28" s="214">
        <f t="shared" si="22"/>
        <v>2.6276341852373717</v>
      </c>
      <c r="AH28" s="214">
        <f t="shared" si="14"/>
        <v>2.6149496056556605</v>
      </c>
      <c r="AI28" s="214">
        <f t="shared" si="14"/>
        <v>2.5913823888289049</v>
      </c>
      <c r="AJ28" s="292">
        <f t="shared" si="14"/>
        <v>2.5194155661880995</v>
      </c>
      <c r="AK28" s="301">
        <f>AE28*GBDUS!L113/(Y28+Z28+AA28+AB28+AC28)</f>
        <v>88.070949544352771</v>
      </c>
      <c r="AL28" s="301">
        <f t="shared" si="23"/>
        <v>87.782047335624284</v>
      </c>
      <c r="AM28" s="301">
        <f t="shared" si="15"/>
        <v>87.358290341012918</v>
      </c>
      <c r="AN28" s="301">
        <f t="shared" si="15"/>
        <v>86.570974300341035</v>
      </c>
      <c r="AO28" s="303">
        <f t="shared" si="15"/>
        <v>84.166760248346208</v>
      </c>
      <c r="AP28" s="301">
        <f>AE28*GBDUS!M113/(Y28+Z28+AA28+AB28+AC28)</f>
        <v>75.16831123232727</v>
      </c>
      <c r="AQ28" s="301">
        <f t="shared" si="24"/>
        <v>74.921733998247674</v>
      </c>
      <c r="AR28" s="301">
        <f t="shared" si="16"/>
        <v>74.560058578343387</v>
      </c>
      <c r="AS28" s="301">
        <f t="shared" si="16"/>
        <v>73.888086520705656</v>
      </c>
      <c r="AT28" s="303">
        <f t="shared" si="16"/>
        <v>71.836096493750517</v>
      </c>
      <c r="AU28" s="376">
        <f t="shared" si="25"/>
        <v>-1.0336180783371063E-2</v>
      </c>
      <c r="AV28" s="376">
        <f t="shared" si="26"/>
        <v>-0.34530343526995466</v>
      </c>
      <c r="AW28" s="376">
        <f t="shared" si="27"/>
        <v>-0.29471552454299399</v>
      </c>
      <c r="AX28" s="376">
        <f t="shared" si="28"/>
        <v>-0.64001895981294865</v>
      </c>
    </row>
    <row r="29" spans="2:50" x14ac:dyDescent="0.2">
      <c r="B29" s="212">
        <v>1</v>
      </c>
      <c r="C29" s="325" t="s">
        <v>14</v>
      </c>
      <c r="D29" s="215">
        <f>Scenario!AL36</f>
        <v>0.34527632259518459</v>
      </c>
      <c r="E29" s="215">
        <f>Scenario!AM36</f>
        <v>0.86719650858764341</v>
      </c>
      <c r="F29" s="215">
        <f>Scenario!AN36</f>
        <v>1.641051359281066</v>
      </c>
      <c r="G29" s="215">
        <f>Scenario!AO36</f>
        <v>3.1054663356339605</v>
      </c>
      <c r="H29" s="321">
        <f>Scenario!AP36</f>
        <v>7.7996937164894184</v>
      </c>
      <c r="I29" s="218">
        <f>IF(D29+'Non-travel METs'!D30&gt;2.5, D29+'Non-travel METs'!D30, 0.1)</f>
        <v>23.428609655928486</v>
      </c>
      <c r="J29" s="218">
        <f>IF(E29+'Non-travel METs'!E30&gt;2.5, E29+'Non-travel METs'!E30, 0.1)</f>
        <v>23.950529841920943</v>
      </c>
      <c r="K29" s="218">
        <f>IF(F29+'Non-travel METs'!F30&gt;2.5, F29+'Non-travel METs'!F30, 0.1)</f>
        <v>24.724384692614365</v>
      </c>
      <c r="L29" s="218">
        <f>IF(G29+'Non-travel METs'!G30&gt;2.5, G29+'Non-travel METs'!G30, 0.1)</f>
        <v>26.18879966896726</v>
      </c>
      <c r="M29" s="223">
        <f>IF(H29+'Non-travel METs'!H30&gt;2.5, H29+'Non-travel METs'!H30, 0.1)</f>
        <v>30.883027049822719</v>
      </c>
      <c r="N29" s="268">
        <f>'Phy activity RRs'!$F$12</f>
        <v>0.9244331578735252</v>
      </c>
      <c r="O29" s="215">
        <f t="shared" si="17"/>
        <v>0.68363907948639668</v>
      </c>
      <c r="P29" s="215">
        <f t="shared" si="11"/>
        <v>0.68076501652993782</v>
      </c>
      <c r="Q29" s="215">
        <f t="shared" si="11"/>
        <v>0.67658240924478941</v>
      </c>
      <c r="R29" s="215">
        <f t="shared" si="11"/>
        <v>0.66891042948532464</v>
      </c>
      <c r="S29" s="321">
        <f t="shared" si="11"/>
        <v>0.6461921897081383</v>
      </c>
      <c r="T29" s="296">
        <f t="shared" si="18"/>
        <v>0.99982954496001564</v>
      </c>
      <c r="U29" s="296">
        <f t="shared" si="12"/>
        <v>0.99959007611140127</v>
      </c>
      <c r="V29" s="296">
        <f t="shared" si="12"/>
        <v>0.99925387146672695</v>
      </c>
      <c r="W29" s="296">
        <f t="shared" si="12"/>
        <v>0.9986598637992582</v>
      </c>
      <c r="X29" s="328">
        <f t="shared" si="12"/>
        <v>0.99700581453161996</v>
      </c>
      <c r="Y29" s="296">
        <f t="shared" si="19"/>
        <v>1</v>
      </c>
      <c r="Z29" s="296">
        <f t="shared" si="13"/>
        <v>0.99579593524902332</v>
      </c>
      <c r="AA29" s="296">
        <f t="shared" si="13"/>
        <v>0.98967778400423101</v>
      </c>
      <c r="AB29" s="296">
        <f t="shared" si="13"/>
        <v>0.9784555177680343</v>
      </c>
      <c r="AC29" s="328">
        <f t="shared" si="13"/>
        <v>0.94522418202541691</v>
      </c>
      <c r="AD29" s="333">
        <f t="shared" si="20"/>
        <v>1.1321658261955747E-3</v>
      </c>
      <c r="AE29" s="334">
        <f t="shared" si="21"/>
        <v>0.99886783417380443</v>
      </c>
      <c r="AF29" s="214">
        <f>AE29*GBDUS!K114/(Y29+Z29+AA29+AB29+AC29)</f>
        <v>2.8485868101365646</v>
      </c>
      <c r="AG29" s="214">
        <f t="shared" si="22"/>
        <v>2.8366111667379723</v>
      </c>
      <c r="AH29" s="214">
        <f t="shared" si="14"/>
        <v>2.8191830817996362</v>
      </c>
      <c r="AI29" s="214">
        <f t="shared" si="14"/>
        <v>2.7872154822193655</v>
      </c>
      <c r="AJ29" s="292">
        <f t="shared" si="14"/>
        <v>2.692553137539726</v>
      </c>
      <c r="AK29" s="301">
        <f>AE29*GBDUS!L114/(Y29+Z29+AA29+AB29+AC29)</f>
        <v>66.015576921239315</v>
      </c>
      <c r="AL29" s="301">
        <f t="shared" si="23"/>
        <v>65.73804316128934</v>
      </c>
      <c r="AM29" s="301">
        <f t="shared" si="15"/>
        <v>65.334149877172976</v>
      </c>
      <c r="AN29" s="301">
        <f t="shared" si="15"/>
        <v>64.593305497226709</v>
      </c>
      <c r="AO29" s="303">
        <f t="shared" si="15"/>
        <v>62.399519696314421</v>
      </c>
      <c r="AP29" s="301">
        <f>AE29*GBDUS!M114/(Y29+Z29+AA29+AB29+AC29)</f>
        <v>42.100505006722457</v>
      </c>
      <c r="AQ29" s="301">
        <f t="shared" si="24"/>
        <v>41.923511757625377</v>
      </c>
      <c r="AR29" s="301">
        <f t="shared" si="16"/>
        <v>41.665934500512115</v>
      </c>
      <c r="AS29" s="301">
        <f t="shared" si="16"/>
        <v>41.193471424648344</v>
      </c>
      <c r="AT29" s="303">
        <f t="shared" si="16"/>
        <v>39.794415407836205</v>
      </c>
      <c r="AU29" s="376">
        <f t="shared" si="25"/>
        <v>-1.5850321566738046E-2</v>
      </c>
      <c r="AV29" s="376">
        <f t="shared" si="26"/>
        <v>-0.36732885193868015</v>
      </c>
      <c r="AW29" s="376">
        <f t="shared" si="27"/>
        <v>-0.23425880513940456</v>
      </c>
      <c r="AX29" s="376">
        <f t="shared" si="28"/>
        <v>-0.6015876570780847</v>
      </c>
    </row>
    <row r="30" spans="2:50" x14ac:dyDescent="0.2">
      <c r="B30" s="212">
        <v>1</v>
      </c>
      <c r="C30" s="325" t="s">
        <v>15</v>
      </c>
      <c r="D30" s="215">
        <f>Scenario!AL37</f>
        <v>0.19932213747057709</v>
      </c>
      <c r="E30" s="215">
        <f>Scenario!AM37</f>
        <v>0.50061776724078633</v>
      </c>
      <c r="F30" s="215">
        <f>Scenario!AN37</f>
        <v>0.94735098593598122</v>
      </c>
      <c r="G30" s="215">
        <f>Scenario!AO37</f>
        <v>1.7927327979196748</v>
      </c>
      <c r="H30" s="321">
        <f>Scenario!AP37</f>
        <v>4.5026302745040336</v>
      </c>
      <c r="I30" s="218">
        <f>IF(D30+'Non-travel METs'!D31&gt;2.5, D30+'Non-travel METs'!D31, 0.1)</f>
        <v>0.1</v>
      </c>
      <c r="J30" s="218">
        <f>IF(E30+'Non-travel METs'!E31&gt;2.5, E30+'Non-travel METs'!E31, 0.1)</f>
        <v>0.1</v>
      </c>
      <c r="K30" s="218">
        <f>IF(F30+'Non-travel METs'!F31&gt;2.5, F30+'Non-travel METs'!F31, 0.1)</f>
        <v>2.822350985935981</v>
      </c>
      <c r="L30" s="218">
        <f>IF(G30+'Non-travel METs'!G31&gt;2.5, G30+'Non-travel METs'!G31, 0.1)</f>
        <v>3.6677327979196748</v>
      </c>
      <c r="M30" s="223">
        <f>IF(H30+'Non-travel METs'!H31&gt;2.5, H30+'Non-travel METs'!H31, 0.1)</f>
        <v>6.3776302745040336</v>
      </c>
      <c r="N30" s="268">
        <f>'Phy activity RRs'!$F$12</f>
        <v>0.9244331578735252</v>
      </c>
      <c r="O30" s="215">
        <f t="shared" si="17"/>
        <v>0.97545870827357695</v>
      </c>
      <c r="P30" s="215">
        <f t="shared" si="11"/>
        <v>0.97545870827357695</v>
      </c>
      <c r="Q30" s="215">
        <f t="shared" si="11"/>
        <v>0.87633743110408457</v>
      </c>
      <c r="R30" s="215">
        <f t="shared" si="11"/>
        <v>0.86029438048242102</v>
      </c>
      <c r="S30" s="321">
        <f t="shared" si="11"/>
        <v>0.82001561964884595</v>
      </c>
      <c r="T30" s="296">
        <f t="shared" si="18"/>
        <v>1</v>
      </c>
      <c r="U30" s="296">
        <f t="shared" si="12"/>
        <v>1</v>
      </c>
      <c r="V30" s="296">
        <f t="shared" si="12"/>
        <v>0.99875084909118517</v>
      </c>
      <c r="W30" s="296">
        <f t="shared" si="12"/>
        <v>0.99797320575122939</v>
      </c>
      <c r="X30" s="328">
        <f t="shared" si="12"/>
        <v>0.99627103928232752</v>
      </c>
      <c r="Y30" s="296">
        <f t="shared" si="19"/>
        <v>1</v>
      </c>
      <c r="Z30" s="296">
        <f t="shared" si="13"/>
        <v>1</v>
      </c>
      <c r="AA30" s="296">
        <f t="shared" si="13"/>
        <v>0.89838495845208777</v>
      </c>
      <c r="AB30" s="296">
        <f t="shared" si="13"/>
        <v>0.88193828522482476</v>
      </c>
      <c r="AC30" s="328">
        <f t="shared" si="13"/>
        <v>0.84064616235797096</v>
      </c>
      <c r="AD30" s="333">
        <f t="shared" si="20"/>
        <v>1.4009811750515411E-3</v>
      </c>
      <c r="AE30" s="334">
        <f t="shared" si="21"/>
        <v>0.9985990188249485</v>
      </c>
      <c r="AF30" s="214">
        <f>AE30*GBDUS!K115/(Y30+Z30+AA30+AB30+AC30)</f>
        <v>5.4025407391834293</v>
      </c>
      <c r="AG30" s="214">
        <f t="shared" si="22"/>
        <v>5.4025407391834293</v>
      </c>
      <c r="AH30" s="214">
        <f t="shared" si="14"/>
        <v>4.853561337507017</v>
      </c>
      <c r="AI30" s="214">
        <f t="shared" si="14"/>
        <v>4.7647075153726908</v>
      </c>
      <c r="AJ30" s="292">
        <f t="shared" si="14"/>
        <v>4.5416251393771452</v>
      </c>
      <c r="AK30" s="301">
        <f>AE30*GBDUS!L115/(Y30+Z30+AA30+AB30+AC30)</f>
        <v>79.657697475355533</v>
      </c>
      <c r="AL30" s="301">
        <f t="shared" si="23"/>
        <v>79.657697475355533</v>
      </c>
      <c r="AM30" s="301">
        <f t="shared" si="15"/>
        <v>71.563277236786263</v>
      </c>
      <c r="AN30" s="301">
        <f t="shared" si="15"/>
        <v>70.253173116372906</v>
      </c>
      <c r="AO30" s="303">
        <f t="shared" si="15"/>
        <v>66.96393768492986</v>
      </c>
      <c r="AP30" s="301">
        <f>AE30*GBDUS!M115/(Y30+Z30+AA30+AB30+AC30)</f>
        <v>46.369859485855805</v>
      </c>
      <c r="AQ30" s="301">
        <f t="shared" si="24"/>
        <v>46.369859485855805</v>
      </c>
      <c r="AR30" s="301">
        <f t="shared" si="16"/>
        <v>41.657984287629716</v>
      </c>
      <c r="AS30" s="301">
        <f t="shared" si="16"/>
        <v>40.895354361071746</v>
      </c>
      <c r="AT30" s="303">
        <f t="shared" si="16"/>
        <v>38.980644425863041</v>
      </c>
      <c r="AU30" s="376">
        <f t="shared" si="25"/>
        <v>-3.5024529376290303E-2</v>
      </c>
      <c r="AV30" s="376">
        <f t="shared" si="26"/>
        <v>-0.51641875553809768</v>
      </c>
      <c r="AW30" s="376">
        <f t="shared" si="27"/>
        <v>-0.30061457824052695</v>
      </c>
      <c r="AX30" s="376">
        <f t="shared" si="28"/>
        <v>-0.81703333377862464</v>
      </c>
    </row>
    <row r="31" spans="2:50" x14ac:dyDescent="0.2">
      <c r="B31" s="319">
        <v>1</v>
      </c>
      <c r="C31" s="326" t="s">
        <v>16</v>
      </c>
      <c r="D31" s="320">
        <f>Scenario!AL38</f>
        <v>0.19126931777272674</v>
      </c>
      <c r="E31" s="320">
        <f>Scenario!AM38</f>
        <v>0.48039229370187442</v>
      </c>
      <c r="F31" s="320">
        <f>Scenario!AN38</f>
        <v>0.909077030131903</v>
      </c>
      <c r="G31" s="320">
        <f>Scenario!AO38</f>
        <v>1.7203045459890483</v>
      </c>
      <c r="H31" s="322">
        <f>Scenario!AP38</f>
        <v>4.3207193727507578</v>
      </c>
      <c r="I31" s="230">
        <f>IF(D31+'Non-travel METs'!D32&gt;2.5, D31+'Non-travel METs'!D32, 0.1)</f>
        <v>0.1</v>
      </c>
      <c r="J31" s="228">
        <f>IF(E31+'Non-travel METs'!E32&gt;2.5, E31+'Non-travel METs'!E32, 0.1)</f>
        <v>0.1</v>
      </c>
      <c r="K31" s="228">
        <f>IF(F31+'Non-travel METs'!F32&gt;2.5, F31+'Non-travel METs'!F32, 0.1)</f>
        <v>0.1</v>
      </c>
      <c r="L31" s="228">
        <f>IF(G31+'Non-travel METs'!G32&gt;2.5, G31+'Non-travel METs'!G32, 0.1)</f>
        <v>0.1</v>
      </c>
      <c r="M31" s="229">
        <f>IF(H31+'Non-travel METs'!H32&gt;2.5, H31+'Non-travel METs'!H32, 0.1)</f>
        <v>4.6540527060840908</v>
      </c>
      <c r="N31" s="268">
        <f>'Phy activity RRs'!$F$12</f>
        <v>0.9244331578735252</v>
      </c>
      <c r="O31" s="327">
        <f t="shared" si="17"/>
        <v>0.97545870827357695</v>
      </c>
      <c r="P31" s="320">
        <f t="shared" si="11"/>
        <v>0.97545870827357695</v>
      </c>
      <c r="Q31" s="320">
        <f t="shared" si="11"/>
        <v>0.97545870827357695</v>
      </c>
      <c r="R31" s="320">
        <f t="shared" si="11"/>
        <v>0.97545870827357695</v>
      </c>
      <c r="S31" s="322">
        <f t="shared" si="11"/>
        <v>0.84407761337565557</v>
      </c>
      <c r="T31" s="329">
        <f t="shared" si="18"/>
        <v>1</v>
      </c>
      <c r="U31" s="330">
        <f t="shared" si="12"/>
        <v>1</v>
      </c>
      <c r="V31" s="330">
        <f t="shared" si="12"/>
        <v>1</v>
      </c>
      <c r="W31" s="330">
        <f t="shared" si="12"/>
        <v>1</v>
      </c>
      <c r="X31" s="331">
        <f t="shared" si="12"/>
        <v>0.99328795233034428</v>
      </c>
      <c r="Y31" s="329">
        <f t="shared" si="19"/>
        <v>1</v>
      </c>
      <c r="Z31" s="330">
        <f t="shared" si="13"/>
        <v>1</v>
      </c>
      <c r="AA31" s="330">
        <f t="shared" si="13"/>
        <v>1</v>
      </c>
      <c r="AB31" s="330">
        <f t="shared" si="13"/>
        <v>1</v>
      </c>
      <c r="AC31" s="331">
        <f t="shared" si="13"/>
        <v>0.86531352502819192</v>
      </c>
      <c r="AD31" s="332">
        <f t="shared" si="20"/>
        <v>1.3424095339312104E-3</v>
      </c>
      <c r="AE31" s="334">
        <f t="shared" si="21"/>
        <v>0.99865759046606883</v>
      </c>
      <c r="AF31" s="214">
        <f>AE31*GBDUS!K116/(Y31+Z31+AA31+AB31+AC31)</f>
        <v>9.6472522295740966</v>
      </c>
      <c r="AG31" s="294">
        <f t="shared" si="22"/>
        <v>9.6472522295740966</v>
      </c>
      <c r="AH31" s="294">
        <f t="shared" si="14"/>
        <v>9.6472522295740966</v>
      </c>
      <c r="AI31" s="294">
        <f t="shared" si="14"/>
        <v>9.6472522295740966</v>
      </c>
      <c r="AJ31" s="295">
        <f t="shared" si="14"/>
        <v>8.3478978336088456</v>
      </c>
      <c r="AK31" s="301">
        <f>AE31*GBDUS!L116/(Y31+Z31+AA31+AB31+AC31)</f>
        <v>61.406410614474431</v>
      </c>
      <c r="AL31" s="305">
        <f t="shared" si="23"/>
        <v>61.406410614474431</v>
      </c>
      <c r="AM31" s="305">
        <f t="shared" si="15"/>
        <v>61.406410614474431</v>
      </c>
      <c r="AN31" s="305">
        <f t="shared" si="15"/>
        <v>61.406410614474431</v>
      </c>
      <c r="AO31" s="306">
        <f t="shared" si="15"/>
        <v>53.13579762813945</v>
      </c>
      <c r="AP31" s="301">
        <f>AE31*GBDUS!M116/(Y31+Z31+AA31+AB31+AC31)</f>
        <v>36.807420116323655</v>
      </c>
      <c r="AQ31" s="305">
        <f t="shared" si="24"/>
        <v>36.807420116323655</v>
      </c>
      <c r="AR31" s="305">
        <f t="shared" si="16"/>
        <v>36.807420116323655</v>
      </c>
      <c r="AS31" s="305">
        <f t="shared" si="16"/>
        <v>36.807420116323655</v>
      </c>
      <c r="AT31" s="306">
        <f t="shared" si="16"/>
        <v>31.849958448049605</v>
      </c>
      <c r="AU31" s="377">
        <f t="shared" si="25"/>
        <v>-6.3093248094766352E-2</v>
      </c>
      <c r="AV31" s="378">
        <f t="shared" si="26"/>
        <v>-0.40159931629352741</v>
      </c>
      <c r="AW31" s="378">
        <f t="shared" si="27"/>
        <v>-0.24072136126059718</v>
      </c>
      <c r="AX31" s="378">
        <f t="shared" si="28"/>
        <v>-0.64232067755412459</v>
      </c>
    </row>
    <row r="32" spans="2:50" x14ac:dyDescent="0.2">
      <c r="B32" s="212">
        <v>2</v>
      </c>
      <c r="C32" s="325" t="s">
        <v>9</v>
      </c>
      <c r="D32" s="215">
        <f>Scenario!AL39</f>
        <v>0.67806159555829848</v>
      </c>
      <c r="E32" s="215">
        <f>Scenario!AM39</f>
        <v>1.703020478948196</v>
      </c>
      <c r="F32" s="215">
        <f>Scenario!AN39</f>
        <v>3.2227344600511354</v>
      </c>
      <c r="G32" s="369">
        <f>Scenario!AO39</f>
        <v>6.0985863225882078</v>
      </c>
      <c r="H32" s="321">
        <f>Scenario!AP39</f>
        <v>15.317218181999392</v>
      </c>
      <c r="I32" s="218">
        <f>IF(D32+'Non-travel METs'!D33&gt;2.5, D32+'Non-travel METs'!D33, 0.1)</f>
        <v>0.1</v>
      </c>
      <c r="J32" s="218">
        <f>IF(E32+'Non-travel METs'!E33&gt;2.5, E32+'Non-travel METs'!E33, 0.1)</f>
        <v>0.1</v>
      </c>
      <c r="K32" s="218">
        <f>IF(F32+'Non-travel METs'!F33&gt;2.5, F32+'Non-travel METs'!F33, 0.1)</f>
        <v>3.2227344600511354</v>
      </c>
      <c r="L32" s="218">
        <f>IF(G32+'Non-travel METs'!G33&gt;2.5, G32+'Non-travel METs'!G33, 0.1)</f>
        <v>6.0985863225882078</v>
      </c>
      <c r="M32" s="223">
        <f>IF(H32+'Non-travel METs'!H33&gt;2.5, H32+'Non-travel METs'!H33, 0.1)</f>
        <v>15.317218181999392</v>
      </c>
      <c r="N32" s="268">
        <f>'Phy activity RRs'!$F$12</f>
        <v>0.9244331578735252</v>
      </c>
      <c r="O32" s="214">
        <f t="shared" si="17"/>
        <v>0.97545870827357695</v>
      </c>
      <c r="P32" s="214">
        <f t="shared" si="11"/>
        <v>0.97545870827357695</v>
      </c>
      <c r="Q32" s="214">
        <f t="shared" si="11"/>
        <v>0.86843997302732445</v>
      </c>
      <c r="R32" s="214">
        <f t="shared" si="11"/>
        <v>0.82362307354191355</v>
      </c>
      <c r="S32" s="292">
        <f t="shared" si="11"/>
        <v>0.73526900331849898</v>
      </c>
      <c r="T32" s="296">
        <f t="shared" si="18"/>
        <v>1</v>
      </c>
      <c r="U32" s="296">
        <f t="shared" si="12"/>
        <v>1</v>
      </c>
      <c r="V32" s="296">
        <f t="shared" si="12"/>
        <v>0.99413644865809236</v>
      </c>
      <c r="W32" s="296">
        <f t="shared" si="12"/>
        <v>0.99207536065017587</v>
      </c>
      <c r="X32" s="328">
        <f t="shared" si="12"/>
        <v>0.98777237947170349</v>
      </c>
      <c r="Y32" s="296">
        <f t="shared" si="19"/>
        <v>1</v>
      </c>
      <c r="Z32" s="296">
        <f t="shared" si="13"/>
        <v>1</v>
      </c>
      <c r="AA32" s="296">
        <f t="shared" si="13"/>
        <v>0.890288810445231</v>
      </c>
      <c r="AB32" s="296">
        <f t="shared" si="13"/>
        <v>0.84434437517053818</v>
      </c>
      <c r="AC32" s="328">
        <f t="shared" si="13"/>
        <v>0.75376742970475952</v>
      </c>
      <c r="AD32" s="371">
        <f t="shared" si="20"/>
        <v>5.2031622440058102E-3</v>
      </c>
      <c r="AE32" s="336">
        <f t="shared" si="21"/>
        <v>0.99479683775599415</v>
      </c>
      <c r="AF32" s="214">
        <f>AE32*GBDUS!K117/(Y32+Z32+AA32+AB32+AC32)</f>
        <v>0</v>
      </c>
      <c r="AG32" s="214">
        <f t="shared" si="22"/>
        <v>0</v>
      </c>
      <c r="AH32" s="214">
        <f t="shared" si="14"/>
        <v>0</v>
      </c>
      <c r="AI32" s="214">
        <f t="shared" si="14"/>
        <v>0</v>
      </c>
      <c r="AJ32" s="292">
        <f t="shared" si="14"/>
        <v>0</v>
      </c>
      <c r="AK32" s="301">
        <f>AE32*GBDUS!L117/(Y32+Z32+AA32+AB32+AC32)</f>
        <v>0.92069027036947315</v>
      </c>
      <c r="AL32" s="301">
        <f t="shared" si="23"/>
        <v>0.92069027036947315</v>
      </c>
      <c r="AM32" s="301">
        <f t="shared" si="15"/>
        <v>0.81968024559573638</v>
      </c>
      <c r="AN32" s="301">
        <f t="shared" si="15"/>
        <v>0.77737965106070661</v>
      </c>
      <c r="AO32" s="303">
        <f t="shared" si="15"/>
        <v>0.69398633865057791</v>
      </c>
      <c r="AP32" s="301">
        <f>AE32*GBDUS!M117/(Y32+Z32+AA32+AB32+AC32)</f>
        <v>2.0374840562334753</v>
      </c>
      <c r="AQ32" s="301">
        <f t="shared" si="24"/>
        <v>2.0374840562334753</v>
      </c>
      <c r="AR32" s="301">
        <f t="shared" si="16"/>
        <v>1.8139492567252249</v>
      </c>
      <c r="AS32" s="301">
        <f t="shared" si="16"/>
        <v>1.7203382023803873</v>
      </c>
      <c r="AT32" s="303">
        <f t="shared" si="16"/>
        <v>1.5357891201315343</v>
      </c>
      <c r="AU32" s="376">
        <f t="shared" si="25"/>
        <v>0</v>
      </c>
      <c r="AV32" s="376">
        <f t="shared" si="26"/>
        <v>-2.1614148900736652E-2</v>
      </c>
      <c r="AW32" s="376">
        <f t="shared" si="27"/>
        <v>-4.7832029067317094E-2</v>
      </c>
      <c r="AX32" s="376">
        <f t="shared" si="28"/>
        <v>-6.9446177968053746E-2</v>
      </c>
    </row>
    <row r="33" spans="2:50" x14ac:dyDescent="0.2">
      <c r="B33" s="212">
        <v>2</v>
      </c>
      <c r="C33" s="325" t="s">
        <v>10</v>
      </c>
      <c r="D33" s="215">
        <f>Scenario!AL40</f>
        <v>0.49823535606718694</v>
      </c>
      <c r="E33" s="215">
        <f>Scenario!AM40</f>
        <v>1.2513686371218657</v>
      </c>
      <c r="F33" s="215">
        <f>Scenario!AN40</f>
        <v>2.3680448232604823</v>
      </c>
      <c r="G33" s="215">
        <f>Scenario!AO40</f>
        <v>4.4812025158855429</v>
      </c>
      <c r="H33" s="321">
        <f>Scenario!AP40</f>
        <v>11.254994686114927</v>
      </c>
      <c r="I33" s="218">
        <f>IF(D33+'Non-travel METs'!D34&gt;2.5, D33+'Non-travel METs'!D34, 0.1)</f>
        <v>0.1</v>
      </c>
      <c r="J33" s="218">
        <f>IF(E33+'Non-travel METs'!E34&gt;2.5, E33+'Non-travel METs'!E34, 0.1)</f>
        <v>0.1</v>
      </c>
      <c r="K33" s="218">
        <f>IF(F33+'Non-travel METs'!F34&gt;2.5, F33+'Non-travel METs'!F34, 0.1)</f>
        <v>0.1</v>
      </c>
      <c r="L33" s="218">
        <f>IF(G33+'Non-travel METs'!G34&gt;2.5, G33+'Non-travel METs'!G34, 0.1)</f>
        <v>4.4812025158855429</v>
      </c>
      <c r="M33" s="223">
        <f>IF(H33+'Non-travel METs'!H34&gt;2.5, H33+'Non-travel METs'!H34, 0.1)</f>
        <v>11.254994686114927</v>
      </c>
      <c r="N33" s="268">
        <f>'Phy activity RRs'!$F$12</f>
        <v>0.9244331578735252</v>
      </c>
      <c r="O33" s="214">
        <f t="shared" si="17"/>
        <v>0.97545870827357695</v>
      </c>
      <c r="P33" s="214">
        <f t="shared" si="11"/>
        <v>0.97545870827357695</v>
      </c>
      <c r="Q33" s="214">
        <f t="shared" si="11"/>
        <v>0.97545870827357695</v>
      </c>
      <c r="R33" s="214">
        <f t="shared" si="11"/>
        <v>0.84676399882487186</v>
      </c>
      <c r="S33" s="292">
        <f t="shared" si="11"/>
        <v>0.76827657402919713</v>
      </c>
      <c r="T33" s="296">
        <f t="shared" si="18"/>
        <v>1</v>
      </c>
      <c r="U33" s="296">
        <f t="shared" si="12"/>
        <v>1</v>
      </c>
      <c r="V33" s="296">
        <f t="shared" si="12"/>
        <v>1</v>
      </c>
      <c r="W33" s="296">
        <f t="shared" si="12"/>
        <v>0.99397881948982547</v>
      </c>
      <c r="X33" s="328">
        <f t="shared" si="12"/>
        <v>0.99073556316146305</v>
      </c>
      <c r="Y33" s="296">
        <f t="shared" si="19"/>
        <v>1</v>
      </c>
      <c r="Z33" s="296">
        <f t="shared" si="13"/>
        <v>1</v>
      </c>
      <c r="AA33" s="296">
        <f t="shared" si="13"/>
        <v>1</v>
      </c>
      <c r="AB33" s="296">
        <f t="shared" si="13"/>
        <v>0.86806749649457082</v>
      </c>
      <c r="AC33" s="328">
        <f t="shared" si="13"/>
        <v>0.78760542861823157</v>
      </c>
      <c r="AD33" s="371">
        <f t="shared" si="20"/>
        <v>3.0571234697422513E-3</v>
      </c>
      <c r="AE33" s="334">
        <f t="shared" si="21"/>
        <v>0.9969428765302577</v>
      </c>
      <c r="AF33" s="214">
        <f>AE33*GBDUS!K118/(Y33+Z33+AA33+AB33+AC33)</f>
        <v>0</v>
      </c>
      <c r="AG33" s="214">
        <f t="shared" si="22"/>
        <v>0</v>
      </c>
      <c r="AH33" s="214">
        <f t="shared" si="14"/>
        <v>0</v>
      </c>
      <c r="AI33" s="214">
        <f t="shared" si="14"/>
        <v>0</v>
      </c>
      <c r="AJ33" s="292">
        <f t="shared" si="14"/>
        <v>0</v>
      </c>
      <c r="AK33" s="301">
        <f>AE33*GBDUS!L118/(Y33+Z33+AA33+AB33+AC33)</f>
        <v>0.83046968074675054</v>
      </c>
      <c r="AL33" s="301">
        <f t="shared" si="23"/>
        <v>0.83046968074675054</v>
      </c>
      <c r="AM33" s="301">
        <f t="shared" si="15"/>
        <v>0.83046968074675054</v>
      </c>
      <c r="AN33" s="301">
        <f t="shared" si="15"/>
        <v>0.72090373668047725</v>
      </c>
      <c r="AO33" s="303">
        <f t="shared" si="15"/>
        <v>0.65408242885899037</v>
      </c>
      <c r="AP33" s="301">
        <f>AE33*GBDUS!M118/(Y33+Z33+AA33+AB33+AC33)</f>
        <v>4.6298240711067304</v>
      </c>
      <c r="AQ33" s="301">
        <f t="shared" si="24"/>
        <v>4.6298240711067304</v>
      </c>
      <c r="AR33" s="301">
        <f t="shared" si="16"/>
        <v>4.6298240711067304</v>
      </c>
      <c r="AS33" s="301">
        <f t="shared" si="16"/>
        <v>4.0189997906159212</v>
      </c>
      <c r="AT33" s="303">
        <f t="shared" si="16"/>
        <v>3.6464745719510221</v>
      </c>
      <c r="AU33" s="376">
        <f t="shared" si="25"/>
        <v>0</v>
      </c>
      <c r="AV33" s="376">
        <f t="shared" si="26"/>
        <v>-1.1856293686696606E-2</v>
      </c>
      <c r="AW33" s="376">
        <f t="shared" si="27"/>
        <v>-6.6098203435220881E-2</v>
      </c>
      <c r="AX33" s="376">
        <f t="shared" si="28"/>
        <v>-7.7954497121917488E-2</v>
      </c>
    </row>
    <row r="34" spans="2:50" x14ac:dyDescent="0.2">
      <c r="B34" s="212">
        <v>2</v>
      </c>
      <c r="C34" s="325" t="s">
        <v>11</v>
      </c>
      <c r="D34" s="215">
        <f>Scenario!AL41</f>
        <v>0.48774232762808944</v>
      </c>
      <c r="E34" s="215">
        <f>Scenario!AM41</f>
        <v>1.225014331797649</v>
      </c>
      <c r="F34" s="215">
        <f>Scenario!AN41</f>
        <v>2.318172887491678</v>
      </c>
      <c r="G34" s="215">
        <f>Scenario!AO41</f>
        <v>4.3868266654607444</v>
      </c>
      <c r="H34" s="321">
        <f>Scenario!AP41</f>
        <v>11.017960164407139</v>
      </c>
      <c r="I34" s="218">
        <f>IF(D34+'Non-travel METs'!D35&gt;2.5, D34+'Non-travel METs'!D35, 0.1)</f>
        <v>37.987742327628091</v>
      </c>
      <c r="J34" s="218">
        <f>IF(E34+'Non-travel METs'!E35&gt;2.5, E34+'Non-travel METs'!E35, 0.1)</f>
        <v>38.725014331797652</v>
      </c>
      <c r="K34" s="218">
        <f>IF(F34+'Non-travel METs'!F35&gt;2.5, F34+'Non-travel METs'!F35, 0.1)</f>
        <v>39.818172887491677</v>
      </c>
      <c r="L34" s="218">
        <f>IF(G34+'Non-travel METs'!G35&gt;2.5, G34+'Non-travel METs'!G35, 0.1)</f>
        <v>41.886826665460745</v>
      </c>
      <c r="M34" s="223">
        <f>IF(H34+'Non-travel METs'!H35&gt;2.5, H34+'Non-travel METs'!H35, 0.1)</f>
        <v>48.517960164407143</v>
      </c>
      <c r="N34" s="268">
        <f>'Phy activity RRs'!$F$12</f>
        <v>0.9244331578735252</v>
      </c>
      <c r="O34" s="214">
        <f t="shared" si="17"/>
        <v>0.61613584289248025</v>
      </c>
      <c r="P34" s="214">
        <f t="shared" si="11"/>
        <v>0.61326091443385755</v>
      </c>
      <c r="Q34" s="214">
        <f t="shared" si="11"/>
        <v>0.60907236007315602</v>
      </c>
      <c r="R34" s="214">
        <f t="shared" si="11"/>
        <v>0.60137617352264694</v>
      </c>
      <c r="S34" s="292">
        <f t="shared" si="11"/>
        <v>0.57850412482003477</v>
      </c>
      <c r="T34" s="296">
        <f t="shared" si="18"/>
        <v>0.99973286775364645</v>
      </c>
      <c r="U34" s="296">
        <f t="shared" si="12"/>
        <v>0.99935004096181845</v>
      </c>
      <c r="V34" s="296">
        <f t="shared" si="12"/>
        <v>0.99880573515262971</v>
      </c>
      <c r="W34" s="296">
        <f t="shared" si="12"/>
        <v>0.99783070846196309</v>
      </c>
      <c r="X34" s="328">
        <f t="shared" si="12"/>
        <v>0.99505126820018186</v>
      </c>
      <c r="Y34" s="296">
        <f t="shared" si="19"/>
        <v>1</v>
      </c>
      <c r="Z34" s="296">
        <f t="shared" si="13"/>
        <v>0.9953339373260186</v>
      </c>
      <c r="AA34" s="296">
        <f t="shared" si="13"/>
        <v>0.98853583523697575</v>
      </c>
      <c r="AB34" s="296">
        <f t="shared" si="13"/>
        <v>0.9760447804812924</v>
      </c>
      <c r="AC34" s="328">
        <f t="shared" si="13"/>
        <v>0.93892301753492946</v>
      </c>
      <c r="AD34" s="371">
        <f t="shared" si="20"/>
        <v>1.8458758939519982E-3</v>
      </c>
      <c r="AE34" s="334">
        <f t="shared" si="21"/>
        <v>0.99815412410604798</v>
      </c>
      <c r="AF34" s="214">
        <f>AE34*GBDUS!K119/(Y34+Z34+AA34+AB34+AC34)</f>
        <v>0</v>
      </c>
      <c r="AG34" s="214">
        <f t="shared" si="22"/>
        <v>0</v>
      </c>
      <c r="AH34" s="214">
        <f t="shared" si="14"/>
        <v>0</v>
      </c>
      <c r="AI34" s="214">
        <f t="shared" si="14"/>
        <v>0</v>
      </c>
      <c r="AJ34" s="292">
        <f t="shared" si="14"/>
        <v>0</v>
      </c>
      <c r="AK34" s="301">
        <f>AE34*GBDUS!L119/(Y34+Z34+AA34+AB34+AC34)</f>
        <v>7.9719285956038801</v>
      </c>
      <c r="AL34" s="301">
        <f t="shared" si="23"/>
        <v>7.9347310771442876</v>
      </c>
      <c r="AM34" s="301">
        <f t="shared" si="15"/>
        <v>7.8805370927048131</v>
      </c>
      <c r="AN34" s="301">
        <f t="shared" si="15"/>
        <v>7.7809592961087271</v>
      </c>
      <c r="AO34" s="303">
        <f t="shared" si="15"/>
        <v>7.4850272525573871</v>
      </c>
      <c r="AP34" s="301">
        <f>AE34*GBDUS!M119/(Y34+Z34+AA34+AB34+AC34)</f>
        <v>12.663447953229213</v>
      </c>
      <c r="AQ34" s="301">
        <f t="shared" si="24"/>
        <v>12.604359511410744</v>
      </c>
      <c r="AR34" s="301">
        <f t="shared" si="16"/>
        <v>12.51827209942541</v>
      </c>
      <c r="AS34" s="301">
        <f t="shared" si="16"/>
        <v>12.360092277645878</v>
      </c>
      <c r="AT34" s="303">
        <f t="shared" si="16"/>
        <v>11.890002764642498</v>
      </c>
      <c r="AU34" s="376">
        <f t="shared" si="25"/>
        <v>0</v>
      </c>
      <c r="AV34" s="376">
        <f t="shared" si="26"/>
        <v>-7.2220640000040248E-2</v>
      </c>
      <c r="AW34" s="376">
        <f t="shared" si="27"/>
        <v>-0.11472284338996275</v>
      </c>
      <c r="AX34" s="376">
        <f t="shared" si="28"/>
        <v>-0.186943483390003</v>
      </c>
    </row>
    <row r="35" spans="2:50" x14ac:dyDescent="0.2">
      <c r="B35" s="212">
        <v>2</v>
      </c>
      <c r="C35" s="325" t="s">
        <v>12</v>
      </c>
      <c r="D35" s="215">
        <f>Scenario!AL42</f>
        <v>0.41128119423541215</v>
      </c>
      <c r="E35" s="215">
        <f>Scenario!AM42</f>
        <v>1.032974439162079</v>
      </c>
      <c r="F35" s="215">
        <f>Scenario!AN42</f>
        <v>1.9547635290302883</v>
      </c>
      <c r="G35" s="215">
        <f>Scenario!AO42</f>
        <v>3.6991239178449766</v>
      </c>
      <c r="H35" s="321">
        <f>Scenario!AP42</f>
        <v>9.2907249540804369</v>
      </c>
      <c r="I35" s="218">
        <f>IF(D35+'Non-travel METs'!D36&gt;2.5, D35+'Non-travel METs'!D36, 0.1)</f>
        <v>37.974614527568711</v>
      </c>
      <c r="J35" s="218">
        <f>IF(E35+'Non-travel METs'!E36&gt;2.5, E35+'Non-travel METs'!E36, 0.1)</f>
        <v>38.596307772495379</v>
      </c>
      <c r="K35" s="218">
        <f>IF(F35+'Non-travel METs'!F36&gt;2.5, F35+'Non-travel METs'!F36, 0.1)</f>
        <v>39.518096862363585</v>
      </c>
      <c r="L35" s="218">
        <f>IF(G35+'Non-travel METs'!G36&gt;2.5, G35+'Non-travel METs'!G36, 0.1)</f>
        <v>41.262457251178276</v>
      </c>
      <c r="M35" s="223">
        <f>IF(H35+'Non-travel METs'!H36&gt;2.5, H35+'Non-travel METs'!H36, 0.1)</f>
        <v>46.854058287413736</v>
      </c>
      <c r="N35" s="268">
        <f>'Phy activity RRs'!$F$12</f>
        <v>0.9244331578735252</v>
      </c>
      <c r="O35" s="214">
        <f t="shared" si="17"/>
        <v>0.61618740779361447</v>
      </c>
      <c r="P35" s="214">
        <f t="shared" si="11"/>
        <v>0.61375984474486245</v>
      </c>
      <c r="Q35" s="214">
        <f t="shared" si="11"/>
        <v>0.61021349869427977</v>
      </c>
      <c r="R35" s="214">
        <f t="shared" si="11"/>
        <v>0.60366838569474679</v>
      </c>
      <c r="S35" s="292">
        <f t="shared" si="11"/>
        <v>0.58400667880092583</v>
      </c>
      <c r="T35" s="296">
        <f t="shared" si="18"/>
        <v>0.99977289626523769</v>
      </c>
      <c r="U35" s="296">
        <f t="shared" si="12"/>
        <v>0.99944651573596366</v>
      </c>
      <c r="V35" s="296">
        <f t="shared" si="12"/>
        <v>0.99898073779079744</v>
      </c>
      <c r="W35" s="296">
        <f t="shared" si="12"/>
        <v>0.99814149791256868</v>
      </c>
      <c r="X35" s="328">
        <f t="shared" si="12"/>
        <v>0.99571727709828239</v>
      </c>
      <c r="Y35" s="296">
        <f t="shared" si="19"/>
        <v>1</v>
      </c>
      <c r="Z35" s="296">
        <f t="shared" si="13"/>
        <v>0.99606034946828204</v>
      </c>
      <c r="AA35" s="296">
        <f t="shared" si="13"/>
        <v>0.99030504514734319</v>
      </c>
      <c r="AB35" s="296">
        <f t="shared" si="13"/>
        <v>0.97968309325941172</v>
      </c>
      <c r="AC35" s="328">
        <f t="shared" si="13"/>
        <v>0.94777444558966506</v>
      </c>
      <c r="AD35" s="371">
        <f t="shared" si="20"/>
        <v>1.5882150394300964E-3</v>
      </c>
      <c r="AE35" s="334">
        <f t="shared" si="21"/>
        <v>0.99841178496056993</v>
      </c>
      <c r="AF35" s="214">
        <f>AE35*GBDUS!K120/(Y35+Z35+AA35+AB35+AC35)</f>
        <v>1.0159216138630749</v>
      </c>
      <c r="AG35" s="214">
        <f t="shared" si="22"/>
        <v>1.0119192377368356</v>
      </c>
      <c r="AH35" s="214">
        <f t="shared" si="14"/>
        <v>1.0060722996828342</v>
      </c>
      <c r="AI35" s="214">
        <f t="shared" si="14"/>
        <v>0.99528122917847084</v>
      </c>
      <c r="AJ35" s="292">
        <f t="shared" si="14"/>
        <v>0.9628645443416336</v>
      </c>
      <c r="AK35" s="301">
        <f>AE35*GBDUS!L120/(Y35+Z35+AA35+AB35+AC35)</f>
        <v>48.08626159836988</v>
      </c>
      <c r="AL35" s="301">
        <f t="shared" si="23"/>
        <v>47.896818532295534</v>
      </c>
      <c r="AM35" s="301">
        <f t="shared" si="15"/>
        <v>47.620067463140636</v>
      </c>
      <c r="AN35" s="301">
        <f t="shared" si="15"/>
        <v>47.109297505972265</v>
      </c>
      <c r="AO35" s="303">
        <f t="shared" si="15"/>
        <v>45.574929926874617</v>
      </c>
      <c r="AP35" s="301">
        <f>AE35*GBDUS!M120/(Y35+Z35+AA35+AB35+AC35)</f>
        <v>75.239534786819206</v>
      </c>
      <c r="AQ35" s="301">
        <f t="shared" si="24"/>
        <v>74.943117313590108</v>
      </c>
      <c r="AR35" s="301">
        <f t="shared" si="16"/>
        <v>74.51009089392609</v>
      </c>
      <c r="AS35" s="301">
        <f t="shared" si="16"/>
        <v>73.710900175350147</v>
      </c>
      <c r="AT35" s="303">
        <f t="shared" si="16"/>
        <v>71.310108369001895</v>
      </c>
      <c r="AU35" s="376">
        <f t="shared" si="25"/>
        <v>-7.9410751971504823E-3</v>
      </c>
      <c r="AV35" s="376">
        <f t="shared" si="26"/>
        <v>-0.37587212841199857</v>
      </c>
      <c r="AW35" s="376">
        <f t="shared" si="27"/>
        <v>-0.58811899991849259</v>
      </c>
      <c r="AX35" s="376">
        <f t="shared" si="28"/>
        <v>-0.96399112833049116</v>
      </c>
    </row>
    <row r="36" spans="2:50" x14ac:dyDescent="0.2">
      <c r="B36" s="212">
        <v>2</v>
      </c>
      <c r="C36" s="325" t="s">
        <v>13</v>
      </c>
      <c r="D36" s="215">
        <f>Scenario!AL43</f>
        <v>0.30322026939990843</v>
      </c>
      <c r="E36" s="215">
        <f>Scenario!AM43</f>
        <v>0.76156846487530472</v>
      </c>
      <c r="F36" s="215">
        <f>Scenario!AN43</f>
        <v>1.4411646634793909</v>
      </c>
      <c r="G36" s="215">
        <f>Scenario!AO43</f>
        <v>2.727207970200991</v>
      </c>
      <c r="H36" s="321">
        <f>Scenario!AP43</f>
        <v>6.8496594616583133</v>
      </c>
      <c r="I36" s="218">
        <f>IF(D36+'Non-travel METs'!D37&gt;2.5, D36+'Non-travel METs'!D37, 0.1)</f>
        <v>38.05655360273321</v>
      </c>
      <c r="J36" s="218">
        <f>IF(E36+'Non-travel METs'!E37&gt;2.5, E36+'Non-travel METs'!E37, 0.1)</f>
        <v>38.514901798208605</v>
      </c>
      <c r="K36" s="218">
        <f>IF(F36+'Non-travel METs'!F37&gt;2.5, F36+'Non-travel METs'!F37, 0.1)</f>
        <v>39.194497996812693</v>
      </c>
      <c r="L36" s="218">
        <f>IF(G36+'Non-travel METs'!G37&gt;2.5, G36+'Non-travel METs'!G37, 0.1)</f>
        <v>40.480541303534295</v>
      </c>
      <c r="M36" s="223">
        <f>IF(H36+'Non-travel METs'!H37&gt;2.5, H36+'Non-travel METs'!H37, 0.1)</f>
        <v>44.602992794991614</v>
      </c>
      <c r="N36" s="268">
        <f>'Phy activity RRs'!$F$12</f>
        <v>0.9244331578735252</v>
      </c>
      <c r="O36" s="214">
        <f t="shared" si="17"/>
        <v>0.61586577409751841</v>
      </c>
      <c r="P36" s="214">
        <f t="shared" si="11"/>
        <v>0.61407605409364296</v>
      </c>
      <c r="Q36" s="214">
        <f t="shared" si="11"/>
        <v>0.61145136726361105</v>
      </c>
      <c r="R36" s="214">
        <f t="shared" si="11"/>
        <v>0.60657608058433943</v>
      </c>
      <c r="S36" s="292">
        <f t="shared" si="11"/>
        <v>0.59169515440494724</v>
      </c>
      <c r="T36" s="296">
        <f t="shared" si="18"/>
        <v>0.99986040133284482</v>
      </c>
      <c r="U36" s="296">
        <f t="shared" si="12"/>
        <v>0.9996607289431747</v>
      </c>
      <c r="V36" s="296">
        <f t="shared" si="12"/>
        <v>0.99937556559802132</v>
      </c>
      <c r="W36" s="296">
        <f t="shared" si="12"/>
        <v>0.9988595285180919</v>
      </c>
      <c r="X36" s="328">
        <f t="shared" si="12"/>
        <v>0.99734753897831308</v>
      </c>
      <c r="Y36" s="296">
        <f t="shared" si="19"/>
        <v>1</v>
      </c>
      <c r="Z36" s="296">
        <f t="shared" si="13"/>
        <v>0.99709397716329007</v>
      </c>
      <c r="AA36" s="296">
        <f t="shared" si="13"/>
        <v>0.99283219328046568</v>
      </c>
      <c r="AB36" s="296">
        <f t="shared" si="13"/>
        <v>0.98491604193009108</v>
      </c>
      <c r="AC36" s="328">
        <f t="shared" si="13"/>
        <v>0.96075342922247875</v>
      </c>
      <c r="AD36" s="371">
        <f t="shared" si="20"/>
        <v>9.7924732591074819E-4</v>
      </c>
      <c r="AE36" s="334">
        <f t="shared" si="21"/>
        <v>0.9990207526740893</v>
      </c>
      <c r="AF36" s="214">
        <f>AE36*GBDUS!K121/(Y36+Z36+AA36+AB36+AC36)</f>
        <v>5.262696026112331</v>
      </c>
      <c r="AG36" s="214">
        <f t="shared" si="22"/>
        <v>5.2474025112777856</v>
      </c>
      <c r="AH36" s="214">
        <f t="shared" si="14"/>
        <v>5.2249740381734968</v>
      </c>
      <c r="AI36" s="214">
        <f t="shared" si="14"/>
        <v>5.1833137399197762</v>
      </c>
      <c r="AJ36" s="292">
        <f t="shared" si="14"/>
        <v>5.0561532540429335</v>
      </c>
      <c r="AK36" s="301">
        <f>AE36*GBDUS!L121/(Y36+Z36+AA36+AB36+AC36)</f>
        <v>174.72527209126952</v>
      </c>
      <c r="AL36" s="301">
        <f t="shared" si="23"/>
        <v>174.21751646042193</v>
      </c>
      <c r="AM36" s="301">
        <f t="shared" si="15"/>
        <v>173.47287511190126</v>
      </c>
      <c r="AN36" s="301">
        <f t="shared" si="15"/>
        <v>172.08972341329138</v>
      </c>
      <c r="AO36" s="303">
        <f t="shared" si="15"/>
        <v>167.86790433351786</v>
      </c>
      <c r="AP36" s="301">
        <f>AE36*GBDUS!M121/(Y36+Z36+AA36+AB36+AC36)</f>
        <v>200.14548248587428</v>
      </c>
      <c r="AQ36" s="301">
        <f t="shared" si="24"/>
        <v>199.563855143106</v>
      </c>
      <c r="AR36" s="301">
        <f t="shared" si="16"/>
        <v>198.7108783516276</v>
      </c>
      <c r="AS36" s="301">
        <f t="shared" si="16"/>
        <v>197.12649642017567</v>
      </c>
      <c r="AT36" s="303">
        <f t="shared" si="16"/>
        <v>192.29045864169129</v>
      </c>
      <c r="AU36" s="376">
        <f t="shared" si="25"/>
        <v>-2.5460430473678741E-2</v>
      </c>
      <c r="AV36" s="376">
        <f t="shared" si="26"/>
        <v>-0.84530450172326255</v>
      </c>
      <c r="AW36" s="376">
        <f t="shared" si="27"/>
        <v>-0.96828509877218494</v>
      </c>
      <c r="AX36" s="376">
        <f t="shared" si="28"/>
        <v>-1.8135896004954475</v>
      </c>
    </row>
    <row r="37" spans="2:50" x14ac:dyDescent="0.2">
      <c r="B37" s="212">
        <v>2</v>
      </c>
      <c r="C37" s="325" t="s">
        <v>14</v>
      </c>
      <c r="D37" s="215">
        <f>Scenario!AL44</f>
        <v>0.20305771607435033</v>
      </c>
      <c r="E37" s="215">
        <f>Scenario!AM44</f>
        <v>0.51000005183649222</v>
      </c>
      <c r="F37" s="215">
        <f>Scenario!AN44</f>
        <v>0.96510568252028972</v>
      </c>
      <c r="G37" s="215">
        <f>Scenario!AO44</f>
        <v>1.8263311446320658</v>
      </c>
      <c r="H37" s="321">
        <f>Scenario!AP44</f>
        <v>4.5870159304456486</v>
      </c>
      <c r="I37" s="218">
        <f>IF(D37+'Non-travel METs'!D38&gt;2.5, D37+'Non-travel METs'!D38, 0.1)</f>
        <v>9.2030577160743512</v>
      </c>
      <c r="J37" s="218">
        <f>IF(E37+'Non-travel METs'!E38&gt;2.5, E37+'Non-travel METs'!E38, 0.1)</f>
        <v>9.5100000518364922</v>
      </c>
      <c r="K37" s="218">
        <f>IF(F37+'Non-travel METs'!F38&gt;2.5, F37+'Non-travel METs'!F38, 0.1)</f>
        <v>9.9651056825202904</v>
      </c>
      <c r="L37" s="218">
        <f>IF(G37+'Non-travel METs'!G38&gt;2.5, G37+'Non-travel METs'!G38, 0.1)</f>
        <v>10.826331144632066</v>
      </c>
      <c r="M37" s="223">
        <f>IF(H37+'Non-travel METs'!H38&gt;2.5, H37+'Non-travel METs'!H38, 0.1)</f>
        <v>13.587015930445649</v>
      </c>
      <c r="N37" s="268">
        <f>'Phy activity RRs'!$F$12</f>
        <v>0.9244331578735252</v>
      </c>
      <c r="O37" s="214">
        <f t="shared" si="17"/>
        <v>0.78791272000497636</v>
      </c>
      <c r="P37" s="214">
        <f t="shared" si="11"/>
        <v>0.78481253132487216</v>
      </c>
      <c r="Q37" s="214">
        <f t="shared" si="11"/>
        <v>0.78032826931304822</v>
      </c>
      <c r="R37" s="214">
        <f t="shared" si="11"/>
        <v>0.77218057516816108</v>
      </c>
      <c r="S37" s="292">
        <f t="shared" si="11"/>
        <v>0.74854032713372676</v>
      </c>
      <c r="T37" s="296">
        <f t="shared" si="18"/>
        <v>0.99977014816965659</v>
      </c>
      <c r="U37" s="296">
        <f t="shared" si="12"/>
        <v>0.99944413444465174</v>
      </c>
      <c r="V37" s="296">
        <f t="shared" si="12"/>
        <v>0.99898753137195218</v>
      </c>
      <c r="W37" s="296">
        <f t="shared" si="12"/>
        <v>0.99818864925494311</v>
      </c>
      <c r="X37" s="328">
        <f t="shared" si="12"/>
        <v>0.99602320591509663</v>
      </c>
      <c r="Y37" s="296">
        <f t="shared" si="19"/>
        <v>1</v>
      </c>
      <c r="Z37" s="296">
        <f t="shared" si="13"/>
        <v>0.9960653145946361</v>
      </c>
      <c r="AA37" s="296">
        <f t="shared" si="13"/>
        <v>0.99037399638391388</v>
      </c>
      <c r="AB37" s="296">
        <f t="shared" si="13"/>
        <v>0.98003313763392985</v>
      </c>
      <c r="AC37" s="328">
        <f t="shared" si="13"/>
        <v>0.95002949962401806</v>
      </c>
      <c r="AD37" s="371">
        <f t="shared" si="20"/>
        <v>1.5172661687399725E-3</v>
      </c>
      <c r="AE37" s="334">
        <f t="shared" si="21"/>
        <v>0.99848273383126007</v>
      </c>
      <c r="AF37" s="214">
        <f>AE37*GBDUS!K122/(Y37+Z37+AA37+AB37+AC37)</f>
        <v>5.8895530981113078</v>
      </c>
      <c r="AG37" s="214">
        <f t="shared" si="22"/>
        <v>5.8663795594920538</v>
      </c>
      <c r="AH37" s="214">
        <f t="shared" si="14"/>
        <v>5.8328602386917572</v>
      </c>
      <c r="AI37" s="214">
        <f t="shared" si="14"/>
        <v>5.7719572020036569</v>
      </c>
      <c r="AJ37" s="292">
        <f t="shared" si="14"/>
        <v>5.5952491828077715</v>
      </c>
      <c r="AK37" s="301">
        <f>AE37*GBDUS!L122/(Y37+Z37+AA37+AB37+AC37)</f>
        <v>135.68289689242172</v>
      </c>
      <c r="AL37" s="301">
        <f t="shared" si="23"/>
        <v>135.14902737826162</v>
      </c>
      <c r="AM37" s="301">
        <f t="shared" si="15"/>
        <v>134.37681283629422</v>
      </c>
      <c r="AN37" s="301">
        <f t="shared" si="15"/>
        <v>132.97373516474104</v>
      </c>
      <c r="AO37" s="303">
        <f t="shared" si="15"/>
        <v>128.90275464224464</v>
      </c>
      <c r="AP37" s="301">
        <f>AE37*GBDUS!M122/(Y37+Z37+AA37+AB37+AC37)</f>
        <v>109.66266175215114</v>
      </c>
      <c r="AQ37" s="301">
        <f t="shared" si="24"/>
        <v>109.23117367744159</v>
      </c>
      <c r="AR37" s="301">
        <f t="shared" si="16"/>
        <v>108.6070485735753</v>
      </c>
      <c r="AS37" s="301">
        <f t="shared" si="16"/>
        <v>107.47304247824903</v>
      </c>
      <c r="AT37" s="303">
        <f t="shared" si="16"/>
        <v>104.1827636718341</v>
      </c>
      <c r="AU37" s="376">
        <f t="shared" si="25"/>
        <v>-4.40007188934608E-2</v>
      </c>
      <c r="AV37" s="376">
        <f t="shared" si="26"/>
        <v>-1.0136838747115462</v>
      </c>
      <c r="AW37" s="376">
        <f t="shared" si="27"/>
        <v>-0.81928728249556571</v>
      </c>
      <c r="AX37" s="376">
        <f t="shared" si="28"/>
        <v>-1.8329711572071119</v>
      </c>
    </row>
    <row r="38" spans="2:50" x14ac:dyDescent="0.2">
      <c r="B38" s="212">
        <v>2</v>
      </c>
      <c r="C38" s="325" t="s">
        <v>15</v>
      </c>
      <c r="D38" s="215">
        <f>Scenario!AL45</f>
        <v>0.12940048412537145</v>
      </c>
      <c r="E38" s="215">
        <f>Scenario!AM45</f>
        <v>0.32500244210095713</v>
      </c>
      <c r="F38" s="215">
        <f>Scenario!AN45</f>
        <v>0.61502288592936483</v>
      </c>
      <c r="G38" s="215">
        <f>Scenario!AO45</f>
        <v>1.163847101491581</v>
      </c>
      <c r="H38" s="321">
        <f>Scenario!AP45</f>
        <v>2.9231200545618421</v>
      </c>
      <c r="I38" s="218">
        <f>IF(D38+'Non-travel METs'!D39&gt;2.5, D38+'Non-travel METs'!D39, 0.1)</f>
        <v>0.1</v>
      </c>
      <c r="J38" s="218">
        <f>IF(E38+'Non-travel METs'!E39&gt;2.5, E38+'Non-travel METs'!E39, 0.1)</f>
        <v>0.1</v>
      </c>
      <c r="K38" s="218">
        <f>IF(F38+'Non-travel METs'!F39&gt;2.5, F38+'Non-travel METs'!F39, 0.1)</f>
        <v>0.1</v>
      </c>
      <c r="L38" s="218">
        <f>IF(G38+'Non-travel METs'!G39&gt;2.5, G38+'Non-travel METs'!G39, 0.1)</f>
        <v>0.1</v>
      </c>
      <c r="M38" s="223">
        <f>IF(H38+'Non-travel METs'!H39&gt;2.5, H38+'Non-travel METs'!H39, 0.1)</f>
        <v>3.4231200545618421</v>
      </c>
      <c r="N38" s="268">
        <f>'Phy activity RRs'!$F$12</f>
        <v>0.9244331578735252</v>
      </c>
      <c r="O38" s="214">
        <f t="shared" si="17"/>
        <v>0.97545870827357695</v>
      </c>
      <c r="P38" s="214">
        <f t="shared" si="11"/>
        <v>0.97545870827357695</v>
      </c>
      <c r="Q38" s="214">
        <f t="shared" si="11"/>
        <v>0.97545870827357695</v>
      </c>
      <c r="R38" s="214">
        <f t="shared" si="11"/>
        <v>0.97545870827357695</v>
      </c>
      <c r="S38" s="292">
        <f t="shared" si="11"/>
        <v>0.86469706212985908</v>
      </c>
      <c r="T38" s="296">
        <f t="shared" si="18"/>
        <v>1</v>
      </c>
      <c r="U38" s="296">
        <f t="shared" si="12"/>
        <v>1</v>
      </c>
      <c r="V38" s="296">
        <f t="shared" si="12"/>
        <v>1</v>
      </c>
      <c r="W38" s="296">
        <f t="shared" si="12"/>
        <v>1</v>
      </c>
      <c r="X38" s="328">
        <f t="shared" si="12"/>
        <v>0.99441782152101876</v>
      </c>
      <c r="Y38" s="296">
        <f t="shared" si="19"/>
        <v>1</v>
      </c>
      <c r="Z38" s="296">
        <f t="shared" si="13"/>
        <v>1</v>
      </c>
      <c r="AA38" s="296">
        <f t="shared" si="13"/>
        <v>1</v>
      </c>
      <c r="AB38" s="296">
        <f t="shared" si="13"/>
        <v>1</v>
      </c>
      <c r="AC38" s="328">
        <f t="shared" si="13"/>
        <v>0.88645173270352962</v>
      </c>
      <c r="AD38" s="371">
        <f t="shared" si="20"/>
        <v>1.1164356957962696E-3</v>
      </c>
      <c r="AE38" s="334">
        <f t="shared" si="21"/>
        <v>0.99888356430420377</v>
      </c>
      <c r="AF38" s="214">
        <f>AE38*GBDUS!K123/(Y38+Z38+AA38+AB38+AC38)</f>
        <v>6.5414079185121983</v>
      </c>
      <c r="AG38" s="214">
        <f t="shared" si="22"/>
        <v>6.5414079185121983</v>
      </c>
      <c r="AH38" s="214">
        <f t="shared" si="14"/>
        <v>6.5414079185121983</v>
      </c>
      <c r="AI38" s="214">
        <f t="shared" si="14"/>
        <v>6.5414079185121983</v>
      </c>
      <c r="AJ38" s="292">
        <f t="shared" si="14"/>
        <v>5.7986423836857268</v>
      </c>
      <c r="AK38" s="301">
        <f>AE38*GBDUS!L123/(Y38+Z38+AA38+AB38+AC38)</f>
        <v>95.3538055804826</v>
      </c>
      <c r="AL38" s="301">
        <f t="shared" si="23"/>
        <v>95.3538055804826</v>
      </c>
      <c r="AM38" s="301">
        <f t="shared" si="15"/>
        <v>95.3538055804826</v>
      </c>
      <c r="AN38" s="301">
        <f t="shared" si="15"/>
        <v>95.3538055804826</v>
      </c>
      <c r="AO38" s="303">
        <f t="shared" si="15"/>
        <v>84.526546176694296</v>
      </c>
      <c r="AP38" s="301">
        <f>AE38*GBDUS!M123/(Y38+Z38+AA38+AB38+AC38)</f>
        <v>67.649292518417681</v>
      </c>
      <c r="AQ38" s="301">
        <f t="shared" si="24"/>
        <v>67.649292518417681</v>
      </c>
      <c r="AR38" s="301">
        <f t="shared" si="16"/>
        <v>67.649292518417681</v>
      </c>
      <c r="AS38" s="301">
        <f t="shared" si="16"/>
        <v>67.649292518417681</v>
      </c>
      <c r="AT38" s="303">
        <f t="shared" si="16"/>
        <v>59.967832569119274</v>
      </c>
      <c r="AU38" s="376">
        <f t="shared" si="25"/>
        <v>-3.5725942265479205E-2</v>
      </c>
      <c r="AV38" s="376">
        <f t="shared" si="26"/>
        <v>-0.52077543479913402</v>
      </c>
      <c r="AW38" s="376">
        <f t="shared" si="27"/>
        <v>-0.36946705493994614</v>
      </c>
      <c r="AX38" s="376">
        <f t="shared" si="28"/>
        <v>-0.89024248973908016</v>
      </c>
    </row>
    <row r="39" spans="2:50" x14ac:dyDescent="0.2">
      <c r="B39" s="319">
        <v>2</v>
      </c>
      <c r="C39" s="326" t="s">
        <v>16</v>
      </c>
      <c r="D39" s="320">
        <f>Scenario!AL46</f>
        <v>0.16226655238866916</v>
      </c>
      <c r="E39" s="320">
        <f>Scenario!AM46</f>
        <v>0.40754890643628044</v>
      </c>
      <c r="F39" s="320">
        <f>Scenario!AN46</f>
        <v>0.7712308343699662</v>
      </c>
      <c r="G39" s="320">
        <f>Scenario!AO46</f>
        <v>1.4594493826129056</v>
      </c>
      <c r="H39" s="322">
        <f>Scenario!AP46</f>
        <v>3.6655551691164661</v>
      </c>
      <c r="I39" s="228">
        <f>IF(D39+'Non-travel METs'!D40&gt;2.5, D39+'Non-travel METs'!D40, 0.1)</f>
        <v>0.1</v>
      </c>
      <c r="J39" s="228">
        <f>IF(E39+'Non-travel METs'!E40&gt;2.5, E39+'Non-travel METs'!E40, 0.1)</f>
        <v>0.1</v>
      </c>
      <c r="K39" s="228">
        <f>IF(F39+'Non-travel METs'!F40&gt;2.5, F39+'Non-travel METs'!F40, 0.1)</f>
        <v>0.1</v>
      </c>
      <c r="L39" s="228">
        <f>IF(G39+'Non-travel METs'!G40&gt;2.5, G39+'Non-travel METs'!G40, 0.1)</f>
        <v>0.1</v>
      </c>
      <c r="M39" s="229">
        <f>IF(H39+'Non-travel METs'!H40&gt;2.5, H39+'Non-travel METs'!H40, 0.1)</f>
        <v>3.7488885024497995</v>
      </c>
      <c r="N39" s="268">
        <f>'Phy activity RRs'!$F$12</f>
        <v>0.9244331578735252</v>
      </c>
      <c r="O39" s="293">
        <f t="shared" si="17"/>
        <v>0.97545870827357695</v>
      </c>
      <c r="P39" s="294">
        <f t="shared" si="11"/>
        <v>0.97545870827357695</v>
      </c>
      <c r="Q39" s="294">
        <f t="shared" si="11"/>
        <v>0.97545870827357695</v>
      </c>
      <c r="R39" s="294">
        <f t="shared" si="11"/>
        <v>0.97545870827357695</v>
      </c>
      <c r="S39" s="295">
        <f t="shared" si="11"/>
        <v>0.8588711445419881</v>
      </c>
      <c r="T39" s="329">
        <f t="shared" si="18"/>
        <v>1</v>
      </c>
      <c r="U39" s="330">
        <f t="shared" si="12"/>
        <v>1</v>
      </c>
      <c r="V39" s="330">
        <f t="shared" si="12"/>
        <v>1</v>
      </c>
      <c r="W39" s="330">
        <f t="shared" si="12"/>
        <v>1</v>
      </c>
      <c r="X39" s="331">
        <f t="shared" si="12"/>
        <v>0.99329531536690929</v>
      </c>
      <c r="Y39" s="329">
        <f t="shared" si="19"/>
        <v>1</v>
      </c>
      <c r="Z39" s="330">
        <f t="shared" si="13"/>
        <v>1</v>
      </c>
      <c r="AA39" s="330">
        <f t="shared" si="13"/>
        <v>1</v>
      </c>
      <c r="AB39" s="330">
        <f t="shared" si="13"/>
        <v>1</v>
      </c>
      <c r="AC39" s="331">
        <f t="shared" si="13"/>
        <v>0.88047924249102016</v>
      </c>
      <c r="AD39" s="371">
        <f t="shared" si="20"/>
        <v>1.3409369266181414E-3</v>
      </c>
      <c r="AE39" s="335">
        <f t="shared" si="21"/>
        <v>0.99865906307338181</v>
      </c>
      <c r="AF39" s="214">
        <f>AE39*GBDUS!K124/(Y39+Z39+AA39+AB39+AC39)</f>
        <v>5.7294483547034858</v>
      </c>
      <c r="AG39" s="294">
        <f t="shared" si="22"/>
        <v>5.7294483547034858</v>
      </c>
      <c r="AH39" s="294">
        <f t="shared" si="14"/>
        <v>5.7294483547034858</v>
      </c>
      <c r="AI39" s="294">
        <f t="shared" si="14"/>
        <v>5.7294483547034858</v>
      </c>
      <c r="AJ39" s="295">
        <f t="shared" si="14"/>
        <v>5.0446603472407467</v>
      </c>
      <c r="AK39" s="301">
        <f>AE39*GBDUS!L124/(Y39+Z39+AA39+AB39+AC39)</f>
        <v>31.372102924510369</v>
      </c>
      <c r="AL39" s="305">
        <f t="shared" si="23"/>
        <v>31.372102924510369</v>
      </c>
      <c r="AM39" s="305">
        <f t="shared" si="15"/>
        <v>31.372102924510369</v>
      </c>
      <c r="AN39" s="305">
        <f t="shared" si="15"/>
        <v>31.372102924510369</v>
      </c>
      <c r="AO39" s="306">
        <f t="shared" si="15"/>
        <v>27.622485418323208</v>
      </c>
      <c r="AP39" s="301">
        <f>AE39*GBDUS!M124/(Y39+Z39+AA39+AB39+AC39)</f>
        <v>22.832118641645355</v>
      </c>
      <c r="AQ39" s="305">
        <f t="shared" si="24"/>
        <v>22.832118641645355</v>
      </c>
      <c r="AR39" s="305">
        <f t="shared" si="16"/>
        <v>22.832118641645355</v>
      </c>
      <c r="AS39" s="305">
        <f t="shared" si="16"/>
        <v>22.832118641645355</v>
      </c>
      <c r="AT39" s="306">
        <f t="shared" si="16"/>
        <v>20.103206526061001</v>
      </c>
      <c r="AU39" s="377">
        <f t="shared" si="25"/>
        <v>-3.7546233945313645E-2</v>
      </c>
      <c r="AV39" s="378">
        <f t="shared" si="26"/>
        <v>-0.20558773599782398</v>
      </c>
      <c r="AW39" s="378">
        <f t="shared" si="27"/>
        <v>-0.14962349163729982</v>
      </c>
      <c r="AX39" s="378">
        <f t="shared" si="28"/>
        <v>-0.35521122763512381</v>
      </c>
    </row>
    <row r="40" spans="2:50" x14ac:dyDescent="0.2">
      <c r="N40" s="288"/>
      <c r="AD40" s="288"/>
      <c r="AT40" s="337" t="s">
        <v>74</v>
      </c>
      <c r="AU40" s="376">
        <f>SUM(AU24:AU39)</f>
        <v>-0.27816673534822689</v>
      </c>
      <c r="AV40" s="376">
        <f>SUM(AV24:AV39)</f>
        <v>-4.9419282250772536</v>
      </c>
      <c r="AW40" s="376">
        <f>SUM(AW24:AW39)</f>
        <v>-4.5956328486808378</v>
      </c>
      <c r="AX40" s="376">
        <f>SUM(AX24:AX39)</f>
        <v>-9.5375610737580914</v>
      </c>
    </row>
    <row r="41" spans="2:50" x14ac:dyDescent="0.2">
      <c r="AD41" s="370"/>
      <c r="AT41" s="337" t="s">
        <v>83</v>
      </c>
      <c r="AU41" s="368">
        <f>AU40/GBDUS!K125</f>
        <v>-1.2530033123794005E-3</v>
      </c>
      <c r="AV41" s="368">
        <f>AV40/GBDUS!L125</f>
        <v>-1.3758652294318713E-3</v>
      </c>
      <c r="AW41" s="368">
        <f>AW40/GBDUS!M125</f>
        <v>-1.5293330103695317E-3</v>
      </c>
      <c r="AX41" s="368">
        <f>AX40/GBDUS!N125</f>
        <v>-1.4457726281286263E-3</v>
      </c>
    </row>
    <row r="42" spans="2:50" x14ac:dyDescent="0.2">
      <c r="O42" s="214"/>
      <c r="P42" s="214"/>
      <c r="Q42" s="214"/>
      <c r="R42" s="214"/>
      <c r="S42" s="214"/>
      <c r="U42" s="373"/>
      <c r="AD42" s="370"/>
    </row>
    <row r="43" spans="2:50" x14ac:dyDescent="0.2">
      <c r="AD43" s="370"/>
    </row>
    <row r="44" spans="2:50" x14ac:dyDescent="0.2">
      <c r="O44" s="214"/>
      <c r="P44" s="214"/>
      <c r="Q44" s="214"/>
      <c r="R44" s="214"/>
      <c r="S44" s="214"/>
      <c r="U44" s="214"/>
      <c r="V44" s="372"/>
      <c r="W44" s="372"/>
      <c r="X44" s="372"/>
      <c r="Y44" s="372"/>
      <c r="AD44" s="370"/>
    </row>
    <row r="45" spans="2:50" x14ac:dyDescent="0.2">
      <c r="U45" s="373"/>
      <c r="AD45" s="370"/>
    </row>
    <row r="46" spans="2:50" x14ac:dyDescent="0.2">
      <c r="AD46" s="370"/>
    </row>
    <row r="47" spans="2:50" x14ac:dyDescent="0.2">
      <c r="AD47" s="370"/>
    </row>
    <row r="48" spans="2:50" x14ac:dyDescent="0.2">
      <c r="AD48" s="370"/>
    </row>
  </sheetData>
  <mergeCells count="12">
    <mergeCell ref="AU4:AX4"/>
    <mergeCell ref="T3:X4"/>
    <mergeCell ref="Y3:AC4"/>
    <mergeCell ref="D4:H4"/>
    <mergeCell ref="I4:M4"/>
    <mergeCell ref="N4:N5"/>
    <mergeCell ref="O4:S4"/>
    <mergeCell ref="AD4:AD5"/>
    <mergeCell ref="AE4:AE5"/>
    <mergeCell ref="AF4:AJ4"/>
    <mergeCell ref="AK4:AO4"/>
    <mergeCell ref="AP4:AT4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J48"/>
  <sheetViews>
    <sheetView showGridLines="0" workbookViewId="0"/>
  </sheetViews>
  <sheetFormatPr defaultRowHeight="12.75" x14ac:dyDescent="0.2"/>
  <cols>
    <col min="1" max="1" width="5" style="7" customWidth="1"/>
    <col min="2" max="2" width="8.7109375" style="7" customWidth="1"/>
    <col min="3" max="3" width="6.140625" style="7" bestFit="1" customWidth="1"/>
    <col min="4" max="6" width="3.5703125" style="7" bestFit="1" customWidth="1"/>
    <col min="7" max="7" width="4.5703125" style="7" customWidth="1"/>
    <col min="8" max="13" width="4.5703125" style="7" bestFit="1" customWidth="1"/>
    <col min="14" max="14" width="6.28515625" style="7" customWidth="1"/>
    <col min="15" max="20" width="4.5703125" style="7" bestFit="1" customWidth="1"/>
    <col min="21" max="21" width="5.7109375" style="7" customWidth="1"/>
    <col min="22" max="24" width="7.5703125" style="7" bestFit="1" customWidth="1"/>
    <col min="25" max="25" width="6.42578125" style="7" customWidth="1"/>
    <col min="26" max="26" width="5.5703125" style="7" customWidth="1"/>
    <col min="27" max="27" width="5.28515625" style="7" customWidth="1"/>
    <col min="28" max="28" width="5.140625" style="7" customWidth="1"/>
    <col min="29" max="29" width="5.5703125" style="7" customWidth="1"/>
    <col min="30" max="30" width="7.28515625" style="7" customWidth="1"/>
    <col min="31" max="31" width="7.42578125" style="7" customWidth="1"/>
    <col min="32" max="36" width="4.5703125" style="7" bestFit="1" customWidth="1"/>
    <col min="37" max="46" width="5.5703125" style="7" bestFit="1" customWidth="1"/>
    <col min="47" max="47" width="8.7109375" style="7" bestFit="1" customWidth="1"/>
    <col min="48" max="48" width="5.85546875" style="7" bestFit="1" customWidth="1"/>
    <col min="49" max="49" width="6.42578125" style="7" bestFit="1" customWidth="1"/>
    <col min="50" max="50" width="7.28515625" style="7" bestFit="1" customWidth="1"/>
    <col min="51" max="16384" width="9.140625" style="7"/>
  </cols>
  <sheetData>
    <row r="2" spans="2:62" x14ac:dyDescent="0.2">
      <c r="B2" s="76" t="s">
        <v>223</v>
      </c>
    </row>
    <row r="3" spans="2:62" x14ac:dyDescent="0.2">
      <c r="T3" s="581" t="s">
        <v>173</v>
      </c>
      <c r="U3" s="581"/>
      <c r="V3" s="581"/>
      <c r="W3" s="581"/>
      <c r="X3" s="581"/>
      <c r="Y3" s="582" t="s">
        <v>207</v>
      </c>
      <c r="Z3" s="582"/>
      <c r="AA3" s="582"/>
      <c r="AB3" s="582"/>
      <c r="AC3" s="582"/>
    </row>
    <row r="4" spans="2:62" ht="12.75" customHeight="1" x14ac:dyDescent="0.2">
      <c r="B4" s="216" t="s">
        <v>99</v>
      </c>
      <c r="C4" s="224"/>
      <c r="D4" s="583" t="s">
        <v>182</v>
      </c>
      <c r="E4" s="584"/>
      <c r="F4" s="584"/>
      <c r="G4" s="584"/>
      <c r="H4" s="585"/>
      <c r="I4" s="583" t="s">
        <v>183</v>
      </c>
      <c r="J4" s="584"/>
      <c r="K4" s="584"/>
      <c r="L4" s="584"/>
      <c r="M4" s="585"/>
      <c r="N4" s="586" t="s">
        <v>177</v>
      </c>
      <c r="O4" s="582" t="s">
        <v>204</v>
      </c>
      <c r="P4" s="581"/>
      <c r="Q4" s="581"/>
      <c r="R4" s="581"/>
      <c r="S4" s="588"/>
      <c r="T4" s="581"/>
      <c r="U4" s="581"/>
      <c r="V4" s="581"/>
      <c r="W4" s="581"/>
      <c r="X4" s="581"/>
      <c r="Y4" s="582"/>
      <c r="Z4" s="582"/>
      <c r="AA4" s="582"/>
      <c r="AB4" s="582"/>
      <c r="AC4" s="582"/>
      <c r="AD4" s="586" t="s">
        <v>2</v>
      </c>
      <c r="AE4" s="589" t="s">
        <v>206</v>
      </c>
      <c r="AF4" s="582" t="s">
        <v>205</v>
      </c>
      <c r="AG4" s="581"/>
      <c r="AH4" s="581"/>
      <c r="AI4" s="581"/>
      <c r="AJ4" s="588"/>
      <c r="AK4" s="581" t="s">
        <v>174</v>
      </c>
      <c r="AL4" s="581"/>
      <c r="AM4" s="581"/>
      <c r="AN4" s="581"/>
      <c r="AO4" s="588"/>
      <c r="AP4" s="591" t="s">
        <v>175</v>
      </c>
      <c r="AQ4" s="591"/>
      <c r="AR4" s="591"/>
      <c r="AS4" s="591"/>
      <c r="AT4" s="592"/>
      <c r="AU4" s="580" t="s">
        <v>176</v>
      </c>
      <c r="AV4" s="580"/>
      <c r="AW4" s="580"/>
      <c r="AX4" s="580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</row>
    <row r="5" spans="2:62" x14ac:dyDescent="0.2">
      <c r="B5" s="219" t="s">
        <v>1</v>
      </c>
      <c r="C5" s="225" t="s">
        <v>0</v>
      </c>
      <c r="D5" s="220">
        <v>1</v>
      </c>
      <c r="E5" s="220">
        <v>2</v>
      </c>
      <c r="F5" s="220">
        <v>3</v>
      </c>
      <c r="G5" s="220">
        <v>4</v>
      </c>
      <c r="H5" s="221">
        <v>5</v>
      </c>
      <c r="I5" s="220">
        <v>1</v>
      </c>
      <c r="J5" s="220">
        <v>2</v>
      </c>
      <c r="K5" s="220">
        <v>3</v>
      </c>
      <c r="L5" s="220">
        <v>4</v>
      </c>
      <c r="M5" s="221">
        <v>5</v>
      </c>
      <c r="N5" s="587"/>
      <c r="O5" s="263">
        <v>1</v>
      </c>
      <c r="P5" s="263">
        <v>2</v>
      </c>
      <c r="Q5" s="263">
        <v>3</v>
      </c>
      <c r="R5" s="263">
        <v>4</v>
      </c>
      <c r="S5" s="270">
        <v>5</v>
      </c>
      <c r="T5" s="281">
        <v>1</v>
      </c>
      <c r="U5" s="282">
        <v>2</v>
      </c>
      <c r="V5" s="282">
        <v>3</v>
      </c>
      <c r="W5" s="282">
        <v>4</v>
      </c>
      <c r="X5" s="283">
        <v>5</v>
      </c>
      <c r="Y5" s="282">
        <v>1</v>
      </c>
      <c r="Z5" s="282">
        <v>2</v>
      </c>
      <c r="AA5" s="282">
        <v>3</v>
      </c>
      <c r="AB5" s="282">
        <v>4</v>
      </c>
      <c r="AC5" s="283">
        <v>5</v>
      </c>
      <c r="AD5" s="586"/>
      <c r="AE5" s="590"/>
      <c r="AF5" s="281">
        <v>1</v>
      </c>
      <c r="AG5" s="282">
        <v>2</v>
      </c>
      <c r="AH5" s="282">
        <v>3</v>
      </c>
      <c r="AI5" s="282">
        <v>4</v>
      </c>
      <c r="AJ5" s="283">
        <v>5</v>
      </c>
      <c r="AK5" s="297">
        <v>1</v>
      </c>
      <c r="AL5" s="220">
        <v>2</v>
      </c>
      <c r="AM5" s="220">
        <v>3</v>
      </c>
      <c r="AN5" s="220">
        <v>4</v>
      </c>
      <c r="AO5" s="221">
        <v>5</v>
      </c>
      <c r="AP5" s="282">
        <v>1</v>
      </c>
      <c r="AQ5" s="282">
        <v>2</v>
      </c>
      <c r="AR5" s="282">
        <v>3</v>
      </c>
      <c r="AS5" s="282">
        <v>4</v>
      </c>
      <c r="AT5" s="283">
        <v>5</v>
      </c>
      <c r="AU5" s="298" t="s">
        <v>178</v>
      </c>
      <c r="AV5" s="282" t="s">
        <v>179</v>
      </c>
      <c r="AW5" s="282" t="s">
        <v>180</v>
      </c>
      <c r="AX5" s="282" t="s">
        <v>181</v>
      </c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</row>
    <row r="6" spans="2:62" x14ac:dyDescent="0.2">
      <c r="B6" s="217">
        <v>1</v>
      </c>
      <c r="C6" s="224" t="s">
        <v>9</v>
      </c>
      <c r="D6" s="218">
        <f>Baseline!AL31</f>
        <v>0.34178944291052044</v>
      </c>
      <c r="E6" s="218">
        <f>Baseline!AM31</f>
        <v>0.86022138962281691</v>
      </c>
      <c r="F6" s="218">
        <f>Baseline!AN31</f>
        <v>1.6301922696081339</v>
      </c>
      <c r="G6" s="218">
        <f>Baseline!AO31</f>
        <v>3.089352192294788</v>
      </c>
      <c r="H6" s="222">
        <f>Baseline!AP31</f>
        <v>7.7753332966046385</v>
      </c>
      <c r="I6" s="218">
        <f>IF(D6+'Non-travel METs'!D6&gt;2.5, D6+'Non-travel METs'!D6, 0.1)</f>
        <v>0.1</v>
      </c>
      <c r="J6" s="218">
        <f>IF(E6+'Non-travel METs'!E6&gt;2.5, E6+'Non-travel METs'!E6, 0.1)</f>
        <v>0.1</v>
      </c>
      <c r="K6" s="218">
        <f>IF(F6+'Non-travel METs'!F6&gt;2.5, F6+'Non-travel METs'!F6, 0.1)</f>
        <v>0.1</v>
      </c>
      <c r="L6" s="218">
        <f>IF(G6+'Non-travel METs'!G6&gt;2.5, G6+'Non-travel METs'!G6, 0.1)</f>
        <v>3.089352192294788</v>
      </c>
      <c r="M6" s="223">
        <f>IF(H6+'Non-travel METs'!H6&gt;2.5, H6+'Non-travel METs'!H6, 0.1)</f>
        <v>7.7753332966046385</v>
      </c>
      <c r="N6" s="268">
        <f>'Phy activity RRs'!$F$9</f>
        <v>0.94314906211536642</v>
      </c>
      <c r="O6" s="261">
        <f>$N6^(I6^0.5)</f>
        <v>0.98166113424264856</v>
      </c>
      <c r="P6" s="261">
        <f t="shared" ref="P6:S21" si="0">$N6^(J6^0.5)</f>
        <v>0.98166113424264856</v>
      </c>
      <c r="Q6" s="261">
        <f t="shared" si="0"/>
        <v>0.98166113424264856</v>
      </c>
      <c r="R6" s="261">
        <f t="shared" si="0"/>
        <v>0.90223775102163906</v>
      </c>
      <c r="S6" s="271">
        <f t="shared" si="0"/>
        <v>0.84941336241039889</v>
      </c>
      <c r="T6" s="275"/>
      <c r="U6" s="275"/>
      <c r="V6" s="275"/>
      <c r="W6" s="275"/>
      <c r="X6" s="276"/>
      <c r="Y6" s="262">
        <f>O6/$O6</f>
        <v>1</v>
      </c>
      <c r="Z6" s="262">
        <f t="shared" ref="Z6:AC21" si="1">P6/$O6</f>
        <v>1</v>
      </c>
      <c r="AA6" s="262">
        <f t="shared" si="1"/>
        <v>1</v>
      </c>
      <c r="AB6" s="262">
        <f t="shared" si="1"/>
        <v>0.91909287181641897</v>
      </c>
      <c r="AC6" s="286">
        <f t="shared" si="1"/>
        <v>0.86528164636539384</v>
      </c>
      <c r="AD6" s="289"/>
      <c r="AE6" s="290"/>
      <c r="AF6" s="214">
        <f>GBDUS!K92/(Y6+Z6+AA6+AB6+AC6)</f>
        <v>0</v>
      </c>
      <c r="AG6" s="214">
        <f>$AF6*Z6</f>
        <v>0</v>
      </c>
      <c r="AH6" s="214">
        <f t="shared" ref="AH6:AJ21" si="2">$AF6*AA6</f>
        <v>0</v>
      </c>
      <c r="AI6" s="214">
        <f t="shared" si="2"/>
        <v>0</v>
      </c>
      <c r="AJ6" s="292">
        <f t="shared" si="2"/>
        <v>0</v>
      </c>
      <c r="AK6" s="301">
        <f>GBDUS!L92/(Y6+Z6+AA6+AB6+AC6)</f>
        <v>0</v>
      </c>
      <c r="AL6" s="301">
        <f>$AK6*Z6</f>
        <v>0</v>
      </c>
      <c r="AM6" s="301">
        <f t="shared" ref="AM6:AO21" si="3">$AK6*AA6</f>
        <v>0</v>
      </c>
      <c r="AN6" s="301">
        <f t="shared" si="3"/>
        <v>0</v>
      </c>
      <c r="AO6" s="303">
        <f t="shared" si="3"/>
        <v>0</v>
      </c>
      <c r="AP6" s="301">
        <f>GBDUS!M92/(Y6+Z6+AA6+AB6+AC6)</f>
        <v>0</v>
      </c>
      <c r="AQ6" s="301">
        <f>$AP6*Z6</f>
        <v>0</v>
      </c>
      <c r="AR6" s="301">
        <f t="shared" ref="AR6:AT21" si="4">$AP6*AA6</f>
        <v>0</v>
      </c>
      <c r="AS6" s="301">
        <f t="shared" si="4"/>
        <v>0</v>
      </c>
      <c r="AT6" s="302">
        <f t="shared" si="4"/>
        <v>0</v>
      </c>
      <c r="AU6" s="299"/>
      <c r="AV6" s="299"/>
      <c r="AW6" s="299"/>
      <c r="AX6" s="299"/>
    </row>
    <row r="7" spans="2:62" x14ac:dyDescent="0.2">
      <c r="B7" s="217">
        <v>1</v>
      </c>
      <c r="C7" s="224" t="s">
        <v>10</v>
      </c>
      <c r="D7" s="218">
        <f>Baseline!AL32</f>
        <v>0.70925660709360083</v>
      </c>
      <c r="E7" s="218">
        <f>Baseline!AM32</f>
        <v>1.7850688978505065</v>
      </c>
      <c r="F7" s="218">
        <f>Baseline!AN32</f>
        <v>3.382856498452989</v>
      </c>
      <c r="G7" s="218">
        <f>Baseline!AO32</f>
        <v>6.410799102995739</v>
      </c>
      <c r="H7" s="223">
        <f>Baseline!AP32</f>
        <v>16.134806464503455</v>
      </c>
      <c r="I7" s="218">
        <f>IF(D7+'Non-travel METs'!D7&gt;2.5, D7+'Non-travel METs'!D7, 0.1)</f>
        <v>0.1</v>
      </c>
      <c r="J7" s="218">
        <f>IF(E7+'Non-travel METs'!E7&gt;2.5, E7+'Non-travel METs'!E7, 0.1)</f>
        <v>0.1</v>
      </c>
      <c r="K7" s="218">
        <f>IF(F7+'Non-travel METs'!F7&gt;2.5, F7+'Non-travel METs'!F7, 0.1)</f>
        <v>3.382856498452989</v>
      </c>
      <c r="L7" s="218">
        <f>IF(G7+'Non-travel METs'!G7&gt;2.5, G7+'Non-travel METs'!G7, 0.1)</f>
        <v>6.410799102995739</v>
      </c>
      <c r="M7" s="223">
        <f>IF(H7+'Non-travel METs'!H7&gt;2.5, H7+'Non-travel METs'!H7, 0.1)</f>
        <v>16.134806464503455</v>
      </c>
      <c r="N7" s="268">
        <f>'Phy activity RRs'!$F$9</f>
        <v>0.94314906211536642</v>
      </c>
      <c r="O7" s="261">
        <f t="shared" ref="O7:O13" si="5">$N7^(I7^0.5)</f>
        <v>0.98166113424264856</v>
      </c>
      <c r="P7" s="261">
        <f t="shared" si="0"/>
        <v>0.98166113424264856</v>
      </c>
      <c r="Q7" s="261">
        <f t="shared" si="0"/>
        <v>0.89793887697738417</v>
      </c>
      <c r="R7" s="261">
        <f t="shared" si="0"/>
        <v>0.86226060152385986</v>
      </c>
      <c r="S7" s="271">
        <f t="shared" si="0"/>
        <v>0.79048549532442602</v>
      </c>
      <c r="T7" s="275"/>
      <c r="U7" s="275"/>
      <c r="V7" s="275"/>
      <c r="W7" s="275"/>
      <c r="X7" s="276"/>
      <c r="Y7" s="262">
        <f t="shared" ref="Y7:Y21" si="6">O7/$O7</f>
        <v>1</v>
      </c>
      <c r="Z7" s="262">
        <f t="shared" si="1"/>
        <v>1</v>
      </c>
      <c r="AA7" s="262">
        <f t="shared" si="1"/>
        <v>0.91471368851751877</v>
      </c>
      <c r="AB7" s="262">
        <f t="shared" si="1"/>
        <v>0.87836889069576318</v>
      </c>
      <c r="AC7" s="273">
        <f t="shared" si="1"/>
        <v>0.80525292053482944</v>
      </c>
      <c r="AD7" s="290"/>
      <c r="AE7" s="290"/>
      <c r="AF7" s="214">
        <f>GBDUS!K93/(Y7+Z7+AA7+AB7+AC7)</f>
        <v>0</v>
      </c>
      <c r="AG7" s="214">
        <f t="shared" ref="AG7:AG21" si="7">$AF7*Z7</f>
        <v>0</v>
      </c>
      <c r="AH7" s="214">
        <f t="shared" si="2"/>
        <v>0</v>
      </c>
      <c r="AI7" s="214">
        <f t="shared" si="2"/>
        <v>0</v>
      </c>
      <c r="AJ7" s="292">
        <f t="shared" si="2"/>
        <v>0</v>
      </c>
      <c r="AK7" s="301">
        <f>GBDUS!L93/(Y7+Z7+AA7+AB7+AC7)</f>
        <v>1.1861128634206006</v>
      </c>
      <c r="AL7" s="301">
        <f t="shared" ref="AL7:AL21" si="8">$AK7*Z7</f>
        <v>1.1861128634206006</v>
      </c>
      <c r="AM7" s="301">
        <f t="shared" si="3"/>
        <v>1.0849536722975335</v>
      </c>
      <c r="AN7" s="301">
        <f t="shared" si="3"/>
        <v>1.0418446400827281</v>
      </c>
      <c r="AO7" s="303">
        <f t="shared" si="3"/>
        <v>0.95512084735336789</v>
      </c>
      <c r="AP7" s="301">
        <f>GBDUS!M93/(Y7+Z7+AA7+AB7+AC7)</f>
        <v>0</v>
      </c>
      <c r="AQ7" s="301">
        <f t="shared" ref="AQ7:AQ21" si="9">$AP7*Z7</f>
        <v>0</v>
      </c>
      <c r="AR7" s="301">
        <f t="shared" si="4"/>
        <v>0</v>
      </c>
      <c r="AS7" s="301">
        <f t="shared" si="4"/>
        <v>0</v>
      </c>
      <c r="AT7" s="303">
        <f t="shared" si="4"/>
        <v>0</v>
      </c>
      <c r="AU7" s="299"/>
      <c r="AV7" s="299"/>
      <c r="AW7" s="299"/>
      <c r="AX7" s="299"/>
    </row>
    <row r="8" spans="2:62" x14ac:dyDescent="0.2">
      <c r="B8" s="217">
        <v>1</v>
      </c>
      <c r="C8" s="224" t="s">
        <v>11</v>
      </c>
      <c r="D8" s="218">
        <f>Baseline!AL33</f>
        <v>0.54814846293685915</v>
      </c>
      <c r="E8" s="218">
        <f>Baseline!AM33</f>
        <v>1.3795892245583525</v>
      </c>
      <c r="F8" s="218">
        <f>Baseline!AN33</f>
        <v>2.614438232111187</v>
      </c>
      <c r="G8" s="218">
        <f>Baseline!AO33</f>
        <v>4.9545815144452483</v>
      </c>
      <c r="H8" s="223">
        <f>Baseline!AP33</f>
        <v>12.469773668437746</v>
      </c>
      <c r="I8" s="218">
        <f>IF(D8+'Non-travel METs'!D8&gt;2.5, D8+'Non-travel METs'!D8, 0.1)</f>
        <v>65.425648462936863</v>
      </c>
      <c r="J8" s="218">
        <f>IF(E8+'Non-travel METs'!E8&gt;2.5, E8+'Non-travel METs'!E8, 0.1)</f>
        <v>66.257089224558356</v>
      </c>
      <c r="K8" s="218">
        <f>IF(F8+'Non-travel METs'!F8&gt;2.5, F8+'Non-travel METs'!F8, 0.1)</f>
        <v>67.491938232111181</v>
      </c>
      <c r="L8" s="218">
        <f>IF(G8+'Non-travel METs'!G8&gt;2.5, G8+'Non-travel METs'!G8, 0.1)</f>
        <v>69.83208151444525</v>
      </c>
      <c r="M8" s="223">
        <f>IF(H8+'Non-travel METs'!H8&gt;2.5, H8+'Non-travel METs'!H8, 0.1)</f>
        <v>77.347273668437737</v>
      </c>
      <c r="N8" s="268">
        <f>'Phy activity RRs'!$F$9</f>
        <v>0.94314906211536642</v>
      </c>
      <c r="O8" s="261">
        <f t="shared" si="5"/>
        <v>0.6228596589809593</v>
      </c>
      <c r="P8" s="261">
        <f t="shared" si="0"/>
        <v>0.62099465945422394</v>
      </c>
      <c r="Q8" s="261">
        <f t="shared" si="0"/>
        <v>0.61825641481740545</v>
      </c>
      <c r="R8" s="261">
        <f t="shared" si="0"/>
        <v>0.61316743731253232</v>
      </c>
      <c r="S8" s="271">
        <f t="shared" si="0"/>
        <v>0.59764175460564928</v>
      </c>
      <c r="T8" s="275"/>
      <c r="U8" s="275"/>
      <c r="V8" s="275"/>
      <c r="W8" s="275"/>
      <c r="X8" s="276"/>
      <c r="Y8" s="262">
        <f t="shared" si="6"/>
        <v>1</v>
      </c>
      <c r="Z8" s="262">
        <f t="shared" si="1"/>
        <v>0.99700574680051257</v>
      </c>
      <c r="AA8" s="262">
        <f t="shared" si="1"/>
        <v>0.99260950023463546</v>
      </c>
      <c r="AB8" s="262">
        <f t="shared" si="1"/>
        <v>0.98443915651194347</v>
      </c>
      <c r="AC8" s="273">
        <f t="shared" si="1"/>
        <v>0.95951270240142339</v>
      </c>
      <c r="AD8" s="290"/>
      <c r="AE8" s="290"/>
      <c r="AF8" s="214">
        <f>GBDUS!K94/(Y8+Z8+AA8+AB8+AC8)</f>
        <v>0</v>
      </c>
      <c r="AG8" s="214">
        <f t="shared" si="7"/>
        <v>0</v>
      </c>
      <c r="AH8" s="214">
        <f t="shared" si="2"/>
        <v>0</v>
      </c>
      <c r="AI8" s="214">
        <f t="shared" si="2"/>
        <v>0</v>
      </c>
      <c r="AJ8" s="292">
        <f t="shared" si="2"/>
        <v>0</v>
      </c>
      <c r="AK8" s="301">
        <f>GBDUS!L94/(Y8+Z8+AA8+AB8+AC8)</f>
        <v>0.86033694019434082</v>
      </c>
      <c r="AL8" s="301">
        <f t="shared" si="8"/>
        <v>0.8577608735585267</v>
      </c>
      <c r="AM8" s="301">
        <f t="shared" si="3"/>
        <v>0.85397862023970006</v>
      </c>
      <c r="AN8" s="301">
        <f t="shared" si="3"/>
        <v>0.84694937172098328</v>
      </c>
      <c r="AO8" s="303">
        <f t="shared" si="3"/>
        <v>0.82550422246164368</v>
      </c>
      <c r="AP8" s="301">
        <f>GBDUS!M94/(Y8+Z8+AA8+AB8+AC8)</f>
        <v>0</v>
      </c>
      <c r="AQ8" s="301">
        <f t="shared" si="9"/>
        <v>0</v>
      </c>
      <c r="AR8" s="301">
        <f t="shared" si="4"/>
        <v>0</v>
      </c>
      <c r="AS8" s="301">
        <f t="shared" si="4"/>
        <v>0</v>
      </c>
      <c r="AT8" s="303">
        <f t="shared" si="4"/>
        <v>0</v>
      </c>
      <c r="AU8" s="299"/>
      <c r="AV8" s="299"/>
      <c r="AW8" s="299"/>
      <c r="AX8" s="299"/>
    </row>
    <row r="9" spans="2:62" x14ac:dyDescent="0.2">
      <c r="B9" s="217">
        <v>1</v>
      </c>
      <c r="C9" s="224" t="s">
        <v>12</v>
      </c>
      <c r="D9" s="218">
        <f>Baseline!AL34</f>
        <v>0.47247961244187975</v>
      </c>
      <c r="E9" s="218">
        <f>Baseline!AM34</f>
        <v>1.1891445953455264</v>
      </c>
      <c r="F9" s="218">
        <f>Baseline!AN34</f>
        <v>2.253529556651181</v>
      </c>
      <c r="G9" s="218">
        <f>Baseline!AO34</f>
        <v>4.2706290577092139</v>
      </c>
      <c r="H9" s="223">
        <f>Baseline!AP34</f>
        <v>10.7483906796617</v>
      </c>
      <c r="I9" s="218">
        <f>IF(D9+'Non-travel METs'!D9&gt;2.5, D9+'Non-travel METs'!D9, 0.1)</f>
        <v>68.166229612441867</v>
      </c>
      <c r="J9" s="218">
        <f>IF(E9+'Non-travel METs'!E9&gt;2.5, E9+'Non-travel METs'!E9, 0.1)</f>
        <v>68.882894595345519</v>
      </c>
      <c r="K9" s="218">
        <f>IF(F9+'Non-travel METs'!F9&gt;2.5, F9+'Non-travel METs'!F9, 0.1)</f>
        <v>69.947279556651182</v>
      </c>
      <c r="L9" s="218">
        <f>IF(G9+'Non-travel METs'!G9&gt;2.5, G9+'Non-travel METs'!G9, 0.1)</f>
        <v>71.964379057709209</v>
      </c>
      <c r="M9" s="223">
        <f>IF(H9+'Non-travel METs'!H9&gt;2.5, H9+'Non-travel METs'!H9, 0.1)</f>
        <v>78.442140679661691</v>
      </c>
      <c r="N9" s="268">
        <f>'Phy activity RRs'!$F$9</f>
        <v>0.94314906211536642</v>
      </c>
      <c r="O9" s="261">
        <f t="shared" si="5"/>
        <v>0.61677681288397512</v>
      </c>
      <c r="P9" s="261">
        <f t="shared" si="0"/>
        <v>0.61521608212998358</v>
      </c>
      <c r="Q9" s="261">
        <f t="shared" si="0"/>
        <v>0.61292021617341086</v>
      </c>
      <c r="R9" s="261">
        <f t="shared" si="0"/>
        <v>0.60863983174436898</v>
      </c>
      <c r="S9" s="271">
        <f t="shared" si="0"/>
        <v>0.59547595448016188</v>
      </c>
      <c r="T9" s="275"/>
      <c r="U9" s="275"/>
      <c r="V9" s="275"/>
      <c r="W9" s="275"/>
      <c r="X9" s="276"/>
      <c r="Y9" s="262">
        <f t="shared" si="6"/>
        <v>1</v>
      </c>
      <c r="Z9" s="262">
        <f t="shared" si="1"/>
        <v>0.99746953724363641</v>
      </c>
      <c r="AA9" s="262">
        <f t="shared" si="1"/>
        <v>0.99374717623943853</v>
      </c>
      <c r="AB9" s="262">
        <f t="shared" si="1"/>
        <v>0.98680725187842488</v>
      </c>
      <c r="AC9" s="273">
        <f t="shared" si="1"/>
        <v>0.96546423607558629</v>
      </c>
      <c r="AD9" s="290"/>
      <c r="AE9" s="290"/>
      <c r="AF9" s="214">
        <f>GBDUS!K95/(Y9+Z9+AA9+AB9+AC9)</f>
        <v>0</v>
      </c>
      <c r="AG9" s="214">
        <f t="shared" si="7"/>
        <v>0</v>
      </c>
      <c r="AH9" s="214">
        <f t="shared" si="2"/>
        <v>0</v>
      </c>
      <c r="AI9" s="214">
        <f t="shared" si="2"/>
        <v>0</v>
      </c>
      <c r="AJ9" s="292">
        <f t="shared" si="2"/>
        <v>0</v>
      </c>
      <c r="AK9" s="301">
        <f>GBDUS!L95/(Y9+Z9+AA9+AB9+AC9)</f>
        <v>1.1005253857138169</v>
      </c>
      <c r="AL9" s="301">
        <f t="shared" si="8"/>
        <v>1.0977405472128354</v>
      </c>
      <c r="AM9" s="301">
        <f t="shared" si="3"/>
        <v>1.0936439944329244</v>
      </c>
      <c r="AN9" s="301">
        <f t="shared" si="3"/>
        <v>1.0860064314986952</v>
      </c>
      <c r="AO9" s="303">
        <f t="shared" si="3"/>
        <v>1.0625179007999801</v>
      </c>
      <c r="AP9" s="301">
        <f>GBDUS!M95/(Y9+Z9+AA9+AB9+AC9)</f>
        <v>0.16984766960971173</v>
      </c>
      <c r="AQ9" s="301">
        <f t="shared" si="9"/>
        <v>0.16941787640750922</v>
      </c>
      <c r="AR9" s="301">
        <f t="shared" si="4"/>
        <v>0.16878564206550015</v>
      </c>
      <c r="AS9" s="301">
        <f t="shared" si="4"/>
        <v>0.16760691208551429</v>
      </c>
      <c r="AT9" s="303">
        <f t="shared" si="4"/>
        <v>0.16398185058895892</v>
      </c>
      <c r="AU9" s="299"/>
      <c r="AV9" s="299"/>
      <c r="AW9" s="299"/>
      <c r="AX9" s="299"/>
    </row>
    <row r="10" spans="2:62" x14ac:dyDescent="0.2">
      <c r="B10" s="217">
        <v>1</v>
      </c>
      <c r="C10" s="224" t="s">
        <v>13</v>
      </c>
      <c r="D10" s="218">
        <f>Baseline!AL35</f>
        <v>0.40064658164119982</v>
      </c>
      <c r="E10" s="218">
        <f>Baseline!AM35</f>
        <v>1.0083540213301772</v>
      </c>
      <c r="F10" s="218">
        <f>Baseline!AN35</f>
        <v>1.9109161320918737</v>
      </c>
      <c r="G10" s="218">
        <f>Baseline!AO35</f>
        <v>3.6213476483903273</v>
      </c>
      <c r="H10" s="223">
        <f>Baseline!AP35</f>
        <v>9.1142683632308312</v>
      </c>
      <c r="I10" s="218">
        <f>IF(D10+'Non-travel METs'!D10&gt;2.5, D10+'Non-travel METs'!D10, 0.1)</f>
        <v>58.175646581641196</v>
      </c>
      <c r="J10" s="218">
        <f>IF(E10+'Non-travel METs'!E10&gt;2.5, E10+'Non-travel METs'!E10, 0.1)</f>
        <v>58.783354021330176</v>
      </c>
      <c r="K10" s="218">
        <f>IF(F10+'Non-travel METs'!F10&gt;2.5, F10+'Non-travel METs'!F10, 0.1)</f>
        <v>59.685916132091876</v>
      </c>
      <c r="L10" s="218">
        <f>IF(G10+'Non-travel METs'!G10&gt;2.5, G10+'Non-travel METs'!G10, 0.1)</f>
        <v>61.396347648390325</v>
      </c>
      <c r="M10" s="223">
        <f>IF(H10+'Non-travel METs'!H10&gt;2.5, H10+'Non-travel METs'!H10, 0.1)</f>
        <v>66.889268363230826</v>
      </c>
      <c r="N10" s="268">
        <f>'Phy activity RRs'!$F$9</f>
        <v>0.94314906211536642</v>
      </c>
      <c r="O10" s="261">
        <f t="shared" si="5"/>
        <v>0.63990676845370242</v>
      </c>
      <c r="P10" s="261">
        <f t="shared" si="0"/>
        <v>0.63842028028351472</v>
      </c>
      <c r="Q10" s="261">
        <f t="shared" si="0"/>
        <v>0.63623297447746574</v>
      </c>
      <c r="R10" s="261">
        <f t="shared" si="0"/>
        <v>0.63215291361367487</v>
      </c>
      <c r="S10" s="271">
        <f t="shared" si="0"/>
        <v>0.61958814955844588</v>
      </c>
      <c r="T10" s="275"/>
      <c r="U10" s="275"/>
      <c r="V10" s="275"/>
      <c r="W10" s="275"/>
      <c r="X10" s="276"/>
      <c r="Y10" s="262">
        <f t="shared" si="6"/>
        <v>1</v>
      </c>
      <c r="Z10" s="262">
        <f t="shared" si="1"/>
        <v>0.99767702383617585</v>
      </c>
      <c r="AA10" s="262">
        <f t="shared" si="1"/>
        <v>0.99425886057571455</v>
      </c>
      <c r="AB10" s="262">
        <f t="shared" si="1"/>
        <v>0.98788283665327636</v>
      </c>
      <c r="AC10" s="273">
        <f t="shared" si="1"/>
        <v>0.96824753245796213</v>
      </c>
      <c r="AD10" s="290"/>
      <c r="AE10" s="290"/>
      <c r="AF10" s="214">
        <f>GBDUS!K96/(Y10+Z10+AA10+AB10+AC10)</f>
        <v>0</v>
      </c>
      <c r="AG10" s="214">
        <f t="shared" si="7"/>
        <v>0</v>
      </c>
      <c r="AH10" s="214">
        <f t="shared" si="2"/>
        <v>0</v>
      </c>
      <c r="AI10" s="214">
        <f t="shared" si="2"/>
        <v>0</v>
      </c>
      <c r="AJ10" s="292">
        <f t="shared" si="2"/>
        <v>0</v>
      </c>
      <c r="AK10" s="301">
        <f>GBDUS!L96/(Y10+Z10+AA10+AB10+AC10)</f>
        <v>8.4885959653515854</v>
      </c>
      <c r="AL10" s="301">
        <f t="shared" si="8"/>
        <v>8.4688771592597405</v>
      </c>
      <c r="AM10" s="301">
        <f t="shared" si="3"/>
        <v>8.439861752398075</v>
      </c>
      <c r="AN10" s="301">
        <f t="shared" si="3"/>
        <v>8.3857382614550815</v>
      </c>
      <c r="AO10" s="303">
        <f t="shared" si="3"/>
        <v>8.2190620974842865</v>
      </c>
      <c r="AP10" s="301">
        <f>GBDUS!M96/(Y10+Z10+AA10+AB10+AC10)</f>
        <v>12.090941675519185</v>
      </c>
      <c r="AQ10" s="301">
        <f t="shared" si="9"/>
        <v>12.062854706208766</v>
      </c>
      <c r="AR10" s="301">
        <f t="shared" si="4"/>
        <v>12.021525893589125</v>
      </c>
      <c r="AS10" s="301">
        <f t="shared" si="4"/>
        <v>11.944433760221211</v>
      </c>
      <c r="AT10" s="303">
        <f t="shared" si="4"/>
        <v>11.707024442414589</v>
      </c>
      <c r="AU10" s="299"/>
      <c r="AV10" s="299"/>
      <c r="AW10" s="299"/>
      <c r="AX10" s="299"/>
    </row>
    <row r="11" spans="2:62" x14ac:dyDescent="0.2">
      <c r="B11" s="217">
        <v>1</v>
      </c>
      <c r="C11" s="224" t="s">
        <v>14</v>
      </c>
      <c r="D11" s="218">
        <f>Baseline!AL36</f>
        <v>0.32427865889454843</v>
      </c>
      <c r="E11" s="218">
        <f>Baseline!AM36</f>
        <v>0.8161499553756566</v>
      </c>
      <c r="F11" s="218">
        <f>Baseline!AN36</f>
        <v>1.5466731752366658</v>
      </c>
      <c r="G11" s="218">
        <f>Baseline!AO36</f>
        <v>2.9310764464792394</v>
      </c>
      <c r="H11" s="223">
        <f>Baseline!AP36</f>
        <v>7.3769822508566136</v>
      </c>
      <c r="I11" s="218">
        <f>IF(D11+'Non-travel METs'!D11&gt;2.5, D11+'Non-travel METs'!D11, 0.1)</f>
        <v>23.407611992227849</v>
      </c>
      <c r="J11" s="218">
        <f>IF(E11+'Non-travel METs'!E11&gt;2.5, E11+'Non-travel METs'!E11, 0.1)</f>
        <v>23.899483288708957</v>
      </c>
      <c r="K11" s="218">
        <f>IF(F11+'Non-travel METs'!F11&gt;2.5, F11+'Non-travel METs'!F11, 0.1)</f>
        <v>24.630006508569966</v>
      </c>
      <c r="L11" s="218">
        <f>IF(G11+'Non-travel METs'!G11&gt;2.5, G11+'Non-travel METs'!G11, 0.1)</f>
        <v>26.014409779812539</v>
      </c>
      <c r="M11" s="223">
        <f>IF(H11+'Non-travel METs'!H11&gt;2.5, H11+'Non-travel METs'!H11, 0.1)</f>
        <v>30.460315584189914</v>
      </c>
      <c r="N11" s="268">
        <f>'Phy activity RRs'!$F$9</f>
        <v>0.94314906211536642</v>
      </c>
      <c r="O11" s="261">
        <f t="shared" si="5"/>
        <v>0.75338345358522263</v>
      </c>
      <c r="P11" s="261">
        <f t="shared" si="0"/>
        <v>0.75115687409856979</v>
      </c>
      <c r="Q11" s="261">
        <f t="shared" si="0"/>
        <v>0.74790373633278839</v>
      </c>
      <c r="R11" s="261">
        <f t="shared" si="0"/>
        <v>0.74190573891431166</v>
      </c>
      <c r="S11" s="271">
        <f t="shared" si="0"/>
        <v>0.72394684995806835</v>
      </c>
      <c r="T11" s="275"/>
      <c r="U11" s="275"/>
      <c r="V11" s="275"/>
      <c r="W11" s="275"/>
      <c r="X11" s="276"/>
      <c r="Y11" s="262">
        <f t="shared" si="6"/>
        <v>1</v>
      </c>
      <c r="Z11" s="262">
        <f t="shared" si="1"/>
        <v>0.99704456014257159</v>
      </c>
      <c r="AA11" s="262">
        <f t="shared" si="1"/>
        <v>0.99272652295938113</v>
      </c>
      <c r="AB11" s="262">
        <f t="shared" si="1"/>
        <v>0.98476510916679882</v>
      </c>
      <c r="AC11" s="273">
        <f t="shared" si="1"/>
        <v>0.96092746198888424</v>
      </c>
      <c r="AD11" s="290"/>
      <c r="AE11" s="290"/>
      <c r="AF11" s="214">
        <f>GBDUS!K97/(Y11+Z11+AA11+AB11+AC11)</f>
        <v>0.81046083614643838</v>
      </c>
      <c r="AG11" s="214">
        <f t="shared" si="7"/>
        <v>0.80806556788840644</v>
      </c>
      <c r="AH11" s="214">
        <f t="shared" si="2"/>
        <v>0.80456596786240653</v>
      </c>
      <c r="AI11" s="214">
        <f t="shared" si="2"/>
        <v>0.7981135537831624</v>
      </c>
      <c r="AJ11" s="292">
        <f t="shared" si="2"/>
        <v>0.77879407431958603</v>
      </c>
      <c r="AK11" s="301">
        <f>GBDUS!L97/(Y11+Z11+AA11+AB11+AC11)</f>
        <v>18.28630440601237</v>
      </c>
      <c r="AL11" s="301">
        <f t="shared" si="8"/>
        <v>18.232260333125772</v>
      </c>
      <c r="AM11" s="301">
        <f t="shared" si="3"/>
        <v>18.153299390757471</v>
      </c>
      <c r="AN11" s="301">
        <f t="shared" si="3"/>
        <v>18.007714554644085</v>
      </c>
      <c r="AO11" s="303">
        <f t="shared" si="3"/>
        <v>17.571812082025616</v>
      </c>
      <c r="AP11" s="301">
        <f>GBDUS!M97/(Y11+Z11+AA11+AB11+AC11)</f>
        <v>13.533915203167416</v>
      </c>
      <c r="AQ11" s="301">
        <f t="shared" si="9"/>
        <v>13.493916530748919</v>
      </c>
      <c r="AR11" s="301">
        <f t="shared" si="4"/>
        <v>13.435476581667494</v>
      </c>
      <c r="AS11" s="301">
        <f t="shared" si="4"/>
        <v>13.327727482501359</v>
      </c>
      <c r="AT11" s="303">
        <f t="shared" si="4"/>
        <v>13.005110786952439</v>
      </c>
      <c r="AU11" s="299"/>
      <c r="AV11" s="299"/>
      <c r="AW11" s="299"/>
      <c r="AX11" s="299"/>
    </row>
    <row r="12" spans="2:62" x14ac:dyDescent="0.2">
      <c r="B12" s="217">
        <v>1</v>
      </c>
      <c r="C12" s="224" t="s">
        <v>15</v>
      </c>
      <c r="D12" s="218">
        <f>Baseline!AL37</f>
        <v>0.187470361714002</v>
      </c>
      <c r="E12" s="218">
        <f>Baseline!AM37</f>
        <v>0.47182854360112558</v>
      </c>
      <c r="F12" s="218">
        <f>Baseline!AN37</f>
        <v>0.89415498572556928</v>
      </c>
      <c r="G12" s="218">
        <f>Baseline!AO37</f>
        <v>1.69449930348806</v>
      </c>
      <c r="H12" s="223">
        <f>Baseline!AP37</f>
        <v>4.2647442037669991</v>
      </c>
      <c r="I12" s="218">
        <f>IF(D12+'Non-travel METs'!D12&gt;2.5, D12+'Non-travel METs'!D12, 0.1)</f>
        <v>0.1</v>
      </c>
      <c r="J12" s="218">
        <f>IF(E12+'Non-travel METs'!E12&gt;2.5, E12+'Non-travel METs'!E12, 0.1)</f>
        <v>0.1</v>
      </c>
      <c r="K12" s="218">
        <f>IF(F12+'Non-travel METs'!F12&gt;2.5, F12+'Non-travel METs'!F12, 0.1)</f>
        <v>2.7691549857255691</v>
      </c>
      <c r="L12" s="218">
        <f>IF(G12+'Non-travel METs'!G12&gt;2.5, G12+'Non-travel METs'!G12, 0.1)</f>
        <v>3.56949930348806</v>
      </c>
      <c r="M12" s="223">
        <f>IF(H12+'Non-travel METs'!H12&gt;2.5, H12+'Non-travel METs'!H12, 0.1)</f>
        <v>6.1397442037669991</v>
      </c>
      <c r="N12" s="268">
        <f>'Phy activity RRs'!$F$9</f>
        <v>0.94314906211536642</v>
      </c>
      <c r="O12" s="261">
        <f t="shared" si="5"/>
        <v>0.98166113424264856</v>
      </c>
      <c r="P12" s="261">
        <f t="shared" si="0"/>
        <v>0.98166113424264856</v>
      </c>
      <c r="Q12" s="261">
        <f t="shared" si="0"/>
        <v>0.90719302611571762</v>
      </c>
      <c r="R12" s="261">
        <f t="shared" si="0"/>
        <v>0.89531184368374161</v>
      </c>
      <c r="S12" s="271">
        <f t="shared" si="0"/>
        <v>0.86499554394495914</v>
      </c>
      <c r="T12" s="275"/>
      <c r="U12" s="275"/>
      <c r="V12" s="275"/>
      <c r="W12" s="275"/>
      <c r="X12" s="276"/>
      <c r="Y12" s="262">
        <f t="shared" si="6"/>
        <v>1</v>
      </c>
      <c r="Z12" s="262">
        <f t="shared" si="1"/>
        <v>1</v>
      </c>
      <c r="AA12" s="262">
        <f t="shared" si="1"/>
        <v>0.92414071869680048</v>
      </c>
      <c r="AB12" s="262">
        <f t="shared" si="1"/>
        <v>0.91203757839967314</v>
      </c>
      <c r="AC12" s="273">
        <f t="shared" si="1"/>
        <v>0.88115492584139343</v>
      </c>
      <c r="AD12" s="290"/>
      <c r="AE12" s="290"/>
      <c r="AF12" s="214">
        <f>GBDUS!K98/(Y12+Z12+AA12+AB12+AC12)</f>
        <v>6.3595253042812523</v>
      </c>
      <c r="AG12" s="214">
        <f t="shared" si="7"/>
        <v>6.3595253042812523</v>
      </c>
      <c r="AH12" s="214">
        <f t="shared" si="2"/>
        <v>5.8770962852689657</v>
      </c>
      <c r="AI12" s="214">
        <f t="shared" si="2"/>
        <v>5.800126058288118</v>
      </c>
      <c r="AJ12" s="292">
        <f t="shared" si="2"/>
        <v>5.6037270478804118</v>
      </c>
      <c r="AK12" s="301">
        <f>GBDUS!L98/(Y12+Z12+AA12+AB12+AC12)</f>
        <v>89.923423118563051</v>
      </c>
      <c r="AL12" s="301">
        <f t="shared" si="8"/>
        <v>89.923423118563051</v>
      </c>
      <c r="AM12" s="301">
        <f t="shared" si="3"/>
        <v>83.101896868465346</v>
      </c>
      <c r="AN12" s="301">
        <f t="shared" si="3"/>
        <v>82.013541062463432</v>
      </c>
      <c r="AO12" s="303">
        <f t="shared" si="3"/>
        <v>79.236467229441672</v>
      </c>
      <c r="AP12" s="301">
        <f>GBDUS!M98/(Y12+Z12+AA12+AB12+AC12)</f>
        <v>47.110527504849955</v>
      </c>
      <c r="AQ12" s="301">
        <f t="shared" si="9"/>
        <v>47.110527504849955</v>
      </c>
      <c r="AR12" s="301">
        <f t="shared" si="4"/>
        <v>43.536756746517426</v>
      </c>
      <c r="AS12" s="301">
        <f t="shared" si="4"/>
        <v>42.966571422654546</v>
      </c>
      <c r="AT12" s="303">
        <f t="shared" si="4"/>
        <v>41.511673369884988</v>
      </c>
      <c r="AU12" s="299"/>
      <c r="AV12" s="299"/>
      <c r="AW12" s="299"/>
      <c r="AX12" s="299"/>
    </row>
    <row r="13" spans="2:62" x14ac:dyDescent="0.2">
      <c r="B13" s="226">
        <v>1</v>
      </c>
      <c r="C13" s="227" t="s">
        <v>16</v>
      </c>
      <c r="D13" s="228">
        <f>Baseline!AL38</f>
        <v>0.17399761857642834</v>
      </c>
      <c r="E13" s="228">
        <f>Baseline!AM38</f>
        <v>0.4379201182116701</v>
      </c>
      <c r="F13" s="228">
        <f>Baseline!AN38</f>
        <v>0.82989565247565811</v>
      </c>
      <c r="G13" s="228">
        <f>Baseline!AO38</f>
        <v>1.5727224335126344</v>
      </c>
      <c r="H13" s="229">
        <f>Baseline!AP38</f>
        <v>3.9582541395270634</v>
      </c>
      <c r="I13" s="230">
        <f>IF(D13+'Non-travel METs'!D13&gt;2.5, D13+'Non-travel METs'!D13, 0.1)</f>
        <v>0.1</v>
      </c>
      <c r="J13" s="228">
        <f>IF(E13+'Non-travel METs'!E13&gt;2.5, E13+'Non-travel METs'!E13, 0.1)</f>
        <v>0.1</v>
      </c>
      <c r="K13" s="228">
        <f>IF(F13+'Non-travel METs'!F13&gt;2.5, F13+'Non-travel METs'!F13, 0.1)</f>
        <v>0.1</v>
      </c>
      <c r="L13" s="228">
        <f>IF(G13+'Non-travel METs'!G13&gt;2.5, G13+'Non-travel METs'!G13, 0.1)</f>
        <v>0.1</v>
      </c>
      <c r="M13" s="229">
        <f>IF(H13+'Non-travel METs'!H13&gt;2.5, H13+'Non-travel METs'!H13, 0.1)</f>
        <v>4.291587472860396</v>
      </c>
      <c r="N13" s="268">
        <f>'Phy activity RRs'!$F$9</f>
        <v>0.94314906211536642</v>
      </c>
      <c r="O13" s="265">
        <f t="shared" si="5"/>
        <v>0.98166113424264856</v>
      </c>
      <c r="P13" s="265">
        <f t="shared" si="0"/>
        <v>0.98166113424264856</v>
      </c>
      <c r="Q13" s="265">
        <f t="shared" si="0"/>
        <v>0.98166113424264856</v>
      </c>
      <c r="R13" s="265">
        <f t="shared" si="0"/>
        <v>0.98166113424264856</v>
      </c>
      <c r="S13" s="272">
        <f t="shared" si="0"/>
        <v>0.88580933523265992</v>
      </c>
      <c r="T13" s="275"/>
      <c r="U13" s="275"/>
      <c r="V13" s="275"/>
      <c r="W13" s="275"/>
      <c r="X13" s="276"/>
      <c r="Y13" s="287">
        <f t="shared" si="6"/>
        <v>1</v>
      </c>
      <c r="Z13" s="264">
        <f t="shared" si="1"/>
        <v>1</v>
      </c>
      <c r="AA13" s="264">
        <f t="shared" si="1"/>
        <v>1</v>
      </c>
      <c r="AB13" s="264">
        <f t="shared" si="1"/>
        <v>1</v>
      </c>
      <c r="AC13" s="274">
        <f t="shared" si="1"/>
        <v>0.90235754919243261</v>
      </c>
      <c r="AD13" s="290"/>
      <c r="AE13" s="290"/>
      <c r="AF13" s="293">
        <f>GBDUS!K99/(Y13+Z13+AA13+AB13+AC13)</f>
        <v>47.120186090476558</v>
      </c>
      <c r="AG13" s="294">
        <f t="shared" si="7"/>
        <v>47.120186090476558</v>
      </c>
      <c r="AH13" s="294">
        <f t="shared" si="2"/>
        <v>47.120186090476558</v>
      </c>
      <c r="AI13" s="294">
        <f t="shared" si="2"/>
        <v>47.120186090476558</v>
      </c>
      <c r="AJ13" s="295">
        <f t="shared" si="2"/>
        <v>42.519255638093782</v>
      </c>
      <c r="AK13" s="301">
        <f>GBDUS!L99/(Y13+Z13+AA13+AB13+AC13)</f>
        <v>299.92816517129665</v>
      </c>
      <c r="AL13" s="305">
        <f t="shared" si="8"/>
        <v>299.92816517129665</v>
      </c>
      <c r="AM13" s="305">
        <f t="shared" si="3"/>
        <v>299.92816517129665</v>
      </c>
      <c r="AN13" s="305">
        <f t="shared" si="3"/>
        <v>299.92816517129665</v>
      </c>
      <c r="AO13" s="306">
        <f t="shared" si="3"/>
        <v>270.64244405775435</v>
      </c>
      <c r="AP13" s="304">
        <f>GBDUS!M99/(Y13+Z13+AA13+AB13+AC13)</f>
        <v>208.31176090168287</v>
      </c>
      <c r="AQ13" s="305">
        <f t="shared" si="9"/>
        <v>208.31176090168287</v>
      </c>
      <c r="AR13" s="305">
        <f t="shared" si="4"/>
        <v>208.31176090168287</v>
      </c>
      <c r="AS13" s="305">
        <f t="shared" si="4"/>
        <v>208.31176090168287</v>
      </c>
      <c r="AT13" s="306">
        <f t="shared" si="4"/>
        <v>187.97169003520256</v>
      </c>
      <c r="AU13" s="299"/>
      <c r="AV13" s="299"/>
      <c r="AW13" s="299"/>
      <c r="AX13" s="299"/>
    </row>
    <row r="14" spans="2:62" x14ac:dyDescent="0.2">
      <c r="B14" s="217">
        <v>2</v>
      </c>
      <c r="C14" s="224" t="s">
        <v>9</v>
      </c>
      <c r="D14" s="218">
        <f>Baseline!AL39</f>
        <v>0.62051946258483393</v>
      </c>
      <c r="E14" s="218">
        <f>Baseline!AM39</f>
        <v>1.5617337675712608</v>
      </c>
      <c r="F14" s="218">
        <f>Baseline!AN39</f>
        <v>2.9596175424061157</v>
      </c>
      <c r="G14" s="218">
        <f>Baseline!AO39</f>
        <v>5.6087254941923606</v>
      </c>
      <c r="H14" s="223">
        <f>Baseline!AP39</f>
        <v>14.116134183495483</v>
      </c>
      <c r="I14" s="218">
        <f>IF(D14+'Non-travel METs'!D14&gt;2.5, D14+'Non-travel METs'!D14, 0.1)</f>
        <v>0.1</v>
      </c>
      <c r="J14" s="218">
        <f>IF(E14+'Non-travel METs'!E14&gt;2.5, E14+'Non-travel METs'!E14, 0.1)</f>
        <v>0.1</v>
      </c>
      <c r="K14" s="218">
        <f>IF(F14+'Non-travel METs'!F14&gt;2.5, F14+'Non-travel METs'!F14, 0.1)</f>
        <v>2.9596175424061157</v>
      </c>
      <c r="L14" s="218">
        <f>IF(G14+'Non-travel METs'!G14&gt;2.5, G14+'Non-travel METs'!G14, 0.1)</f>
        <v>5.6087254941923606</v>
      </c>
      <c r="M14" s="223">
        <f>IF(H14+'Non-travel METs'!H14&gt;2.5, H14+'Non-travel METs'!H14, 0.1)</f>
        <v>14.116134183495483</v>
      </c>
      <c r="N14" s="268">
        <f>'Phy activity RRs'!$F$9</f>
        <v>0.94314906211536642</v>
      </c>
      <c r="O14" s="262">
        <f>$N14^(I14^0.5)</f>
        <v>0.98166113424264856</v>
      </c>
      <c r="P14" s="262">
        <f t="shared" si="0"/>
        <v>0.98166113424264856</v>
      </c>
      <c r="Q14" s="262">
        <f t="shared" si="0"/>
        <v>0.90420974645814212</v>
      </c>
      <c r="R14" s="262">
        <f t="shared" si="0"/>
        <v>0.87056109209792187</v>
      </c>
      <c r="S14" s="273">
        <f t="shared" si="0"/>
        <v>0.80259168458266827</v>
      </c>
      <c r="T14" s="275"/>
      <c r="U14" s="275"/>
      <c r="V14" s="275"/>
      <c r="W14" s="275"/>
      <c r="X14" s="276"/>
      <c r="Y14" s="262">
        <f t="shared" si="6"/>
        <v>1</v>
      </c>
      <c r="Z14" s="262">
        <f t="shared" si="1"/>
        <v>1</v>
      </c>
      <c r="AA14" s="262">
        <f t="shared" si="1"/>
        <v>0.92110170701190064</v>
      </c>
      <c r="AB14" s="262">
        <f t="shared" si="1"/>
        <v>0.88682444657397952</v>
      </c>
      <c r="AC14" s="273">
        <f t="shared" si="1"/>
        <v>0.81758527111483092</v>
      </c>
      <c r="AD14" s="290"/>
      <c r="AE14" s="290"/>
      <c r="AF14" s="214">
        <f>GBDUS!K100/(Y14+Z14+AA14+AB14+AC14)</f>
        <v>0</v>
      </c>
      <c r="AG14" s="214">
        <f t="shared" si="7"/>
        <v>0</v>
      </c>
      <c r="AH14" s="214">
        <f t="shared" si="2"/>
        <v>0</v>
      </c>
      <c r="AI14" s="214">
        <f t="shared" si="2"/>
        <v>0</v>
      </c>
      <c r="AJ14" s="292">
        <f t="shared" si="2"/>
        <v>0</v>
      </c>
      <c r="AK14" s="422">
        <f>GBDUS!L100/(Y14+Z14+AA14+AB14+AC14)</f>
        <v>0</v>
      </c>
      <c r="AL14" s="301">
        <f t="shared" si="8"/>
        <v>0</v>
      </c>
      <c r="AM14" s="301">
        <f t="shared" si="3"/>
        <v>0</v>
      </c>
      <c r="AN14" s="301">
        <f t="shared" si="3"/>
        <v>0</v>
      </c>
      <c r="AO14" s="303">
        <f t="shared" si="3"/>
        <v>0</v>
      </c>
      <c r="AP14" s="301">
        <f>GBDUS!M100/(Y14+Z14+AA14+AB14+AC14)</f>
        <v>0</v>
      </c>
      <c r="AQ14" s="301">
        <f t="shared" si="9"/>
        <v>0</v>
      </c>
      <c r="AR14" s="301">
        <f t="shared" si="4"/>
        <v>0</v>
      </c>
      <c r="AS14" s="301">
        <f t="shared" si="4"/>
        <v>0</v>
      </c>
      <c r="AT14" s="303">
        <f t="shared" si="4"/>
        <v>0</v>
      </c>
      <c r="AU14" s="299"/>
      <c r="AV14" s="299"/>
      <c r="AW14" s="299"/>
      <c r="AX14" s="299"/>
    </row>
    <row r="15" spans="2:62" x14ac:dyDescent="0.2">
      <c r="B15" s="217">
        <v>2</v>
      </c>
      <c r="C15" s="224" t="s">
        <v>10</v>
      </c>
      <c r="D15" s="218">
        <f>Baseline!AL40</f>
        <v>0.46042772990101311</v>
      </c>
      <c r="E15" s="218">
        <f>Baseline!AM40</f>
        <v>1.1588122156833804</v>
      </c>
      <c r="F15" s="218">
        <f>Baseline!AN40</f>
        <v>2.1960471324281206</v>
      </c>
      <c r="G15" s="218">
        <f>Baseline!AO40</f>
        <v>4.1616950033632074</v>
      </c>
      <c r="H15" s="223">
        <f>Baseline!AP40</f>
        <v>10.474223628717107</v>
      </c>
      <c r="I15" s="218">
        <f>IF(D15+'Non-travel METs'!D15&gt;2.5, D15+'Non-travel METs'!D15, 0.1)</f>
        <v>0.1</v>
      </c>
      <c r="J15" s="218">
        <f>IF(E15+'Non-travel METs'!E15&gt;2.5, E15+'Non-travel METs'!E15, 0.1)</f>
        <v>0.1</v>
      </c>
      <c r="K15" s="218">
        <f>IF(F15+'Non-travel METs'!F15&gt;2.5, F15+'Non-travel METs'!F15, 0.1)</f>
        <v>0.1</v>
      </c>
      <c r="L15" s="218">
        <f>IF(G15+'Non-travel METs'!G15&gt;2.5, G15+'Non-travel METs'!G15, 0.1)</f>
        <v>4.1616950033632074</v>
      </c>
      <c r="M15" s="223">
        <f>IF(H15+'Non-travel METs'!H15&gt;2.5, H15+'Non-travel METs'!H15, 0.1)</f>
        <v>10.474223628717107</v>
      </c>
      <c r="N15" s="268">
        <f>'Phy activity RRs'!$F$9</f>
        <v>0.94314906211536642</v>
      </c>
      <c r="O15" s="262">
        <f t="shared" ref="O15:O21" si="10">$N15^(I15^0.5)</f>
        <v>0.98166113424264856</v>
      </c>
      <c r="P15" s="262">
        <f t="shared" si="0"/>
        <v>0.98166113424264856</v>
      </c>
      <c r="Q15" s="262">
        <f t="shared" si="0"/>
        <v>0.98166113424264856</v>
      </c>
      <c r="R15" s="262">
        <f t="shared" si="0"/>
        <v>0.88744877858032312</v>
      </c>
      <c r="S15" s="273">
        <f t="shared" si="0"/>
        <v>0.82743148839107206</v>
      </c>
      <c r="T15" s="275"/>
      <c r="U15" s="275"/>
      <c r="V15" s="275"/>
      <c r="W15" s="275"/>
      <c r="X15" s="276"/>
      <c r="Y15" s="262">
        <f t="shared" si="6"/>
        <v>1</v>
      </c>
      <c r="Z15" s="262">
        <f t="shared" si="1"/>
        <v>1</v>
      </c>
      <c r="AA15" s="262">
        <f t="shared" si="1"/>
        <v>1</v>
      </c>
      <c r="AB15" s="262">
        <f t="shared" si="1"/>
        <v>0.90402761973966683</v>
      </c>
      <c r="AC15" s="273">
        <f t="shared" si="1"/>
        <v>0.8428891187888734</v>
      </c>
      <c r="AD15" s="290"/>
      <c r="AE15" s="290"/>
      <c r="AF15" s="214">
        <f>GBDUS!K101/(Y15+Z15+AA15+AB15+AC15)</f>
        <v>0</v>
      </c>
      <c r="AG15" s="214">
        <f t="shared" si="7"/>
        <v>0</v>
      </c>
      <c r="AH15" s="214">
        <f t="shared" si="2"/>
        <v>0</v>
      </c>
      <c r="AI15" s="214">
        <f t="shared" si="2"/>
        <v>0</v>
      </c>
      <c r="AJ15" s="292">
        <f t="shared" si="2"/>
        <v>0</v>
      </c>
      <c r="AK15" s="301">
        <f>GBDUS!L101/(Y15+Z15+AA15+AB15+AC15)</f>
        <v>0.88832258490128824</v>
      </c>
      <c r="AL15" s="301">
        <f t="shared" si="8"/>
        <v>0.88832258490128824</v>
      </c>
      <c r="AM15" s="301">
        <f t="shared" si="3"/>
        <v>0.88832258490128824</v>
      </c>
      <c r="AN15" s="301">
        <f t="shared" si="3"/>
        <v>0.80306815198929971</v>
      </c>
      <c r="AO15" s="303">
        <f t="shared" si="3"/>
        <v>0.74875744078770101</v>
      </c>
      <c r="AP15" s="301">
        <f>GBDUS!M101/(Y15+Z15+AA15+AB15+AC15)</f>
        <v>0</v>
      </c>
      <c r="AQ15" s="301">
        <f t="shared" si="9"/>
        <v>0</v>
      </c>
      <c r="AR15" s="301">
        <f t="shared" si="4"/>
        <v>0</v>
      </c>
      <c r="AS15" s="301">
        <f t="shared" si="4"/>
        <v>0</v>
      </c>
      <c r="AT15" s="303">
        <f t="shared" si="4"/>
        <v>0</v>
      </c>
      <c r="AU15" s="299"/>
      <c r="AV15" s="299"/>
      <c r="AW15" s="299"/>
      <c r="AX15" s="299"/>
    </row>
    <row r="16" spans="2:62" x14ac:dyDescent="0.2">
      <c r="B16" s="217">
        <v>2</v>
      </c>
      <c r="C16" s="224" t="s">
        <v>11</v>
      </c>
      <c r="D16" s="218">
        <f>Baseline!AL41</f>
        <v>0.44584035626070379</v>
      </c>
      <c r="E16" s="218">
        <f>Baseline!AM41</f>
        <v>1.1220984695917575</v>
      </c>
      <c r="F16" s="218">
        <f>Baseline!AN41</f>
        <v>2.126471479242884</v>
      </c>
      <c r="G16" s="218">
        <f>Baseline!AO41</f>
        <v>4.0298432575873413</v>
      </c>
      <c r="H16" s="223">
        <f>Baseline!AP41</f>
        <v>10.142376948463733</v>
      </c>
      <c r="I16" s="218">
        <f>IF(D16+'Non-travel METs'!D16&gt;2.5, D16+'Non-travel METs'!D16, 0.1)</f>
        <v>37.945840356260703</v>
      </c>
      <c r="J16" s="218">
        <f>IF(E16+'Non-travel METs'!E16&gt;2.5, E16+'Non-travel METs'!E16, 0.1)</f>
        <v>38.622098469591755</v>
      </c>
      <c r="K16" s="218">
        <f>IF(F16+'Non-travel METs'!F16&gt;2.5, F16+'Non-travel METs'!F16, 0.1)</f>
        <v>39.62647147924288</v>
      </c>
      <c r="L16" s="218">
        <f>IF(G16+'Non-travel METs'!G16&gt;2.5, G16+'Non-travel METs'!G16, 0.1)</f>
        <v>41.529843257587345</v>
      </c>
      <c r="M16" s="223">
        <f>IF(H16+'Non-travel METs'!H16&gt;2.5, H16+'Non-travel METs'!H16, 0.1)</f>
        <v>47.642376948463735</v>
      </c>
      <c r="N16" s="268">
        <f>'Phy activity RRs'!$F$9</f>
        <v>0.94314906211536642</v>
      </c>
      <c r="O16" s="262">
        <f t="shared" si="10"/>
        <v>0.69729151624318697</v>
      </c>
      <c r="P16" s="262">
        <f t="shared" si="0"/>
        <v>0.69506470341573623</v>
      </c>
      <c r="Q16" s="262">
        <f t="shared" si="0"/>
        <v>0.69180602550663128</v>
      </c>
      <c r="R16" s="262">
        <f t="shared" si="0"/>
        <v>0.68578251644792521</v>
      </c>
      <c r="S16" s="273">
        <f t="shared" si="0"/>
        <v>0.66764361255935556</v>
      </c>
      <c r="T16" s="275"/>
      <c r="U16" s="275"/>
      <c r="V16" s="275"/>
      <c r="W16" s="275"/>
      <c r="X16" s="276"/>
      <c r="Y16" s="262">
        <f t="shared" si="6"/>
        <v>1</v>
      </c>
      <c r="Z16" s="262">
        <f t="shared" si="1"/>
        <v>0.99680648225945989</v>
      </c>
      <c r="AA16" s="262">
        <f t="shared" si="1"/>
        <v>0.99213314573779698</v>
      </c>
      <c r="AB16" s="262">
        <f t="shared" si="1"/>
        <v>0.98349470841511299</v>
      </c>
      <c r="AC16" s="273">
        <f t="shared" si="1"/>
        <v>0.95748133600769147</v>
      </c>
      <c r="AD16" s="290"/>
      <c r="AE16" s="290"/>
      <c r="AF16" s="214">
        <f>GBDUS!K102/(Y16+Z16+AA16+AB16+AC16)</f>
        <v>0</v>
      </c>
      <c r="AG16" s="214">
        <f t="shared" si="7"/>
        <v>0</v>
      </c>
      <c r="AH16" s="214">
        <f t="shared" si="2"/>
        <v>0</v>
      </c>
      <c r="AI16" s="214">
        <f t="shared" si="2"/>
        <v>0</v>
      </c>
      <c r="AJ16" s="292">
        <f t="shared" si="2"/>
        <v>0</v>
      </c>
      <c r="AK16" s="301">
        <f>GBDUS!L102/(Y16+Z16+AA16+AB16+AC16)</f>
        <v>0.61724507401323569</v>
      </c>
      <c r="AL16" s="301">
        <f t="shared" si="8"/>
        <v>0.61527389091911344</v>
      </c>
      <c r="AM16" s="301">
        <f t="shared" si="3"/>
        <v>0.6123892969719108</v>
      </c>
      <c r="AN16" s="301">
        <f t="shared" si="3"/>
        <v>0.60705726408731209</v>
      </c>
      <c r="AO16" s="303">
        <f t="shared" si="3"/>
        <v>0.5910006381103593</v>
      </c>
      <c r="AP16" s="301">
        <f>GBDUS!M102/(Y16+Z16+AA16+AB16+AC16)</f>
        <v>0</v>
      </c>
      <c r="AQ16" s="301">
        <f t="shared" si="9"/>
        <v>0</v>
      </c>
      <c r="AR16" s="301">
        <f t="shared" si="4"/>
        <v>0</v>
      </c>
      <c r="AS16" s="301">
        <f t="shared" si="4"/>
        <v>0</v>
      </c>
      <c r="AT16" s="303">
        <f t="shared" si="4"/>
        <v>0</v>
      </c>
      <c r="AU16" s="299"/>
      <c r="AV16" s="299"/>
      <c r="AW16" s="299"/>
      <c r="AX16" s="299"/>
    </row>
    <row r="17" spans="2:50" x14ac:dyDescent="0.2">
      <c r="B17" s="217">
        <v>2</v>
      </c>
      <c r="C17" s="224" t="s">
        <v>12</v>
      </c>
      <c r="D17" s="218">
        <f>Baseline!AL42</f>
        <v>0.37566343393324825</v>
      </c>
      <c r="E17" s="218">
        <f>Baseline!AM42</f>
        <v>0.94547601709611273</v>
      </c>
      <c r="F17" s="218">
        <f>Baseline!AN42</f>
        <v>1.7917569974001593</v>
      </c>
      <c r="G17" s="218">
        <f>Baseline!AO42</f>
        <v>3.3955310126138083</v>
      </c>
      <c r="H17" s="223">
        <f>Baseline!AP42</f>
        <v>8.5459292753600575</v>
      </c>
      <c r="I17" s="218">
        <f>IF(D17+'Non-travel METs'!D17&gt;2.5, D17+'Non-travel METs'!D17, 0.1)</f>
        <v>37.938996767266545</v>
      </c>
      <c r="J17" s="218">
        <f>IF(E17+'Non-travel METs'!E17&gt;2.5, E17+'Non-travel METs'!E17, 0.1)</f>
        <v>38.508809350429409</v>
      </c>
      <c r="K17" s="218">
        <f>IF(F17+'Non-travel METs'!F17&gt;2.5, F17+'Non-travel METs'!F17, 0.1)</f>
        <v>39.355090330733454</v>
      </c>
      <c r="L17" s="218">
        <f>IF(G17+'Non-travel METs'!G17&gt;2.5, G17+'Non-travel METs'!G17, 0.1)</f>
        <v>40.958864345947106</v>
      </c>
      <c r="M17" s="223">
        <f>IF(H17+'Non-travel METs'!H17&gt;2.5, H17+'Non-travel METs'!H17, 0.1)</f>
        <v>46.109262608693356</v>
      </c>
      <c r="N17" s="268">
        <f>'Phy activity RRs'!$F$9</f>
        <v>0.94314906211536642</v>
      </c>
      <c r="O17" s="262">
        <f t="shared" si="10"/>
        <v>0.69731418868699069</v>
      </c>
      <c r="P17" s="262">
        <f t="shared" si="0"/>
        <v>0.69543588441999526</v>
      </c>
      <c r="Q17" s="262">
        <f t="shared" si="0"/>
        <v>0.69268090198458854</v>
      </c>
      <c r="R17" s="262">
        <f t="shared" si="0"/>
        <v>0.68756919913628045</v>
      </c>
      <c r="S17" s="273">
        <f t="shared" si="0"/>
        <v>0.67203335100279427</v>
      </c>
      <c r="T17" s="275"/>
      <c r="U17" s="275"/>
      <c r="V17" s="275"/>
      <c r="W17" s="275"/>
      <c r="X17" s="276"/>
      <c r="Y17" s="262">
        <f t="shared" si="6"/>
        <v>1</v>
      </c>
      <c r="Z17" s="262">
        <f t="shared" si="1"/>
        <v>0.99730637308480385</v>
      </c>
      <c r="AA17" s="262">
        <f t="shared" si="1"/>
        <v>0.99335552498777291</v>
      </c>
      <c r="AB17" s="262">
        <f t="shared" si="1"/>
        <v>0.98602496592094369</v>
      </c>
      <c r="AC17" s="273">
        <f t="shared" si="1"/>
        <v>0.96374541333828434</v>
      </c>
      <c r="AD17" s="290"/>
      <c r="AE17" s="290"/>
      <c r="AF17" s="214">
        <f>GBDUS!K103/(Y17+Z17+AA17+AB17+AC17)</f>
        <v>0</v>
      </c>
      <c r="AG17" s="214">
        <f t="shared" si="7"/>
        <v>0</v>
      </c>
      <c r="AH17" s="214">
        <f t="shared" si="2"/>
        <v>0</v>
      </c>
      <c r="AI17" s="214">
        <f t="shared" si="2"/>
        <v>0</v>
      </c>
      <c r="AJ17" s="292">
        <f t="shared" si="2"/>
        <v>0</v>
      </c>
      <c r="AK17" s="301">
        <f>GBDUS!L103/(Y17+Z17+AA17+AB17+AC17)</f>
        <v>0.90018988642088704</v>
      </c>
      <c r="AL17" s="301">
        <f t="shared" si="8"/>
        <v>0.89776511071403642</v>
      </c>
      <c r="AM17" s="301">
        <f t="shared" si="3"/>
        <v>0.8942085972143039</v>
      </c>
      <c r="AN17" s="301">
        <f t="shared" si="3"/>
        <v>0.88760970208053336</v>
      </c>
      <c r="AO17" s="303">
        <f t="shared" si="3"/>
        <v>0.86755387417164098</v>
      </c>
      <c r="AP17" s="301">
        <f>GBDUS!M103/(Y17+Z17+AA17+AB17+AC17)</f>
        <v>0.20533670493718831</v>
      </c>
      <c r="AQ17" s="301">
        <f t="shared" si="9"/>
        <v>0.20478360446209182</v>
      </c>
      <c r="AR17" s="301">
        <f t="shared" si="4"/>
        <v>0.20397235033214012</v>
      </c>
      <c r="AS17" s="301">
        <f t="shared" si="4"/>
        <v>0.20246711748800997</v>
      </c>
      <c r="AT17" s="303">
        <f t="shared" si="4"/>
        <v>0.19789230757321188</v>
      </c>
      <c r="AU17" s="299"/>
      <c r="AV17" s="299"/>
      <c r="AW17" s="299"/>
      <c r="AX17" s="299"/>
    </row>
    <row r="18" spans="2:50" x14ac:dyDescent="0.2">
      <c r="B18" s="217">
        <v>2</v>
      </c>
      <c r="C18" s="224" t="s">
        <v>13</v>
      </c>
      <c r="D18" s="218">
        <f>Baseline!AL43</f>
        <v>0.28130171216737176</v>
      </c>
      <c r="E18" s="218">
        <f>Baseline!AM43</f>
        <v>0.70798485665118815</v>
      </c>
      <c r="F18" s="218">
        <f>Baseline!AN43</f>
        <v>1.3416911672220251</v>
      </c>
      <c r="G18" s="218">
        <f>Baseline!AO43</f>
        <v>2.5426182089774487</v>
      </c>
      <c r="H18" s="223">
        <f>Baseline!AP43</f>
        <v>6.3993040580234215</v>
      </c>
      <c r="I18" s="218">
        <f>IF(D18+'Non-travel METs'!D18&gt;2.5, D18+'Non-travel METs'!D18, 0.1)</f>
        <v>38.034635045500671</v>
      </c>
      <c r="J18" s="218">
        <f>IF(E18+'Non-travel METs'!E18&gt;2.5, E18+'Non-travel METs'!E18, 0.1)</f>
        <v>38.461318189984489</v>
      </c>
      <c r="K18" s="218">
        <f>IF(F18+'Non-travel METs'!F18&gt;2.5, F18+'Non-travel METs'!F18, 0.1)</f>
        <v>39.095024500555326</v>
      </c>
      <c r="L18" s="218">
        <f>IF(G18+'Non-travel METs'!G18&gt;2.5, G18+'Non-travel METs'!G18, 0.1)</f>
        <v>40.295951542310753</v>
      </c>
      <c r="M18" s="223">
        <f>IF(H18+'Non-travel METs'!H18&gt;2.5, H18+'Non-travel METs'!H18, 0.1)</f>
        <v>44.15263739135672</v>
      </c>
      <c r="N18" s="268">
        <f>'Phy activity RRs'!$F$9</f>
        <v>0.94314906211536642</v>
      </c>
      <c r="O18" s="262">
        <f t="shared" si="10"/>
        <v>0.69699759608521428</v>
      </c>
      <c r="P18" s="262">
        <f t="shared" si="0"/>
        <v>0.69559170611413446</v>
      </c>
      <c r="Q18" s="262">
        <f t="shared" si="0"/>
        <v>0.6935231785137943</v>
      </c>
      <c r="R18" s="262">
        <f t="shared" si="0"/>
        <v>0.68966516140171841</v>
      </c>
      <c r="S18" s="273">
        <f t="shared" si="0"/>
        <v>0.67778635318712832</v>
      </c>
      <c r="T18" s="275"/>
      <c r="U18" s="275"/>
      <c r="V18" s="275"/>
      <c r="W18" s="275"/>
      <c r="X18" s="276"/>
      <c r="Y18" s="262">
        <f t="shared" si="6"/>
        <v>1</v>
      </c>
      <c r="Z18" s="262">
        <f t="shared" si="1"/>
        <v>0.99798293426121376</v>
      </c>
      <c r="AA18" s="262">
        <f t="shared" si="1"/>
        <v>0.99501516563194115</v>
      </c>
      <c r="AB18" s="262">
        <f t="shared" si="1"/>
        <v>0.98947997134469401</v>
      </c>
      <c r="AC18" s="273">
        <f t="shared" si="1"/>
        <v>0.97243714611644483</v>
      </c>
      <c r="AD18" s="290"/>
      <c r="AE18" s="290"/>
      <c r="AF18" s="214">
        <f>GBDUS!K104/(Y18+Z18+AA18+AB18+AC18)</f>
        <v>0</v>
      </c>
      <c r="AG18" s="214">
        <f t="shared" si="7"/>
        <v>0</v>
      </c>
      <c r="AH18" s="214">
        <f t="shared" si="2"/>
        <v>0</v>
      </c>
      <c r="AI18" s="214">
        <f t="shared" si="2"/>
        <v>0</v>
      </c>
      <c r="AJ18" s="292">
        <f t="shared" si="2"/>
        <v>0</v>
      </c>
      <c r="AK18" s="301">
        <f>GBDUS!L104/(Y18+Z18+AA18+AB18+AC18)</f>
        <v>8.0572015347713055</v>
      </c>
      <c r="AL18" s="301">
        <f t="shared" si="8"/>
        <v>8.0409496296050218</v>
      </c>
      <c r="AM18" s="301">
        <f t="shared" si="3"/>
        <v>8.0170377196504017</v>
      </c>
      <c r="AN18" s="301">
        <f t="shared" si="3"/>
        <v>7.9724395437439357</v>
      </c>
      <c r="AO18" s="303">
        <f t="shared" si="3"/>
        <v>7.8351220661580472</v>
      </c>
      <c r="AP18" s="301">
        <f>GBDUS!M104/(Y18+Z18+AA18+AB18+AC18)</f>
        <v>16.933297379718734</v>
      </c>
      <c r="AQ18" s="301">
        <f t="shared" si="9"/>
        <v>16.899141805729425</v>
      </c>
      <c r="AR18" s="301">
        <f t="shared" si="4"/>
        <v>16.848887696975751</v>
      </c>
      <c r="AS18" s="301">
        <f t="shared" si="4"/>
        <v>16.755158606055275</v>
      </c>
      <c r="AT18" s="303">
        <f t="shared" si="4"/>
        <v>16.46656737827476</v>
      </c>
      <c r="AU18" s="299"/>
      <c r="AV18" s="299"/>
      <c r="AW18" s="299"/>
      <c r="AX18" s="299"/>
    </row>
    <row r="19" spans="2:50" x14ac:dyDescent="0.2">
      <c r="B19" s="217">
        <v>2</v>
      </c>
      <c r="C19" s="224" t="s">
        <v>14</v>
      </c>
      <c r="D19" s="218">
        <f>Baseline!AL44</f>
        <v>0.18531571150483678</v>
      </c>
      <c r="E19" s="218">
        <f>Baseline!AM44</f>
        <v>0.46640568389751447</v>
      </c>
      <c r="F19" s="218">
        <f>Baseline!AN44</f>
        <v>0.88387820805572703</v>
      </c>
      <c r="G19" s="218">
        <f>Baseline!AO44</f>
        <v>1.6750239408477468</v>
      </c>
      <c r="H19" s="223">
        <f>Baseline!AP44</f>
        <v>4.2157282851616866</v>
      </c>
      <c r="I19" s="218">
        <f>IF(D19+'Non-travel METs'!D19&gt;2.5, D19+'Non-travel METs'!D19, 0.1)</f>
        <v>9.1853157115048365</v>
      </c>
      <c r="J19" s="218">
        <f>IF(E19+'Non-travel METs'!E19&gt;2.5, E19+'Non-travel METs'!E19, 0.1)</f>
        <v>9.4664056838975146</v>
      </c>
      <c r="K19" s="218">
        <f>IF(F19+'Non-travel METs'!F19&gt;2.5, F19+'Non-travel METs'!F19, 0.1)</f>
        <v>9.8838782080557266</v>
      </c>
      <c r="L19" s="218">
        <f>IF(G19+'Non-travel METs'!G19&gt;2.5, G19+'Non-travel METs'!G19, 0.1)</f>
        <v>10.675023940847748</v>
      </c>
      <c r="M19" s="223">
        <f>IF(H19+'Non-travel METs'!H19&gt;2.5, H19+'Non-travel METs'!H19, 0.1)</f>
        <v>13.215728285161687</v>
      </c>
      <c r="N19" s="268">
        <f>'Phy activity RRs'!$F$9</f>
        <v>0.94314906211536642</v>
      </c>
      <c r="O19" s="262">
        <f t="shared" si="10"/>
        <v>0.83745195653801596</v>
      </c>
      <c r="P19" s="262">
        <f t="shared" si="0"/>
        <v>0.83519904688098889</v>
      </c>
      <c r="Q19" s="262">
        <f t="shared" si="0"/>
        <v>0.83192475588339021</v>
      </c>
      <c r="R19" s="262">
        <f t="shared" si="0"/>
        <v>0.82593755243448364</v>
      </c>
      <c r="S19" s="273">
        <f t="shared" si="0"/>
        <v>0.80833386413067776</v>
      </c>
      <c r="T19" s="275"/>
      <c r="U19" s="275"/>
      <c r="V19" s="275"/>
      <c r="W19" s="275"/>
      <c r="X19" s="276"/>
      <c r="Y19" s="262">
        <f t="shared" si="6"/>
        <v>1</v>
      </c>
      <c r="Z19" s="262">
        <f t="shared" si="1"/>
        <v>0.99730980429451677</v>
      </c>
      <c r="AA19" s="262">
        <f t="shared" si="1"/>
        <v>0.99339997881493414</v>
      </c>
      <c r="AB19" s="262">
        <f t="shared" si="1"/>
        <v>0.98625066905195102</v>
      </c>
      <c r="AC19" s="273">
        <f t="shared" si="1"/>
        <v>0.96523013388408463</v>
      </c>
      <c r="AD19" s="290"/>
      <c r="AE19" s="290"/>
      <c r="AF19" s="214">
        <f>GBDUS!K105/(Y19+Z19+AA19+AB19+AC19)</f>
        <v>1.0116971235625234</v>
      </c>
      <c r="AG19" s="214">
        <f t="shared" si="7"/>
        <v>1.0089754603054657</v>
      </c>
      <c r="AH19" s="214">
        <f t="shared" si="2"/>
        <v>1.0050199011141405</v>
      </c>
      <c r="AI19" s="214">
        <f t="shared" si="2"/>
        <v>0.99778696499147301</v>
      </c>
      <c r="AJ19" s="292">
        <f t="shared" si="2"/>
        <v>0.97652055002639782</v>
      </c>
      <c r="AK19" s="301">
        <f>GBDUS!L105/(Y19+Z19+AA19+AB19+AC19)</f>
        <v>22.768986162885227</v>
      </c>
      <c r="AL19" s="301">
        <f t="shared" si="8"/>
        <v>22.707733134091626</v>
      </c>
      <c r="AM19" s="301">
        <f t="shared" si="3"/>
        <v>22.618710371847712</v>
      </c>
      <c r="AN19" s="301">
        <f t="shared" si="3"/>
        <v>22.45592783678017</v>
      </c>
      <c r="AO19" s="303">
        <f t="shared" si="3"/>
        <v>21.977311562406577</v>
      </c>
      <c r="AP19" s="301">
        <f>GBDUS!M105/(Y19+Z19+AA19+AB19+AC19)</f>
        <v>23.97950037252421</v>
      </c>
      <c r="AQ19" s="301">
        <f t="shared" si="9"/>
        <v>23.914990823602412</v>
      </c>
      <c r="AR19" s="301">
        <f t="shared" si="4"/>
        <v>23.821235162058255</v>
      </c>
      <c r="AS19" s="301">
        <f t="shared" si="4"/>
        <v>23.64979828593351</v>
      </c>
      <c r="AT19" s="303">
        <f t="shared" si="4"/>
        <v>23.145736355045003</v>
      </c>
      <c r="AU19" s="299"/>
      <c r="AV19" s="299"/>
      <c r="AW19" s="299"/>
      <c r="AX19" s="299"/>
    </row>
    <row r="20" spans="2:50" x14ac:dyDescent="0.2">
      <c r="B20" s="217">
        <v>2</v>
      </c>
      <c r="C20" s="224" t="s">
        <v>15</v>
      </c>
      <c r="D20" s="218">
        <f>Baseline!AL45</f>
        <v>0.11712988000202922</v>
      </c>
      <c r="E20" s="218">
        <f>Baseline!AM45</f>
        <v>0.29479444210942879</v>
      </c>
      <c r="F20" s="218">
        <f>Baseline!AN45</f>
        <v>0.55866039422822378</v>
      </c>
      <c r="G20" s="218">
        <f>Baseline!AO45</f>
        <v>1.0587086847566183</v>
      </c>
      <c r="H20" s="223">
        <f>Baseline!AP45</f>
        <v>2.6645757348494454</v>
      </c>
      <c r="I20" s="218">
        <f>IF(D20+'Non-travel METs'!D20&gt;2.5, D20+'Non-travel METs'!D20, 0.1)</f>
        <v>0.1</v>
      </c>
      <c r="J20" s="218">
        <f>IF(E20+'Non-travel METs'!E20&gt;2.5, E20+'Non-travel METs'!E20, 0.1)</f>
        <v>0.1</v>
      </c>
      <c r="K20" s="218">
        <f>IF(F20+'Non-travel METs'!F20&gt;2.5, F20+'Non-travel METs'!F20, 0.1)</f>
        <v>0.1</v>
      </c>
      <c r="L20" s="218">
        <f>IF(G20+'Non-travel METs'!G20&gt;2.5, G20+'Non-travel METs'!G20, 0.1)</f>
        <v>0.1</v>
      </c>
      <c r="M20" s="223">
        <f>IF(H20+'Non-travel METs'!H20&gt;2.5, H20+'Non-travel METs'!H20, 0.1)</f>
        <v>3.1645757348494454</v>
      </c>
      <c r="N20" s="268">
        <f>'Phy activity RRs'!$F$9</f>
        <v>0.94314906211536642</v>
      </c>
      <c r="O20" s="262">
        <f t="shared" si="10"/>
        <v>0.98166113424264856</v>
      </c>
      <c r="P20" s="262">
        <f t="shared" si="0"/>
        <v>0.98166113424264856</v>
      </c>
      <c r="Q20" s="262">
        <f t="shared" si="0"/>
        <v>0.98166113424264856</v>
      </c>
      <c r="R20" s="262">
        <f t="shared" si="0"/>
        <v>0.98166113424264856</v>
      </c>
      <c r="S20" s="273">
        <f t="shared" si="0"/>
        <v>0.90111519930208117</v>
      </c>
      <c r="T20" s="275"/>
      <c r="U20" s="275"/>
      <c r="V20" s="275"/>
      <c r="W20" s="275"/>
      <c r="X20" s="276"/>
      <c r="Y20" s="262">
        <f t="shared" si="6"/>
        <v>1</v>
      </c>
      <c r="Z20" s="262">
        <f t="shared" si="1"/>
        <v>1</v>
      </c>
      <c r="AA20" s="262">
        <f t="shared" si="1"/>
        <v>1</v>
      </c>
      <c r="AB20" s="262">
        <f t="shared" si="1"/>
        <v>1</v>
      </c>
      <c r="AC20" s="273">
        <f t="shared" si="1"/>
        <v>0.91794934918890458</v>
      </c>
      <c r="AD20" s="290"/>
      <c r="AE20" s="290"/>
      <c r="AF20" s="214">
        <f>GBDUS!K106/(Y20+Z20+AA20+AB20+AC20)</f>
        <v>5.0834195769265369</v>
      </c>
      <c r="AG20" s="214">
        <f t="shared" si="7"/>
        <v>5.0834195769265369</v>
      </c>
      <c r="AH20" s="214">
        <f t="shared" si="2"/>
        <v>5.0834195769265369</v>
      </c>
      <c r="AI20" s="214">
        <f t="shared" si="2"/>
        <v>5.0834195769265369</v>
      </c>
      <c r="AJ20" s="292">
        <f t="shared" si="2"/>
        <v>4.6663216922938515</v>
      </c>
      <c r="AK20" s="301">
        <f>GBDUS!L106/(Y20+Z20+AA20+AB20+AC20)</f>
        <v>71.02250566279703</v>
      </c>
      <c r="AL20" s="301">
        <f t="shared" si="8"/>
        <v>71.02250566279703</v>
      </c>
      <c r="AM20" s="301">
        <f t="shared" si="3"/>
        <v>71.02250566279703</v>
      </c>
      <c r="AN20" s="301">
        <f t="shared" si="3"/>
        <v>71.02250566279703</v>
      </c>
      <c r="AO20" s="303">
        <f t="shared" si="3"/>
        <v>65.19506285092983</v>
      </c>
      <c r="AP20" s="301">
        <f>GBDUS!M106/(Y20+Z20+AA20+AB20+AC20)</f>
        <v>45.478869469452881</v>
      </c>
      <c r="AQ20" s="301">
        <f t="shared" si="9"/>
        <v>45.478869469452881</v>
      </c>
      <c r="AR20" s="301">
        <f t="shared" si="4"/>
        <v>45.478869469452881</v>
      </c>
      <c r="AS20" s="301">
        <f t="shared" si="4"/>
        <v>45.478869469452881</v>
      </c>
      <c r="AT20" s="303">
        <f t="shared" si="4"/>
        <v>41.747298631331418</v>
      </c>
      <c r="AU20" s="299"/>
      <c r="AV20" s="299"/>
      <c r="AW20" s="299"/>
      <c r="AX20" s="299"/>
    </row>
    <row r="21" spans="2:50" x14ac:dyDescent="0.2">
      <c r="B21" s="226">
        <v>2</v>
      </c>
      <c r="C21" s="227" t="s">
        <v>16</v>
      </c>
      <c r="D21" s="228">
        <f>Baseline!AL46</f>
        <v>0.14687937172795515</v>
      </c>
      <c r="E21" s="228">
        <f>Baseline!AM46</f>
        <v>0.36966846073073589</v>
      </c>
      <c r="F21" s="228">
        <f>Baseline!AN46</f>
        <v>0.70055299051029241</v>
      </c>
      <c r="G21" s="228">
        <f>Baseline!AO46</f>
        <v>1.3276071524813979</v>
      </c>
      <c r="H21" s="229">
        <f>Baseline!AP46</f>
        <v>3.3413438983243293</v>
      </c>
      <c r="I21" s="230">
        <f>IF(D21+'Non-travel METs'!D21&gt;2.5, D21+'Non-travel METs'!D21, 0.1)</f>
        <v>0.1</v>
      </c>
      <c r="J21" s="228">
        <f>IF(E21+'Non-travel METs'!E21&gt;2.5, E21+'Non-travel METs'!E21, 0.1)</f>
        <v>0.1</v>
      </c>
      <c r="K21" s="228">
        <f>IF(F21+'Non-travel METs'!F21&gt;2.5, F21+'Non-travel METs'!F21, 0.1)</f>
        <v>0.1</v>
      </c>
      <c r="L21" s="228">
        <f>IF(G21+'Non-travel METs'!G21&gt;2.5, G21+'Non-travel METs'!G21, 0.1)</f>
        <v>0.1</v>
      </c>
      <c r="M21" s="229">
        <f>IF(H21+'Non-travel METs'!H21&gt;2.5, H21+'Non-travel METs'!H21, 0.1)</f>
        <v>3.4246772316576628</v>
      </c>
      <c r="N21" s="268">
        <f>'Phy activity RRs'!$F$9</f>
        <v>0.94314906211536642</v>
      </c>
      <c r="O21" s="264">
        <f t="shared" si="10"/>
        <v>0.98166113424264856</v>
      </c>
      <c r="P21" s="264">
        <f t="shared" si="0"/>
        <v>0.98166113424264856</v>
      </c>
      <c r="Q21" s="264">
        <f t="shared" si="0"/>
        <v>0.98166113424264856</v>
      </c>
      <c r="R21" s="264">
        <f t="shared" si="0"/>
        <v>0.98166113424264856</v>
      </c>
      <c r="S21" s="274">
        <f t="shared" si="0"/>
        <v>0.89734339037344346</v>
      </c>
      <c r="T21" s="277"/>
      <c r="U21" s="278"/>
      <c r="V21" s="278"/>
      <c r="W21" s="278"/>
      <c r="X21" s="279"/>
      <c r="Y21" s="287">
        <f t="shared" si="6"/>
        <v>1</v>
      </c>
      <c r="Z21" s="264">
        <f t="shared" si="1"/>
        <v>1</v>
      </c>
      <c r="AA21" s="264">
        <f t="shared" si="1"/>
        <v>1</v>
      </c>
      <c r="AB21" s="264">
        <f t="shared" si="1"/>
        <v>1</v>
      </c>
      <c r="AC21" s="274">
        <f t="shared" si="1"/>
        <v>0.91410707735286245</v>
      </c>
      <c r="AD21" s="290"/>
      <c r="AE21" s="291"/>
      <c r="AF21" s="293">
        <f>GBDUS!K107/(Y21+Z21+AA21+AB21+AC21)</f>
        <v>22.384534620123691</v>
      </c>
      <c r="AG21" s="294">
        <f t="shared" si="7"/>
        <v>22.384534620123691</v>
      </c>
      <c r="AH21" s="294">
        <f t="shared" si="2"/>
        <v>22.384534620123691</v>
      </c>
      <c r="AI21" s="294">
        <f t="shared" si="2"/>
        <v>22.384534620123691</v>
      </c>
      <c r="AJ21" s="295">
        <f t="shared" si="2"/>
        <v>20.461861519505234</v>
      </c>
      <c r="AK21" s="304">
        <f>GBDUS!L107/(Y21+Z21+AA21+AB21+AC21)</f>
        <v>122.56871196322398</v>
      </c>
      <c r="AL21" s="305">
        <f t="shared" si="8"/>
        <v>122.56871196322398</v>
      </c>
      <c r="AM21" s="305">
        <f t="shared" si="3"/>
        <v>122.56871196322398</v>
      </c>
      <c r="AN21" s="305">
        <f t="shared" si="3"/>
        <v>122.56871196322398</v>
      </c>
      <c r="AO21" s="306">
        <f t="shared" si="3"/>
        <v>112.0409270676075</v>
      </c>
      <c r="AP21" s="304">
        <f>GBDUS!M107/(Y21+Z21+AA21+AB21+AC21)</f>
        <v>81.437168283480915</v>
      </c>
      <c r="AQ21" s="305">
        <f t="shared" si="9"/>
        <v>81.437168283480915</v>
      </c>
      <c r="AR21" s="305">
        <f t="shared" si="4"/>
        <v>81.437168283480915</v>
      </c>
      <c r="AS21" s="305">
        <f t="shared" si="4"/>
        <v>81.437168283480915</v>
      </c>
      <c r="AT21" s="306">
        <f t="shared" si="4"/>
        <v>74.442291887505959</v>
      </c>
      <c r="AU21" s="300"/>
      <c r="AV21" s="300"/>
      <c r="AW21" s="300"/>
      <c r="AX21" s="300"/>
    </row>
    <row r="22" spans="2:50" x14ac:dyDescent="0.2">
      <c r="B22" s="212"/>
      <c r="C22" s="212"/>
      <c r="AD22" s="288"/>
      <c r="AK22" s="215"/>
      <c r="AL22" s="215"/>
      <c r="AM22" s="215"/>
      <c r="AN22" s="215"/>
      <c r="AO22" s="215"/>
    </row>
    <row r="23" spans="2:50" x14ac:dyDescent="0.2">
      <c r="B23" s="338" t="s">
        <v>70</v>
      </c>
      <c r="C23" s="319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320"/>
      <c r="AL23" s="320"/>
      <c r="AM23" s="320"/>
      <c r="AN23" s="320"/>
      <c r="AO23" s="320"/>
      <c r="AP23" s="280"/>
      <c r="AQ23" s="280"/>
      <c r="AR23" s="280"/>
      <c r="AS23" s="280"/>
      <c r="AT23" s="280"/>
      <c r="AU23" s="280"/>
      <c r="AV23" s="280"/>
      <c r="AW23" s="280"/>
      <c r="AX23" s="280"/>
    </row>
    <row r="24" spans="2:50" x14ac:dyDescent="0.2">
      <c r="B24" s="212">
        <v>1</v>
      </c>
      <c r="C24" s="325" t="s">
        <v>9</v>
      </c>
      <c r="D24" s="215">
        <f>Scenario!AL31</f>
        <v>0.37643845197996767</v>
      </c>
      <c r="E24" s="215">
        <f>Scenario!AM31</f>
        <v>0.9454633575841902</v>
      </c>
      <c r="F24" s="215">
        <f>Scenario!AN31</f>
        <v>1.7891607181870568</v>
      </c>
      <c r="G24" s="215">
        <f>Scenario!AO31</f>
        <v>3.3857431383516916</v>
      </c>
      <c r="H24" s="321">
        <f>Scenario!AP31</f>
        <v>8.5036373374364302</v>
      </c>
      <c r="I24" s="218">
        <f>IF(D24+'Non-travel METs'!D25&gt;2.5, D24+'Non-travel METs'!D25, 0.1)</f>
        <v>0.1</v>
      </c>
      <c r="J24" s="218">
        <f>IF(E24+'Non-travel METs'!E25&gt;2.5, E24+'Non-travel METs'!E25, 0.1)</f>
        <v>0.1</v>
      </c>
      <c r="K24" s="218">
        <f>IF(F24+'Non-travel METs'!F25&gt;2.5, F24+'Non-travel METs'!F25, 0.1)</f>
        <v>0.1</v>
      </c>
      <c r="L24" s="218">
        <f>IF(G24+'Non-travel METs'!G25&gt;2.5, G24+'Non-travel METs'!G25, 0.1)</f>
        <v>3.3857431383516916</v>
      </c>
      <c r="M24" s="223">
        <f>IF(H24+'Non-travel METs'!H25&gt;2.5, H24+'Non-travel METs'!H25, 0.1)</f>
        <v>8.5036373374364302</v>
      </c>
      <c r="N24" s="268">
        <f>'Phy activity RRs'!$F$9</f>
        <v>0.94314906211536642</v>
      </c>
      <c r="O24" s="215">
        <f>$N24^(I24^0.5)</f>
        <v>0.98166113424264856</v>
      </c>
      <c r="P24" s="215">
        <f t="shared" ref="P24:S39" si="11">$N24^(J24^0.5)</f>
        <v>0.98166113424264856</v>
      </c>
      <c r="Q24" s="215">
        <f t="shared" si="11"/>
        <v>0.98166113424264856</v>
      </c>
      <c r="R24" s="215">
        <f t="shared" si="11"/>
        <v>0.89789764345024847</v>
      </c>
      <c r="S24" s="321">
        <f t="shared" si="11"/>
        <v>0.84308959503255942</v>
      </c>
      <c r="T24" s="296">
        <f>O24/O6</f>
        <v>1</v>
      </c>
      <c r="U24" s="296">
        <f t="shared" ref="U24:X39" si="12">P24/P6</f>
        <v>1</v>
      </c>
      <c r="V24" s="296">
        <f t="shared" si="12"/>
        <v>1</v>
      </c>
      <c r="W24" s="296">
        <f t="shared" si="12"/>
        <v>0.99518961873799217</v>
      </c>
      <c r="X24" s="328">
        <f t="shared" si="12"/>
        <v>0.99255513551153185</v>
      </c>
      <c r="Y24" s="296">
        <f>O24/$O24</f>
        <v>1</v>
      </c>
      <c r="Z24" s="296">
        <f t="shared" ref="Z24:AC39" si="13">P24/$O24</f>
        <v>1</v>
      </c>
      <c r="AA24" s="296">
        <f t="shared" si="13"/>
        <v>1</v>
      </c>
      <c r="AB24" s="296">
        <f t="shared" si="13"/>
        <v>0.91467168468778826</v>
      </c>
      <c r="AC24" s="328">
        <f t="shared" si="13"/>
        <v>0.85883974176384492</v>
      </c>
      <c r="AD24" s="333">
        <f>(5-SUM(T24:X24))/5</f>
        <v>2.4510491500951302E-3</v>
      </c>
      <c r="AE24" s="334">
        <f>1-AD24</f>
        <v>0.99754895084990491</v>
      </c>
      <c r="AF24" s="214">
        <f>AE24*GBDUS!K92/(Y24+Z24+AA24+AB24+AC24)</f>
        <v>0</v>
      </c>
      <c r="AG24" s="214">
        <f>$AF24*Z24</f>
        <v>0</v>
      </c>
      <c r="AH24" s="214">
        <f t="shared" ref="AH24:AJ39" si="14">$AF24*AA24</f>
        <v>0</v>
      </c>
      <c r="AI24" s="214">
        <f t="shared" si="14"/>
        <v>0</v>
      </c>
      <c r="AJ24" s="292">
        <f t="shared" si="14"/>
        <v>0</v>
      </c>
      <c r="AK24" s="301">
        <f>AE24*GBDUS!L92/(Y24+Z24+AA24+AB24+AC24)</f>
        <v>0</v>
      </c>
      <c r="AL24" s="301">
        <f>$AK24*Z24</f>
        <v>0</v>
      </c>
      <c r="AM24" s="301">
        <f t="shared" ref="AM24:AO39" si="15">$AK24*AA24</f>
        <v>0</v>
      </c>
      <c r="AN24" s="301">
        <f t="shared" si="15"/>
        <v>0</v>
      </c>
      <c r="AO24" s="303">
        <f t="shared" si="15"/>
        <v>0</v>
      </c>
      <c r="AP24" s="301">
        <f>AE24*GBDUS!M92/(Y24+Z24+AA24+AB24+AC24)</f>
        <v>0</v>
      </c>
      <c r="AQ24" s="301">
        <f>$AP24*Z24</f>
        <v>0</v>
      </c>
      <c r="AR24" s="301">
        <f t="shared" ref="AR24:AT39" si="16">$AP24*AA24</f>
        <v>0</v>
      </c>
      <c r="AS24" s="301">
        <f t="shared" si="16"/>
        <v>0</v>
      </c>
      <c r="AT24" s="303">
        <f t="shared" si="16"/>
        <v>0</v>
      </c>
      <c r="AU24" s="262">
        <f>SUM(AF24:AJ24)-SUM(AF6:AJ6)</f>
        <v>0</v>
      </c>
      <c r="AV24" s="261">
        <f>SUM(AK24:AO24)-SUM(AK6:AO6)</f>
        <v>0</v>
      </c>
      <c r="AW24" s="262">
        <f>SUM(AP24:AT24)-SUM(AP6:AT6)</f>
        <v>0</v>
      </c>
      <c r="AX24" s="262">
        <f>AV24+AW24</f>
        <v>0</v>
      </c>
    </row>
    <row r="25" spans="2:50" x14ac:dyDescent="0.2">
      <c r="B25" s="212">
        <v>1</v>
      </c>
      <c r="C25" s="325" t="s">
        <v>10</v>
      </c>
      <c r="D25" s="215">
        <f>Scenario!AL32</f>
        <v>0.76131359914254593</v>
      </c>
      <c r="E25" s="215">
        <f>Scenario!AM32</f>
        <v>1.912116330927107</v>
      </c>
      <c r="F25" s="215">
        <f>Scenario!AN32</f>
        <v>3.6184199001007888</v>
      </c>
      <c r="G25" s="369">
        <f>Scenario!AO32</f>
        <v>6.8473671615456384</v>
      </c>
      <c r="H25" s="321">
        <f>Scenario!AP32</f>
        <v>17.19785721441437</v>
      </c>
      <c r="I25" s="218">
        <f>IF(D25+'Non-travel METs'!D26&gt;2.5, D25+'Non-travel METs'!D26, 0.1)</f>
        <v>0.1</v>
      </c>
      <c r="J25" s="218">
        <f>IF(E25+'Non-travel METs'!E26&gt;2.5, E25+'Non-travel METs'!E26, 0.1)</f>
        <v>0.1</v>
      </c>
      <c r="K25" s="218">
        <f>IF(F25+'Non-travel METs'!F26&gt;2.5, F25+'Non-travel METs'!F26, 0.1)</f>
        <v>3.6184199001007888</v>
      </c>
      <c r="L25" s="218">
        <f>IF(G25+'Non-travel METs'!G26&gt;2.5, G25+'Non-travel METs'!G26, 0.1)</f>
        <v>6.8473671615456384</v>
      </c>
      <c r="M25" s="223">
        <f>IF(H25+'Non-travel METs'!H26&gt;2.5, H25+'Non-travel METs'!H26, 0.1)</f>
        <v>17.19785721441437</v>
      </c>
      <c r="N25" s="268">
        <f>'Phy activity RRs'!$F$9</f>
        <v>0.94314906211536642</v>
      </c>
      <c r="O25" s="215">
        <f t="shared" ref="O25:O39" si="17">$N25^(I25^0.5)</f>
        <v>0.98166113424264856</v>
      </c>
      <c r="P25" s="215">
        <f t="shared" si="11"/>
        <v>0.98166113424264856</v>
      </c>
      <c r="Q25" s="215">
        <f t="shared" si="11"/>
        <v>0.89463595761965842</v>
      </c>
      <c r="R25" s="215">
        <f t="shared" si="11"/>
        <v>0.85799184989652744</v>
      </c>
      <c r="S25" s="321">
        <f t="shared" si="11"/>
        <v>0.78448365201162706</v>
      </c>
      <c r="T25" s="296">
        <f t="shared" ref="T25:T39" si="18">O25/O7</f>
        <v>1</v>
      </c>
      <c r="U25" s="296">
        <f t="shared" si="12"/>
        <v>1</v>
      </c>
      <c r="V25" s="296">
        <f t="shared" si="12"/>
        <v>0.99632166571421432</v>
      </c>
      <c r="W25" s="296">
        <f t="shared" si="12"/>
        <v>0.99504934863104222</v>
      </c>
      <c r="X25" s="328">
        <f t="shared" si="12"/>
        <v>0.99240739602649419</v>
      </c>
      <c r="Y25" s="296">
        <f t="shared" ref="Y25:Y39" si="19">O25/$O25</f>
        <v>1</v>
      </c>
      <c r="Z25" s="296">
        <f t="shared" si="13"/>
        <v>1</v>
      </c>
      <c r="AA25" s="296">
        <f t="shared" si="13"/>
        <v>0.91134906579536734</v>
      </c>
      <c r="AB25" s="296">
        <f t="shared" si="13"/>
        <v>0.8740203925445903</v>
      </c>
      <c r="AC25" s="328">
        <f t="shared" si="13"/>
        <v>0.79913895401069956</v>
      </c>
      <c r="AD25" s="333">
        <f t="shared" ref="AD25:AD39" si="20">(5-SUM(T25:X25))/5</f>
        <v>3.2443179256498311E-3</v>
      </c>
      <c r="AE25" s="334">
        <f t="shared" ref="AE25:AE39" si="21">1-AD25</f>
        <v>0.99675568207435017</v>
      </c>
      <c r="AF25" s="214">
        <f>AE25*GBDUS!K93/(Y25+Z25+AA25+AB25+AC25)</f>
        <v>0</v>
      </c>
      <c r="AG25" s="214">
        <f t="shared" ref="AG25:AG39" si="22">$AF25*Z25</f>
        <v>0</v>
      </c>
      <c r="AH25" s="214">
        <f t="shared" si="14"/>
        <v>0</v>
      </c>
      <c r="AI25" s="214">
        <f t="shared" si="14"/>
        <v>0</v>
      </c>
      <c r="AJ25" s="292">
        <f t="shared" si="14"/>
        <v>0</v>
      </c>
      <c r="AK25" s="301">
        <f>AE25*GBDUS!L93/(Y25+Z25+AA25+AB25+AC25)</f>
        <v>1.1858305008023191</v>
      </c>
      <c r="AL25" s="301">
        <f t="shared" ref="AL25:AL39" si="23">$AK25*Z25</f>
        <v>1.1858305008023191</v>
      </c>
      <c r="AM25" s="301">
        <f t="shared" si="15"/>
        <v>1.0807055190978461</v>
      </c>
      <c r="AN25" s="301">
        <f t="shared" si="15"/>
        <v>1.036440039802591</v>
      </c>
      <c r="AO25" s="303">
        <f t="shared" si="15"/>
        <v>0.94764334604514933</v>
      </c>
      <c r="AP25" s="301">
        <f>AE25*GBDUS!M93/(Y25+Z25+AA25+AB25+AC25)</f>
        <v>0</v>
      </c>
      <c r="AQ25" s="301">
        <f t="shared" ref="AQ25:AQ39" si="24">$AP25*Z25</f>
        <v>0</v>
      </c>
      <c r="AR25" s="301">
        <f t="shared" si="16"/>
        <v>0</v>
      </c>
      <c r="AS25" s="301">
        <f t="shared" si="16"/>
        <v>0</v>
      </c>
      <c r="AT25" s="303">
        <f t="shared" si="16"/>
        <v>0</v>
      </c>
      <c r="AU25" s="262">
        <f t="shared" ref="AU25:AU39" si="25">SUM(AF25:AJ25)-SUM(AF7:AJ7)</f>
        <v>0</v>
      </c>
      <c r="AV25" s="261">
        <f t="shared" ref="AV25:AV39" si="26">SUM(AK25:AO25)-SUM(AK7:AO7)</f>
        <v>-1.7694980024606011E-2</v>
      </c>
      <c r="AW25" s="262">
        <f t="shared" ref="AW25:AW39" si="27">SUM(AP25:AT25)-SUM(AP7:AT7)</f>
        <v>0</v>
      </c>
      <c r="AX25" s="262">
        <f t="shared" ref="AX25:AX39" si="28">AV25+AW25</f>
        <v>-1.7694980024606011E-2</v>
      </c>
    </row>
    <row r="26" spans="2:50" x14ac:dyDescent="0.2">
      <c r="B26" s="212">
        <v>1</v>
      </c>
      <c r="C26" s="325" t="s">
        <v>11</v>
      </c>
      <c r="D26" s="215">
        <f>Scenario!AL33</f>
        <v>0.58511880095294533</v>
      </c>
      <c r="E26" s="215">
        <f>Scenario!AM33</f>
        <v>1.4695852222982959</v>
      </c>
      <c r="F26" s="215">
        <f>Scenario!AN33</f>
        <v>2.7809900094728652</v>
      </c>
      <c r="G26" s="215">
        <f>Scenario!AO33</f>
        <v>5.2626450752497185</v>
      </c>
      <c r="H26" s="321">
        <f>Scenario!AP33</f>
        <v>13.217666942494709</v>
      </c>
      <c r="I26" s="218">
        <f>IF(D26+'Non-travel METs'!D27&gt;2.5, D26+'Non-travel METs'!D27, 0.1)</f>
        <v>65.462618800952939</v>
      </c>
      <c r="J26" s="218">
        <f>IF(E26+'Non-travel METs'!E27&gt;2.5, E26+'Non-travel METs'!E27, 0.1)</f>
        <v>66.34708522229829</v>
      </c>
      <c r="K26" s="218">
        <f>IF(F26+'Non-travel METs'!F27&gt;2.5, F26+'Non-travel METs'!F27, 0.1)</f>
        <v>67.658490009472857</v>
      </c>
      <c r="L26" s="218">
        <f>IF(G26+'Non-travel METs'!G27&gt;2.5, G26+'Non-travel METs'!G27, 0.1)</f>
        <v>70.14014507524972</v>
      </c>
      <c r="M26" s="223">
        <f>IF(H26+'Non-travel METs'!H27&gt;2.5, H26+'Non-travel METs'!H27, 0.1)</f>
        <v>78.0951669424947</v>
      </c>
      <c r="N26" s="268">
        <f>'Phy activity RRs'!$F$9</f>
        <v>0.94314906211536642</v>
      </c>
      <c r="O26" s="215">
        <f t="shared" si="17"/>
        <v>0.6227763609559972</v>
      </c>
      <c r="P26" s="215">
        <f t="shared" si="11"/>
        <v>0.62079382753961765</v>
      </c>
      <c r="Q26" s="215">
        <f t="shared" si="11"/>
        <v>0.61788993420962923</v>
      </c>
      <c r="R26" s="215">
        <f t="shared" si="11"/>
        <v>0.61250699449247492</v>
      </c>
      <c r="S26" s="321">
        <f t="shared" si="11"/>
        <v>0.5961598218884604</v>
      </c>
      <c r="T26" s="296">
        <f t="shared" si="18"/>
        <v>0.99986626517906396</v>
      </c>
      <c r="U26" s="296">
        <f t="shared" si="12"/>
        <v>0.99967659639008366</v>
      </c>
      <c r="V26" s="296">
        <f t="shared" si="12"/>
        <v>0.99940723525224651</v>
      </c>
      <c r="W26" s="296">
        <f t="shared" si="12"/>
        <v>0.9989228997173234</v>
      </c>
      <c r="X26" s="328">
        <f t="shared" si="12"/>
        <v>0.99752036616289175</v>
      </c>
      <c r="Y26" s="296">
        <f t="shared" si="19"/>
        <v>1</v>
      </c>
      <c r="Z26" s="296">
        <f t="shared" si="13"/>
        <v>0.99681662063515664</v>
      </c>
      <c r="AA26" s="296">
        <f t="shared" si="13"/>
        <v>0.99215380182563928</v>
      </c>
      <c r="AB26" s="296">
        <f t="shared" si="13"/>
        <v>0.98351034639825086</v>
      </c>
      <c r="AC26" s="328">
        <f t="shared" si="13"/>
        <v>0.95726148143022172</v>
      </c>
      <c r="AD26" s="333">
        <f t="shared" si="20"/>
        <v>9.2132745967816727E-4</v>
      </c>
      <c r="AE26" s="334">
        <f t="shared" si="21"/>
        <v>0.99907867254032179</v>
      </c>
      <c r="AF26" s="214">
        <f>AE26*GBDUS!K94/(Y26+Z26+AA26+AB26+AC26)</f>
        <v>0</v>
      </c>
      <c r="AG26" s="214">
        <f t="shared" si="22"/>
        <v>0</v>
      </c>
      <c r="AH26" s="214">
        <f t="shared" si="14"/>
        <v>0</v>
      </c>
      <c r="AI26" s="214">
        <f t="shared" si="14"/>
        <v>0</v>
      </c>
      <c r="AJ26" s="292">
        <f t="shared" si="14"/>
        <v>0</v>
      </c>
      <c r="AK26" s="301">
        <f>AE26*GBDUS!L94/(Y26+Z26+AA26+AB26+AC26)</f>
        <v>0.86021118565741972</v>
      </c>
      <c r="AL26" s="301">
        <f t="shared" si="23"/>
        <v>0.8574728071195904</v>
      </c>
      <c r="AM26" s="301">
        <f t="shared" si="15"/>
        <v>0.85346179822294976</v>
      </c>
      <c r="AN26" s="301">
        <f t="shared" si="15"/>
        <v>0.84602660118157891</v>
      </c>
      <c r="AO26" s="303">
        <f t="shared" si="15"/>
        <v>0.82344703392526908</v>
      </c>
      <c r="AP26" s="301">
        <f>AE26*GBDUS!M94/(Y26+Z26+AA26+AB26+AC26)</f>
        <v>0</v>
      </c>
      <c r="AQ26" s="301">
        <f t="shared" si="24"/>
        <v>0</v>
      </c>
      <c r="AR26" s="301">
        <f t="shared" si="16"/>
        <v>0</v>
      </c>
      <c r="AS26" s="301">
        <f t="shared" si="16"/>
        <v>0</v>
      </c>
      <c r="AT26" s="303">
        <f t="shared" si="16"/>
        <v>0</v>
      </c>
      <c r="AU26" s="262">
        <f t="shared" si="25"/>
        <v>0</v>
      </c>
      <c r="AV26" s="261">
        <f t="shared" si="26"/>
        <v>-3.9106020683874476E-3</v>
      </c>
      <c r="AW26" s="262">
        <f t="shared" si="27"/>
        <v>0</v>
      </c>
      <c r="AX26" s="262">
        <f t="shared" si="28"/>
        <v>-3.9106020683874476E-3</v>
      </c>
    </row>
    <row r="27" spans="2:50" x14ac:dyDescent="0.2">
      <c r="B27" s="212">
        <v>1</v>
      </c>
      <c r="C27" s="325" t="s">
        <v>12</v>
      </c>
      <c r="D27" s="215">
        <f>Scenario!AL34</f>
        <v>0.50458791239407375</v>
      </c>
      <c r="E27" s="215">
        <f>Scenario!AM34</f>
        <v>1.2673237267320545</v>
      </c>
      <c r="F27" s="215">
        <f>Scenario!AN34</f>
        <v>2.3982376587169973</v>
      </c>
      <c r="G27" s="215">
        <f>Scenario!AO34</f>
        <v>4.5383383474713499</v>
      </c>
      <c r="H27" s="321">
        <f>Scenario!AP34</f>
        <v>11.398497122928575</v>
      </c>
      <c r="I27" s="218">
        <f>IF(D27+'Non-travel METs'!D28&gt;2.5, D27+'Non-travel METs'!D28, 0.1)</f>
        <v>68.198337912394067</v>
      </c>
      <c r="J27" s="218">
        <f>IF(E27+'Non-travel METs'!E28&gt;2.5, E27+'Non-travel METs'!E28, 0.1)</f>
        <v>68.961073726732053</v>
      </c>
      <c r="K27" s="218">
        <f>IF(F27+'Non-travel METs'!F28&gt;2.5, F27+'Non-travel METs'!F28, 0.1)</f>
        <v>70.091987658716988</v>
      </c>
      <c r="L27" s="218">
        <f>IF(G27+'Non-travel METs'!G28&gt;2.5, G27+'Non-travel METs'!G28, 0.1)</f>
        <v>72.232088347471347</v>
      </c>
      <c r="M27" s="223">
        <f>IF(H27+'Non-travel METs'!H28&gt;2.5, H27+'Non-travel METs'!H28, 0.1)</f>
        <v>79.092247122928569</v>
      </c>
      <c r="N27" s="268">
        <f>'Phy activity RRs'!$F$9</f>
        <v>0.94314906211536642</v>
      </c>
      <c r="O27" s="215">
        <f t="shared" si="17"/>
        <v>0.61670662852328562</v>
      </c>
      <c r="P27" s="215">
        <f t="shared" si="11"/>
        <v>0.61504655653103502</v>
      </c>
      <c r="Q27" s="215">
        <f t="shared" si="11"/>
        <v>0.61261009421450141</v>
      </c>
      <c r="R27" s="215">
        <f t="shared" si="11"/>
        <v>0.60807850359635551</v>
      </c>
      <c r="S27" s="321">
        <f t="shared" si="11"/>
        <v>0.59420078768491658</v>
      </c>
      <c r="T27" s="296">
        <f t="shared" si="18"/>
        <v>0.99988620784824689</v>
      </c>
      <c r="U27" s="296">
        <f t="shared" si="12"/>
        <v>0.99972444543653405</v>
      </c>
      <c r="V27" s="296">
        <f t="shared" si="12"/>
        <v>0.99949402556690725</v>
      </c>
      <c r="W27" s="296">
        <f t="shared" si="12"/>
        <v>0.99907773346610473</v>
      </c>
      <c r="X27" s="328">
        <f t="shared" si="12"/>
        <v>0.99785857550476831</v>
      </c>
      <c r="Y27" s="296">
        <f t="shared" si="19"/>
        <v>1</v>
      </c>
      <c r="Z27" s="296">
        <f t="shared" si="13"/>
        <v>0.99730816580287829</v>
      </c>
      <c r="AA27" s="296">
        <f t="shared" si="13"/>
        <v>0.99335740185151988</v>
      </c>
      <c r="AB27" s="296">
        <f t="shared" si="13"/>
        <v>0.98600935270050483</v>
      </c>
      <c r="AC27" s="328">
        <f t="shared" si="13"/>
        <v>0.96350640677843913</v>
      </c>
      <c r="AD27" s="333">
        <f t="shared" si="20"/>
        <v>7.9180243548773179E-4</v>
      </c>
      <c r="AE27" s="334">
        <f t="shared" si="21"/>
        <v>0.99920819756451229</v>
      </c>
      <c r="AF27" s="214">
        <f>AE27*GBDUS!K95/(Y27+Z27+AA27+AB27+AC27)</f>
        <v>0</v>
      </c>
      <c r="AG27" s="214">
        <f t="shared" si="22"/>
        <v>0</v>
      </c>
      <c r="AH27" s="214">
        <f t="shared" si="14"/>
        <v>0</v>
      </c>
      <c r="AI27" s="214">
        <f t="shared" si="14"/>
        <v>0</v>
      </c>
      <c r="AJ27" s="292">
        <f t="shared" si="14"/>
        <v>0</v>
      </c>
      <c r="AK27" s="301">
        <f>AE27*GBDUS!L95/(Y27+Z27+AA27+AB27+AC27)</f>
        <v>1.1003900769196637</v>
      </c>
      <c r="AL27" s="301">
        <f t="shared" si="23"/>
        <v>1.097428009280438</v>
      </c>
      <c r="AM27" s="301">
        <f t="shared" si="15"/>
        <v>1.0930806278321112</v>
      </c>
      <c r="AN27" s="301">
        <f t="shared" si="15"/>
        <v>1.0849949074616163</v>
      </c>
      <c r="AO27" s="303">
        <f t="shared" si="15"/>
        <v>1.0602328890675154</v>
      </c>
      <c r="AP27" s="301">
        <f>AE27*GBDUS!M95/(Y27+Z27+AA27+AB27+AC27)</f>
        <v>0.16982678696251163</v>
      </c>
      <c r="AQ27" s="301">
        <f t="shared" si="24"/>
        <v>0.16936964140977864</v>
      </c>
      <c r="AR27" s="301">
        <f t="shared" si="16"/>
        <v>0.16869869586187214</v>
      </c>
      <c r="AS27" s="301">
        <f t="shared" si="16"/>
        <v>0.16745080028411263</v>
      </c>
      <c r="AT27" s="303">
        <f t="shared" si="16"/>
        <v>0.16362919728097705</v>
      </c>
      <c r="AU27" s="262">
        <f t="shared" si="25"/>
        <v>0</v>
      </c>
      <c r="AV27" s="261">
        <f t="shared" si="26"/>
        <v>-4.3077490969070098E-3</v>
      </c>
      <c r="AW27" s="262">
        <f t="shared" si="27"/>
        <v>-6.6482895794228725E-4</v>
      </c>
      <c r="AX27" s="262">
        <f t="shared" si="28"/>
        <v>-4.972578054849297E-3</v>
      </c>
    </row>
    <row r="28" spans="2:50" x14ac:dyDescent="0.2">
      <c r="B28" s="212">
        <v>1</v>
      </c>
      <c r="C28" s="325" t="s">
        <v>13</v>
      </c>
      <c r="D28" s="215">
        <f>Scenario!AL35</f>
        <v>0.42323926090175956</v>
      </c>
      <c r="E28" s="215">
        <f>Scenario!AM35</f>
        <v>1.0630083366056431</v>
      </c>
      <c r="F28" s="215">
        <f>Scenario!AN35</f>
        <v>2.011598592059475</v>
      </c>
      <c r="G28" s="215">
        <f>Scenario!AO35</f>
        <v>3.8066765388659869</v>
      </c>
      <c r="H28" s="321">
        <f>Scenario!AP35</f>
        <v>9.5608542717754226</v>
      </c>
      <c r="I28" s="218">
        <f>IF(D28+'Non-travel METs'!D29&gt;2.5, D28+'Non-travel METs'!D29, 0.1)</f>
        <v>58.198239260901758</v>
      </c>
      <c r="J28" s="218">
        <f>IF(E28+'Non-travel METs'!E29&gt;2.5, E28+'Non-travel METs'!E29, 0.1)</f>
        <v>58.83800833660564</v>
      </c>
      <c r="K28" s="218">
        <f>IF(F28+'Non-travel METs'!F29&gt;2.5, F28+'Non-travel METs'!F29, 0.1)</f>
        <v>59.786598592059477</v>
      </c>
      <c r="L28" s="218">
        <f>IF(G28+'Non-travel METs'!G29&gt;2.5, G28+'Non-travel METs'!G29, 0.1)</f>
        <v>61.581676538865985</v>
      </c>
      <c r="M28" s="223">
        <f>IF(H28+'Non-travel METs'!H29&gt;2.5, H28+'Non-travel METs'!H29, 0.1)</f>
        <v>67.335854271775418</v>
      </c>
      <c r="N28" s="268">
        <f>'Phy activity RRs'!$F$9</f>
        <v>0.94314906211536642</v>
      </c>
      <c r="O28" s="215">
        <f t="shared" si="17"/>
        <v>0.63985130481875341</v>
      </c>
      <c r="P28" s="215">
        <f t="shared" si="11"/>
        <v>0.63828713885033039</v>
      </c>
      <c r="Q28" s="215">
        <f t="shared" si="11"/>
        <v>0.63599046778809576</v>
      </c>
      <c r="R28" s="215">
        <f t="shared" si="11"/>
        <v>0.6317158225501186</v>
      </c>
      <c r="S28" s="321">
        <f t="shared" si="11"/>
        <v>0.61860047035852861</v>
      </c>
      <c r="T28" s="296">
        <f t="shared" si="18"/>
        <v>0.99991332544413769</v>
      </c>
      <c r="U28" s="296">
        <f t="shared" si="12"/>
        <v>0.99979145174848583</v>
      </c>
      <c r="V28" s="296">
        <f t="shared" si="12"/>
        <v>0.99961883979752986</v>
      </c>
      <c r="W28" s="296">
        <f t="shared" si="12"/>
        <v>0.99930856750931085</v>
      </c>
      <c r="X28" s="328">
        <f t="shared" si="12"/>
        <v>0.99840591011848578</v>
      </c>
      <c r="Y28" s="296">
        <f t="shared" si="19"/>
        <v>1</v>
      </c>
      <c r="Z28" s="296">
        <f t="shared" si="13"/>
        <v>0.99755542271049036</v>
      </c>
      <c r="AA28" s="296">
        <f t="shared" si="13"/>
        <v>0.99396604023218915</v>
      </c>
      <c r="AB28" s="296">
        <f t="shared" si="13"/>
        <v>0.987285354882664</v>
      </c>
      <c r="AC28" s="328">
        <f t="shared" si="13"/>
        <v>0.96678785477159512</v>
      </c>
      <c r="AD28" s="333">
        <f t="shared" si="20"/>
        <v>5.9238107641004236E-4</v>
      </c>
      <c r="AE28" s="334">
        <f t="shared" si="21"/>
        <v>0.99940761892358998</v>
      </c>
      <c r="AF28" s="214">
        <f>AE28*GBDUS!K96/(Y28+Z28+AA28+AB28+AC28)</f>
        <v>0</v>
      </c>
      <c r="AG28" s="214">
        <f t="shared" si="22"/>
        <v>0</v>
      </c>
      <c r="AH28" s="214">
        <f t="shared" si="14"/>
        <v>0</v>
      </c>
      <c r="AI28" s="214">
        <f t="shared" si="14"/>
        <v>0</v>
      </c>
      <c r="AJ28" s="292">
        <f t="shared" si="14"/>
        <v>0</v>
      </c>
      <c r="AK28" s="301">
        <f>AE28*GBDUS!L96/(Y28+Z28+AA28+AB28+AC28)</f>
        <v>8.487807178873366</v>
      </c>
      <c r="AL28" s="301">
        <f t="shared" si="23"/>
        <v>8.467058078206156</v>
      </c>
      <c r="AM28" s="301">
        <f t="shared" si="15"/>
        <v>8.436592091839108</v>
      </c>
      <c r="AN28" s="301">
        <f t="shared" si="15"/>
        <v>8.3798877227696149</v>
      </c>
      <c r="AO28" s="303">
        <f t="shared" si="15"/>
        <v>8.2059088941779255</v>
      </c>
      <c r="AP28" s="301">
        <f>AE28*GBDUS!M96/(Y28+Z28+AA28+AB28+AC28)</f>
        <v>12.089818147983946</v>
      </c>
      <c r="AQ28" s="301">
        <f t="shared" si="24"/>
        <v>12.060263653105084</v>
      </c>
      <c r="AR28" s="301">
        <f t="shared" si="16"/>
        <v>12.016868671678862</v>
      </c>
      <c r="AS28" s="301">
        <f t="shared" si="16"/>
        <v>11.936100400699202</v>
      </c>
      <c r="AT28" s="303">
        <f t="shared" si="16"/>
        <v>11.688289351868098</v>
      </c>
      <c r="AU28" s="262">
        <f t="shared" si="25"/>
        <v>0</v>
      </c>
      <c r="AV28" s="261">
        <f t="shared" si="26"/>
        <v>-2.4881270082602214E-2</v>
      </c>
      <c r="AW28" s="262">
        <f t="shared" si="27"/>
        <v>-3.5440252617668477E-2</v>
      </c>
      <c r="AX28" s="262">
        <f t="shared" si="28"/>
        <v>-6.0321522700270691E-2</v>
      </c>
    </row>
    <row r="29" spans="2:50" x14ac:dyDescent="0.2">
      <c r="B29" s="212">
        <v>1</v>
      </c>
      <c r="C29" s="325" t="s">
        <v>14</v>
      </c>
      <c r="D29" s="215">
        <f>Scenario!AL36</f>
        <v>0.34527632259518459</v>
      </c>
      <c r="E29" s="215">
        <f>Scenario!AM36</f>
        <v>0.86719650858764341</v>
      </c>
      <c r="F29" s="215">
        <f>Scenario!AN36</f>
        <v>1.641051359281066</v>
      </c>
      <c r="G29" s="215">
        <f>Scenario!AO36</f>
        <v>3.1054663356339605</v>
      </c>
      <c r="H29" s="321">
        <f>Scenario!AP36</f>
        <v>7.7996937164894184</v>
      </c>
      <c r="I29" s="218">
        <f>IF(D29+'Non-travel METs'!D30&gt;2.5, D29+'Non-travel METs'!D30, 0.1)</f>
        <v>23.428609655928486</v>
      </c>
      <c r="J29" s="218">
        <f>IF(E29+'Non-travel METs'!E30&gt;2.5, E29+'Non-travel METs'!E30, 0.1)</f>
        <v>23.950529841920943</v>
      </c>
      <c r="K29" s="218">
        <f>IF(F29+'Non-travel METs'!F30&gt;2.5, F29+'Non-travel METs'!F30, 0.1)</f>
        <v>24.724384692614365</v>
      </c>
      <c r="L29" s="218">
        <f>IF(G29+'Non-travel METs'!G30&gt;2.5, G29+'Non-travel METs'!G30, 0.1)</f>
        <v>26.18879966896726</v>
      </c>
      <c r="M29" s="223">
        <f>IF(H29+'Non-travel METs'!H30&gt;2.5, H29+'Non-travel METs'!H30, 0.1)</f>
        <v>30.883027049822719</v>
      </c>
      <c r="N29" s="268">
        <f>'Phy activity RRs'!$F$9</f>
        <v>0.94314906211536642</v>
      </c>
      <c r="O29" s="215">
        <f t="shared" si="17"/>
        <v>0.7532877916769688</v>
      </c>
      <c r="P29" s="215">
        <f t="shared" si="11"/>
        <v>0.75092749161183769</v>
      </c>
      <c r="Q29" s="215">
        <f t="shared" si="11"/>
        <v>0.74748801303394108</v>
      </c>
      <c r="R29" s="215">
        <f t="shared" si="11"/>
        <v>0.74116498217630045</v>
      </c>
      <c r="S29" s="321">
        <f t="shared" si="11"/>
        <v>0.72233154292265056</v>
      </c>
      <c r="T29" s="296">
        <f t="shared" si="18"/>
        <v>0.99987302361393982</v>
      </c>
      <c r="U29" s="296">
        <f t="shared" si="12"/>
        <v>0.99969462772073092</v>
      </c>
      <c r="V29" s="296">
        <f t="shared" si="12"/>
        <v>0.99944414865356102</v>
      </c>
      <c r="W29" s="296">
        <f t="shared" si="12"/>
        <v>0.99900154871548075</v>
      </c>
      <c r="X29" s="328">
        <f t="shared" si="12"/>
        <v>0.99776874913467561</v>
      </c>
      <c r="Y29" s="296">
        <f t="shared" si="19"/>
        <v>1</v>
      </c>
      <c r="Z29" s="296">
        <f t="shared" si="13"/>
        <v>0.99686666889970887</v>
      </c>
      <c r="AA29" s="296">
        <f t="shared" si="13"/>
        <v>0.99230071334341385</v>
      </c>
      <c r="AB29" s="296">
        <f t="shared" si="13"/>
        <v>0.9839068021085533</v>
      </c>
      <c r="AC29" s="328">
        <f t="shared" si="13"/>
        <v>0.95890515006833776</v>
      </c>
      <c r="AD29" s="333">
        <f t="shared" si="20"/>
        <v>8.4358043232235502E-4</v>
      </c>
      <c r="AE29" s="334">
        <f t="shared" si="21"/>
        <v>0.99915641956767764</v>
      </c>
      <c r="AF29" s="214">
        <f>AE29*GBDUS!K97/(Y29+Z29+AA29+AB29+AC29)</f>
        <v>0.81034923451087459</v>
      </c>
      <c r="AG29" s="214">
        <f t="shared" si="22"/>
        <v>0.80781014205228452</v>
      </c>
      <c r="AH29" s="214">
        <f t="shared" si="14"/>
        <v>0.80411012346243027</v>
      </c>
      <c r="AI29" s="214">
        <f t="shared" si="14"/>
        <v>0.79730812391870876</v>
      </c>
      <c r="AJ29" s="292">
        <f t="shared" si="14"/>
        <v>0.77704805432641288</v>
      </c>
      <c r="AK29" s="301">
        <f>AE29*GBDUS!L97/(Y29+Z29+AA29+AB29+AC29)</f>
        <v>18.283786355307004</v>
      </c>
      <c r="AL29" s="301">
        <f t="shared" si="23"/>
        <v>18.226497198888843</v>
      </c>
      <c r="AM29" s="301">
        <f t="shared" si="15"/>
        <v>18.143014242989718</v>
      </c>
      <c r="AN29" s="301">
        <f t="shared" si="15"/>
        <v>17.989541763286116</v>
      </c>
      <c r="AO29" s="303">
        <f t="shared" si="15"/>
        <v>17.532416898853089</v>
      </c>
      <c r="AP29" s="301">
        <f>AE29*GBDUS!M97/(Y29+Z29+AA29+AB29+AC29)</f>
        <v>13.532051563365354</v>
      </c>
      <c r="AQ29" s="301">
        <f t="shared" si="24"/>
        <v>13.489651165351118</v>
      </c>
      <c r="AR29" s="301">
        <f t="shared" si="16"/>
        <v>13.4278644193273</v>
      </c>
      <c r="AS29" s="301">
        <f t="shared" si="16"/>
        <v>13.314277579678855</v>
      </c>
      <c r="AT29" s="303">
        <f t="shared" si="16"/>
        <v>12.975953935101339</v>
      </c>
      <c r="AU29" s="262">
        <f t="shared" si="25"/>
        <v>-3.3743217292885319E-3</v>
      </c>
      <c r="AV29" s="261">
        <f t="shared" si="26"/>
        <v>-7.6134307240536714E-2</v>
      </c>
      <c r="AW29" s="262">
        <f t="shared" si="27"/>
        <v>-5.6347922213660695E-2</v>
      </c>
      <c r="AX29" s="262">
        <f t="shared" si="28"/>
        <v>-0.13248222945419741</v>
      </c>
    </row>
    <row r="30" spans="2:50" x14ac:dyDescent="0.2">
      <c r="B30" s="212">
        <v>1</v>
      </c>
      <c r="C30" s="325" t="s">
        <v>15</v>
      </c>
      <c r="D30" s="215">
        <f>Scenario!AL37</f>
        <v>0.19932213747057709</v>
      </c>
      <c r="E30" s="215">
        <f>Scenario!AM37</f>
        <v>0.50061776724078633</v>
      </c>
      <c r="F30" s="215">
        <f>Scenario!AN37</f>
        <v>0.94735098593598122</v>
      </c>
      <c r="G30" s="215">
        <f>Scenario!AO37</f>
        <v>1.7927327979196748</v>
      </c>
      <c r="H30" s="321">
        <f>Scenario!AP37</f>
        <v>4.5026302745040336</v>
      </c>
      <c r="I30" s="218">
        <f>IF(D30+'Non-travel METs'!D31&gt;2.5, D30+'Non-travel METs'!D31, 0.1)</f>
        <v>0.1</v>
      </c>
      <c r="J30" s="218">
        <f>IF(E30+'Non-travel METs'!E31&gt;2.5, E30+'Non-travel METs'!E31, 0.1)</f>
        <v>0.1</v>
      </c>
      <c r="K30" s="218">
        <f>IF(F30+'Non-travel METs'!F31&gt;2.5, F30+'Non-travel METs'!F31, 0.1)</f>
        <v>2.822350985935981</v>
      </c>
      <c r="L30" s="218">
        <f>IF(G30+'Non-travel METs'!G31&gt;2.5, G30+'Non-travel METs'!G31, 0.1)</f>
        <v>3.6677327979196748</v>
      </c>
      <c r="M30" s="223">
        <f>IF(H30+'Non-travel METs'!H31&gt;2.5, H30+'Non-travel METs'!H31, 0.1)</f>
        <v>6.3776302745040336</v>
      </c>
      <c r="N30" s="268">
        <f>'Phy activity RRs'!$F$9</f>
        <v>0.94314906211536642</v>
      </c>
      <c r="O30" s="215">
        <f t="shared" si="17"/>
        <v>0.98166113424264856</v>
      </c>
      <c r="P30" s="215">
        <f t="shared" si="11"/>
        <v>0.98166113424264856</v>
      </c>
      <c r="Q30" s="215">
        <f t="shared" si="11"/>
        <v>0.90634874415902256</v>
      </c>
      <c r="R30" s="215">
        <f t="shared" si="11"/>
        <v>0.89395977107376201</v>
      </c>
      <c r="S30" s="321">
        <f t="shared" si="11"/>
        <v>0.86259166728808101</v>
      </c>
      <c r="T30" s="296">
        <f t="shared" si="18"/>
        <v>1</v>
      </c>
      <c r="U30" s="296">
        <f t="shared" si="12"/>
        <v>1</v>
      </c>
      <c r="V30" s="296">
        <f t="shared" si="12"/>
        <v>0.99906934694999805</v>
      </c>
      <c r="W30" s="296">
        <f t="shared" si="12"/>
        <v>0.99848983053277107</v>
      </c>
      <c r="X30" s="328">
        <f t="shared" si="12"/>
        <v>0.99722093752539487</v>
      </c>
      <c r="Y30" s="296">
        <f t="shared" si="19"/>
        <v>1</v>
      </c>
      <c r="Z30" s="296">
        <f t="shared" si="13"/>
        <v>1</v>
      </c>
      <c r="AA30" s="296">
        <f t="shared" si="13"/>
        <v>0.92328066431831435</v>
      </c>
      <c r="AB30" s="296">
        <f t="shared" si="13"/>
        <v>0.91066024709580851</v>
      </c>
      <c r="AC30" s="328">
        <f t="shared" si="13"/>
        <v>0.8787061412526741</v>
      </c>
      <c r="AD30" s="333">
        <f t="shared" si="20"/>
        <v>1.0439769983671353E-3</v>
      </c>
      <c r="AE30" s="334">
        <f t="shared" si="21"/>
        <v>0.99895602300163289</v>
      </c>
      <c r="AF30" s="214">
        <f>AE30*GBDUS!K98/(Y30+Z30+AA30+AB30+AC30)</f>
        <v>6.3592033002111386</v>
      </c>
      <c r="AG30" s="214">
        <f t="shared" si="22"/>
        <v>6.3592033002111386</v>
      </c>
      <c r="AH30" s="214">
        <f t="shared" si="14"/>
        <v>5.8713294475541566</v>
      </c>
      <c r="AI30" s="214">
        <f t="shared" si="14"/>
        <v>5.7910736487027563</v>
      </c>
      <c r="AJ30" s="292">
        <f t="shared" si="14"/>
        <v>5.5878709933698003</v>
      </c>
      <c r="AK30" s="301">
        <f>AE30*GBDUS!L98/(Y30+Z30+AA30+AB30+AC30)</f>
        <v>89.91886999441347</v>
      </c>
      <c r="AL30" s="301">
        <f t="shared" si="23"/>
        <v>89.91886999441347</v>
      </c>
      <c r="AM30" s="301">
        <f t="shared" si="15"/>
        <v>83.020354023194216</v>
      </c>
      <c r="AN30" s="301">
        <f t="shared" si="15"/>
        <v>81.885540367688449</v>
      </c>
      <c r="AO30" s="303">
        <f t="shared" si="15"/>
        <v>79.012263278591917</v>
      </c>
      <c r="AP30" s="301">
        <f>AE30*GBDUS!M98/(Y30+Z30+AA30+AB30+AC30)</f>
        <v>47.108142141025468</v>
      </c>
      <c r="AQ30" s="301">
        <f t="shared" si="24"/>
        <v>47.108142141025468</v>
      </c>
      <c r="AR30" s="301">
        <f t="shared" si="16"/>
        <v>43.494036770767572</v>
      </c>
      <c r="AS30" s="301">
        <f t="shared" si="16"/>
        <v>42.899512362370722</v>
      </c>
      <c r="AT30" s="303">
        <f t="shared" si="16"/>
        <v>41.394213802322973</v>
      </c>
      <c r="AU30" s="262">
        <f t="shared" si="25"/>
        <v>-3.1319309951008734E-2</v>
      </c>
      <c r="AV30" s="261">
        <f t="shared" si="26"/>
        <v>-0.44285373919501581</v>
      </c>
      <c r="AW30" s="262">
        <f t="shared" si="27"/>
        <v>-0.2320093312446545</v>
      </c>
      <c r="AX30" s="262">
        <f t="shared" si="28"/>
        <v>-0.67486307043967031</v>
      </c>
    </row>
    <row r="31" spans="2:50" x14ac:dyDescent="0.2">
      <c r="B31" s="319">
        <v>1</v>
      </c>
      <c r="C31" s="326" t="s">
        <v>16</v>
      </c>
      <c r="D31" s="320">
        <f>Scenario!AL38</f>
        <v>0.19126931777272674</v>
      </c>
      <c r="E31" s="320">
        <f>Scenario!AM38</f>
        <v>0.48039229370187442</v>
      </c>
      <c r="F31" s="320">
        <f>Scenario!AN38</f>
        <v>0.909077030131903</v>
      </c>
      <c r="G31" s="320">
        <f>Scenario!AO38</f>
        <v>1.7203045459890483</v>
      </c>
      <c r="H31" s="322">
        <f>Scenario!AP38</f>
        <v>4.3207193727507578</v>
      </c>
      <c r="I31" s="230">
        <f>IF(D31+'Non-travel METs'!D32&gt;2.5, D31+'Non-travel METs'!D32, 0.1)</f>
        <v>0.1</v>
      </c>
      <c r="J31" s="228">
        <f>IF(E31+'Non-travel METs'!E32&gt;2.5, E31+'Non-travel METs'!E32, 0.1)</f>
        <v>0.1</v>
      </c>
      <c r="K31" s="228">
        <f>IF(F31+'Non-travel METs'!F32&gt;2.5, F31+'Non-travel METs'!F32, 0.1)</f>
        <v>0.1</v>
      </c>
      <c r="L31" s="228">
        <f>IF(G31+'Non-travel METs'!G32&gt;2.5, G31+'Non-travel METs'!G32, 0.1)</f>
        <v>0.1</v>
      </c>
      <c r="M31" s="229">
        <f>IF(H31+'Non-travel METs'!H32&gt;2.5, H31+'Non-travel METs'!H32, 0.1)</f>
        <v>4.6540527060840908</v>
      </c>
      <c r="N31" s="268">
        <f>'Phy activity RRs'!$F$9</f>
        <v>0.94314906211536642</v>
      </c>
      <c r="O31" s="327">
        <f t="shared" si="17"/>
        <v>0.98166113424264856</v>
      </c>
      <c r="P31" s="320">
        <f t="shared" si="11"/>
        <v>0.98166113424264856</v>
      </c>
      <c r="Q31" s="320">
        <f t="shared" si="11"/>
        <v>0.98166113424264856</v>
      </c>
      <c r="R31" s="320">
        <f t="shared" si="11"/>
        <v>0.98166113424264856</v>
      </c>
      <c r="S31" s="322">
        <f t="shared" si="11"/>
        <v>0.88137660154074082</v>
      </c>
      <c r="T31" s="329">
        <f t="shared" si="18"/>
        <v>1</v>
      </c>
      <c r="U31" s="330">
        <f t="shared" si="12"/>
        <v>1</v>
      </c>
      <c r="V31" s="330">
        <f t="shared" si="12"/>
        <v>1</v>
      </c>
      <c r="W31" s="330">
        <f t="shared" si="12"/>
        <v>1</v>
      </c>
      <c r="X31" s="331">
        <f t="shared" si="12"/>
        <v>0.9949958376869501</v>
      </c>
      <c r="Y31" s="329">
        <f t="shared" si="19"/>
        <v>1</v>
      </c>
      <c r="Z31" s="330">
        <f t="shared" si="13"/>
        <v>1</v>
      </c>
      <c r="AA31" s="330">
        <f t="shared" si="13"/>
        <v>1</v>
      </c>
      <c r="AB31" s="330">
        <f t="shared" si="13"/>
        <v>1</v>
      </c>
      <c r="AC31" s="331">
        <f t="shared" si="13"/>
        <v>0.89784200555186766</v>
      </c>
      <c r="AD31" s="332">
        <f t="shared" si="20"/>
        <v>1.0008324626099353E-3</v>
      </c>
      <c r="AE31" s="334">
        <f t="shared" si="21"/>
        <v>0.99899916753739004</v>
      </c>
      <c r="AF31" s="214">
        <f>AE31*GBDUS!K99/(Y31+Z31+AA31+AB31+AC31)</f>
        <v>47.116425446054194</v>
      </c>
      <c r="AG31" s="294">
        <f t="shared" si="22"/>
        <v>47.116425446054194</v>
      </c>
      <c r="AH31" s="294">
        <f t="shared" si="14"/>
        <v>47.116425446054194</v>
      </c>
      <c r="AI31" s="294">
        <f t="shared" si="14"/>
        <v>47.116425446054194</v>
      </c>
      <c r="AJ31" s="295">
        <f t="shared" si="14"/>
        <v>42.303105916920352</v>
      </c>
      <c r="AK31" s="304">
        <f>AE31*GBDUS!L99/(Y31+Z31+AA31+AB31+AC31)</f>
        <v>299.90422801664926</v>
      </c>
      <c r="AL31" s="305">
        <f t="shared" si="23"/>
        <v>299.90422801664926</v>
      </c>
      <c r="AM31" s="305">
        <f t="shared" si="15"/>
        <v>299.90422801664926</v>
      </c>
      <c r="AN31" s="305">
        <f t="shared" si="15"/>
        <v>299.90422801664926</v>
      </c>
      <c r="AO31" s="306">
        <f t="shared" si="15"/>
        <v>269.26661355595297</v>
      </c>
      <c r="AP31" s="305">
        <f>AE31*GBDUS!M99/(Y31+Z31+AA31+AB31+AC31)</f>
        <v>208.29513561798294</v>
      </c>
      <c r="AQ31" s="305">
        <f t="shared" si="24"/>
        <v>208.29513561798294</v>
      </c>
      <c r="AR31" s="305">
        <f t="shared" si="16"/>
        <v>208.29513561798294</v>
      </c>
      <c r="AS31" s="305">
        <f t="shared" si="16"/>
        <v>208.29513561798294</v>
      </c>
      <c r="AT31" s="306">
        <f t="shared" si="16"/>
        <v>187.01612230994806</v>
      </c>
      <c r="AU31" s="287">
        <f t="shared" si="25"/>
        <v>-0.2311922988628794</v>
      </c>
      <c r="AV31" s="265">
        <f t="shared" si="26"/>
        <v>-1.4715791203909703</v>
      </c>
      <c r="AW31" s="264">
        <f t="shared" si="27"/>
        <v>-1.0220688600542189</v>
      </c>
      <c r="AX31" s="264">
        <f t="shared" si="28"/>
        <v>-2.4936479804451892</v>
      </c>
    </row>
    <row r="32" spans="2:50" x14ac:dyDescent="0.2">
      <c r="B32" s="212">
        <v>2</v>
      </c>
      <c r="C32" s="325" t="s">
        <v>9</v>
      </c>
      <c r="D32" s="215">
        <f>Scenario!AL39</f>
        <v>0.67806159555829848</v>
      </c>
      <c r="E32" s="215">
        <f>Scenario!AM39</f>
        <v>1.703020478948196</v>
      </c>
      <c r="F32" s="215">
        <f>Scenario!AN39</f>
        <v>3.2227344600511354</v>
      </c>
      <c r="G32" s="369">
        <f>Scenario!AO39</f>
        <v>6.0985863225882078</v>
      </c>
      <c r="H32" s="321">
        <f>Scenario!AP39</f>
        <v>15.317218181999392</v>
      </c>
      <c r="I32" s="218">
        <f>IF(D32+'Non-travel METs'!D33&gt;2.5, D32+'Non-travel METs'!D33, 0.1)</f>
        <v>0.1</v>
      </c>
      <c r="J32" s="218">
        <f>IF(E32+'Non-travel METs'!E33&gt;2.5, E32+'Non-travel METs'!E33, 0.1)</f>
        <v>0.1</v>
      </c>
      <c r="K32" s="218">
        <f>IF(F32+'Non-travel METs'!F33&gt;2.5, F32+'Non-travel METs'!F33, 0.1)</f>
        <v>3.2227344600511354</v>
      </c>
      <c r="L32" s="218">
        <f>IF(G32+'Non-travel METs'!G33&gt;2.5, G32+'Non-travel METs'!G33, 0.1)</f>
        <v>6.0985863225882078</v>
      </c>
      <c r="M32" s="223">
        <f>IF(H32+'Non-travel METs'!H33&gt;2.5, H32+'Non-travel METs'!H33, 0.1)</f>
        <v>15.317218181999392</v>
      </c>
      <c r="N32" s="268">
        <f>'Phy activity RRs'!$F$9</f>
        <v>0.94314906211536642</v>
      </c>
      <c r="O32" s="214">
        <f t="shared" si="17"/>
        <v>0.98166113424264856</v>
      </c>
      <c r="P32" s="214">
        <f t="shared" si="11"/>
        <v>0.98166113424264856</v>
      </c>
      <c r="Q32" s="214">
        <f t="shared" si="11"/>
        <v>0.90025736310750459</v>
      </c>
      <c r="R32" s="214">
        <f t="shared" si="11"/>
        <v>0.86541683536936265</v>
      </c>
      <c r="S32" s="292">
        <f t="shared" si="11"/>
        <v>0.79526983924213268</v>
      </c>
      <c r="T32" s="296">
        <f t="shared" si="18"/>
        <v>1</v>
      </c>
      <c r="U32" s="296">
        <f t="shared" si="12"/>
        <v>1</v>
      </c>
      <c r="V32" s="296">
        <f t="shared" si="12"/>
        <v>0.99562890870606147</v>
      </c>
      <c r="W32" s="296">
        <f t="shared" si="12"/>
        <v>0.99409087222567882</v>
      </c>
      <c r="X32" s="328">
        <f t="shared" si="12"/>
        <v>0.99087724744576344</v>
      </c>
      <c r="Y32" s="296">
        <f t="shared" si="19"/>
        <v>1</v>
      </c>
      <c r="Z32" s="296">
        <f t="shared" si="13"/>
        <v>1</v>
      </c>
      <c r="AA32" s="296">
        <f t="shared" si="13"/>
        <v>0.91707548735954902</v>
      </c>
      <c r="AB32" s="296">
        <f t="shared" si="13"/>
        <v>0.88158408760578222</v>
      </c>
      <c r="AC32" s="328">
        <f t="shared" si="13"/>
        <v>0.81012664299446191</v>
      </c>
      <c r="AD32" s="371">
        <f t="shared" si="20"/>
        <v>3.88059432449932E-3</v>
      </c>
      <c r="AE32" s="336">
        <f t="shared" si="21"/>
        <v>0.99611940567550072</v>
      </c>
      <c r="AF32" s="214">
        <f>AE32*GBDUS!K100/(Y32+Z32+AA32+AB32+AC32)</f>
        <v>0</v>
      </c>
      <c r="AG32" s="214">
        <f t="shared" si="22"/>
        <v>0</v>
      </c>
      <c r="AH32" s="214">
        <f t="shared" si="14"/>
        <v>0</v>
      </c>
      <c r="AI32" s="214">
        <f t="shared" si="14"/>
        <v>0</v>
      </c>
      <c r="AJ32" s="292">
        <f t="shared" si="14"/>
        <v>0</v>
      </c>
      <c r="AK32" s="301">
        <f>AE32*GBDUS!L100/(Y32+Z32+AA32+AB32+AC32)</f>
        <v>0</v>
      </c>
      <c r="AL32" s="301">
        <f t="shared" si="23"/>
        <v>0</v>
      </c>
      <c r="AM32" s="301">
        <f t="shared" si="15"/>
        <v>0</v>
      </c>
      <c r="AN32" s="301">
        <f t="shared" si="15"/>
        <v>0</v>
      </c>
      <c r="AO32" s="303">
        <f t="shared" si="15"/>
        <v>0</v>
      </c>
      <c r="AP32" s="301">
        <f>AE32*GBDUS!M100/(Y32+Z32+AA32+AB32+AC32)</f>
        <v>0</v>
      </c>
      <c r="AQ32" s="301">
        <f t="shared" si="24"/>
        <v>0</v>
      </c>
      <c r="AR32" s="301">
        <f t="shared" si="16"/>
        <v>0</v>
      </c>
      <c r="AS32" s="301">
        <f t="shared" si="16"/>
        <v>0</v>
      </c>
      <c r="AT32" s="303">
        <f t="shared" si="16"/>
        <v>0</v>
      </c>
      <c r="AU32" s="262">
        <f t="shared" si="25"/>
        <v>0</v>
      </c>
      <c r="AV32" s="261">
        <f t="shared" si="26"/>
        <v>0</v>
      </c>
      <c r="AW32" s="262">
        <f t="shared" si="27"/>
        <v>0</v>
      </c>
      <c r="AX32" s="262">
        <f t="shared" si="28"/>
        <v>0</v>
      </c>
    </row>
    <row r="33" spans="2:50" x14ac:dyDescent="0.2">
      <c r="B33" s="212">
        <v>2</v>
      </c>
      <c r="C33" s="325" t="s">
        <v>10</v>
      </c>
      <c r="D33" s="215">
        <f>Scenario!AL40</f>
        <v>0.49823535606718694</v>
      </c>
      <c r="E33" s="215">
        <f>Scenario!AM40</f>
        <v>1.2513686371218657</v>
      </c>
      <c r="F33" s="215">
        <f>Scenario!AN40</f>
        <v>2.3680448232604823</v>
      </c>
      <c r="G33" s="215">
        <f>Scenario!AO40</f>
        <v>4.4812025158855429</v>
      </c>
      <c r="H33" s="321">
        <f>Scenario!AP40</f>
        <v>11.254994686114927</v>
      </c>
      <c r="I33" s="218">
        <f>IF(D33+'Non-travel METs'!D34&gt;2.5, D33+'Non-travel METs'!D34, 0.1)</f>
        <v>0.1</v>
      </c>
      <c r="J33" s="218">
        <f>IF(E33+'Non-travel METs'!E34&gt;2.5, E33+'Non-travel METs'!E34, 0.1)</f>
        <v>0.1</v>
      </c>
      <c r="K33" s="218">
        <f>IF(F33+'Non-travel METs'!F34&gt;2.5, F33+'Non-travel METs'!F34, 0.1)</f>
        <v>0.1</v>
      </c>
      <c r="L33" s="218">
        <f>IF(G33+'Non-travel METs'!G34&gt;2.5, G33+'Non-travel METs'!G34, 0.1)</f>
        <v>4.4812025158855429</v>
      </c>
      <c r="M33" s="223">
        <f>IF(H33+'Non-travel METs'!H34&gt;2.5, H33+'Non-travel METs'!H34, 0.1)</f>
        <v>11.254994686114927</v>
      </c>
      <c r="N33" s="268">
        <f>'Phy activity RRs'!$F$9</f>
        <v>0.94314906211536642</v>
      </c>
      <c r="O33" s="214">
        <f t="shared" si="17"/>
        <v>0.98166113424264856</v>
      </c>
      <c r="P33" s="214">
        <f t="shared" si="11"/>
        <v>0.98166113424264856</v>
      </c>
      <c r="Q33" s="214">
        <f t="shared" si="11"/>
        <v>0.98166113424264856</v>
      </c>
      <c r="R33" s="214">
        <f t="shared" si="11"/>
        <v>0.88346529660341078</v>
      </c>
      <c r="S33" s="292">
        <f t="shared" si="11"/>
        <v>0.82171446968751005</v>
      </c>
      <c r="T33" s="296">
        <f t="shared" si="18"/>
        <v>1</v>
      </c>
      <c r="U33" s="296">
        <f t="shared" si="12"/>
        <v>1</v>
      </c>
      <c r="V33" s="296">
        <f t="shared" si="12"/>
        <v>1</v>
      </c>
      <c r="W33" s="296">
        <f t="shared" si="12"/>
        <v>0.99551131054201814</v>
      </c>
      <c r="X33" s="328">
        <f t="shared" si="12"/>
        <v>0.99309064401854141</v>
      </c>
      <c r="Y33" s="296">
        <f t="shared" si="19"/>
        <v>1</v>
      </c>
      <c r="Z33" s="296">
        <f t="shared" si="13"/>
        <v>1</v>
      </c>
      <c r="AA33" s="296">
        <f t="shared" si="13"/>
        <v>1</v>
      </c>
      <c r="AB33" s="296">
        <f t="shared" si="13"/>
        <v>0.899969720493217</v>
      </c>
      <c r="AC33" s="328">
        <f t="shared" si="13"/>
        <v>0.8370652978142632</v>
      </c>
      <c r="AD33" s="371">
        <f t="shared" si="20"/>
        <v>2.2796090878880902E-3</v>
      </c>
      <c r="AE33" s="334">
        <f t="shared" si="21"/>
        <v>0.99772039091211195</v>
      </c>
      <c r="AF33" s="214">
        <f>AE33*GBDUS!K101/(Y33+Z33+AA33+AB33+AC33)</f>
        <v>0</v>
      </c>
      <c r="AG33" s="214">
        <f t="shared" si="22"/>
        <v>0</v>
      </c>
      <c r="AH33" s="214">
        <f t="shared" si="14"/>
        <v>0</v>
      </c>
      <c r="AI33" s="214">
        <f t="shared" si="14"/>
        <v>0</v>
      </c>
      <c r="AJ33" s="292">
        <f t="shared" si="14"/>
        <v>0</v>
      </c>
      <c r="AK33" s="301">
        <f>AE33*GBDUS!L101/(Y33+Z33+AA33+AB33+AC33)</f>
        <v>0.88814642298072077</v>
      </c>
      <c r="AL33" s="301">
        <f t="shared" si="23"/>
        <v>0.88814642298072077</v>
      </c>
      <c r="AM33" s="301">
        <f t="shared" si="15"/>
        <v>0.88814642298072077</v>
      </c>
      <c r="AN33" s="301">
        <f t="shared" si="15"/>
        <v>0.79930488804700972</v>
      </c>
      <c r="AO33" s="303">
        <f t="shared" si="15"/>
        <v>0.74343655005502962</v>
      </c>
      <c r="AP33" s="301">
        <f>AE33*GBDUS!M101/(Y33+Z33+AA33+AB33+AC33)</f>
        <v>0</v>
      </c>
      <c r="AQ33" s="301">
        <f t="shared" si="24"/>
        <v>0</v>
      </c>
      <c r="AR33" s="301">
        <f t="shared" si="16"/>
        <v>0</v>
      </c>
      <c r="AS33" s="301">
        <f t="shared" si="16"/>
        <v>0</v>
      </c>
      <c r="AT33" s="303">
        <f t="shared" si="16"/>
        <v>0</v>
      </c>
      <c r="AU33" s="262">
        <f t="shared" si="25"/>
        <v>0</v>
      </c>
      <c r="AV33" s="261">
        <f t="shared" si="26"/>
        <v>-9.6126404366634333E-3</v>
      </c>
      <c r="AW33" s="262">
        <f t="shared" si="27"/>
        <v>0</v>
      </c>
      <c r="AX33" s="262">
        <f t="shared" si="28"/>
        <v>-9.6126404366634333E-3</v>
      </c>
    </row>
    <row r="34" spans="2:50" x14ac:dyDescent="0.2">
      <c r="B34" s="212">
        <v>2</v>
      </c>
      <c r="C34" s="325" t="s">
        <v>11</v>
      </c>
      <c r="D34" s="215">
        <f>Scenario!AL41</f>
        <v>0.48774232762808944</v>
      </c>
      <c r="E34" s="215">
        <f>Scenario!AM41</f>
        <v>1.225014331797649</v>
      </c>
      <c r="F34" s="215">
        <f>Scenario!AN41</f>
        <v>2.318172887491678</v>
      </c>
      <c r="G34" s="215">
        <f>Scenario!AO41</f>
        <v>4.3868266654607444</v>
      </c>
      <c r="H34" s="321">
        <f>Scenario!AP41</f>
        <v>11.017960164407139</v>
      </c>
      <c r="I34" s="218">
        <f>IF(D34+'Non-travel METs'!D35&gt;2.5, D34+'Non-travel METs'!D35, 0.1)</f>
        <v>37.987742327628091</v>
      </c>
      <c r="J34" s="218">
        <f>IF(E34+'Non-travel METs'!E35&gt;2.5, E34+'Non-travel METs'!E35, 0.1)</f>
        <v>38.725014331797652</v>
      </c>
      <c r="K34" s="218">
        <f>IF(F34+'Non-travel METs'!F35&gt;2.5, F34+'Non-travel METs'!F35, 0.1)</f>
        <v>39.818172887491677</v>
      </c>
      <c r="L34" s="218">
        <f>IF(G34+'Non-travel METs'!G35&gt;2.5, G34+'Non-travel METs'!G35, 0.1)</f>
        <v>41.886826665460745</v>
      </c>
      <c r="M34" s="223">
        <f>IF(H34+'Non-travel METs'!H35&gt;2.5, H34+'Non-travel METs'!H35, 0.1)</f>
        <v>48.517960164407143</v>
      </c>
      <c r="N34" s="268">
        <f>'Phy activity RRs'!$F$9</f>
        <v>0.94314906211536642</v>
      </c>
      <c r="O34" s="214">
        <f t="shared" si="17"/>
        <v>0.69715275787979969</v>
      </c>
      <c r="P34" s="214">
        <f t="shared" si="11"/>
        <v>0.69472815239971131</v>
      </c>
      <c r="Q34" s="214">
        <f t="shared" si="11"/>
        <v>0.69119048754308798</v>
      </c>
      <c r="R34" s="214">
        <f t="shared" si="11"/>
        <v>0.68467403543587502</v>
      </c>
      <c r="S34" s="292">
        <f t="shared" si="11"/>
        <v>0.66518088204251413</v>
      </c>
      <c r="T34" s="296">
        <f t="shared" si="18"/>
        <v>0.99980100379804582</v>
      </c>
      <c r="U34" s="296">
        <f t="shared" si="12"/>
        <v>0.99951579901213361</v>
      </c>
      <c r="V34" s="296">
        <f t="shared" si="12"/>
        <v>0.99911024486510869</v>
      </c>
      <c r="W34" s="296">
        <f t="shared" si="12"/>
        <v>0.99838362602506747</v>
      </c>
      <c r="X34" s="328">
        <f t="shared" si="12"/>
        <v>0.99631130970099335</v>
      </c>
      <c r="Y34" s="296">
        <f t="shared" si="19"/>
        <v>1</v>
      </c>
      <c r="Z34" s="296">
        <f t="shared" si="13"/>
        <v>0.99652213169540893</v>
      </c>
      <c r="AA34" s="296">
        <f t="shared" si="13"/>
        <v>0.99144768450053278</v>
      </c>
      <c r="AB34" s="296">
        <f t="shared" si="13"/>
        <v>0.98210044742292157</v>
      </c>
      <c r="AC34" s="328">
        <f t="shared" si="13"/>
        <v>0.95413935399966099</v>
      </c>
      <c r="AD34" s="371">
        <f t="shared" si="20"/>
        <v>1.3756033197301677E-3</v>
      </c>
      <c r="AE34" s="334">
        <f t="shared" si="21"/>
        <v>0.99862439668026981</v>
      </c>
      <c r="AF34" s="214">
        <f>AE34*GBDUS!K102/(Y34+Z34+AA34+AB34+AC34)</f>
        <v>0</v>
      </c>
      <c r="AG34" s="214">
        <f t="shared" si="22"/>
        <v>0</v>
      </c>
      <c r="AH34" s="214">
        <f t="shared" si="14"/>
        <v>0</v>
      </c>
      <c r="AI34" s="214">
        <f t="shared" si="14"/>
        <v>0</v>
      </c>
      <c r="AJ34" s="292">
        <f t="shared" si="14"/>
        <v>0</v>
      </c>
      <c r="AK34" s="301">
        <f>AE34*GBDUS!L102/(Y34+Z34+AA34+AB34+AC34)</f>
        <v>0.61711025437913813</v>
      </c>
      <c r="AL34" s="301">
        <f t="shared" si="23"/>
        <v>0.61496402618499479</v>
      </c>
      <c r="AM34" s="301">
        <f t="shared" si="15"/>
        <v>0.61183253278573124</v>
      </c>
      <c r="AN34" s="301">
        <f t="shared" si="15"/>
        <v>0.60606425693502453</v>
      </c>
      <c r="AO34" s="303">
        <f t="shared" si="15"/>
        <v>0.58880917945987732</v>
      </c>
      <c r="AP34" s="301">
        <f>AE34*GBDUS!M102/(Y34+Z34+AA34+AB34+AC34)</f>
        <v>0</v>
      </c>
      <c r="AQ34" s="301">
        <f t="shared" si="24"/>
        <v>0</v>
      </c>
      <c r="AR34" s="301">
        <f t="shared" si="16"/>
        <v>0</v>
      </c>
      <c r="AS34" s="301">
        <f t="shared" si="16"/>
        <v>0</v>
      </c>
      <c r="AT34" s="303">
        <f t="shared" si="16"/>
        <v>0</v>
      </c>
      <c r="AU34" s="262">
        <f t="shared" si="25"/>
        <v>0</v>
      </c>
      <c r="AV34" s="261">
        <f t="shared" si="26"/>
        <v>-4.1859143571651991E-3</v>
      </c>
      <c r="AW34" s="262">
        <f t="shared" si="27"/>
        <v>0</v>
      </c>
      <c r="AX34" s="262">
        <f t="shared" si="28"/>
        <v>-4.1859143571651991E-3</v>
      </c>
    </row>
    <row r="35" spans="2:50" x14ac:dyDescent="0.2">
      <c r="B35" s="212">
        <v>2</v>
      </c>
      <c r="C35" s="325" t="s">
        <v>12</v>
      </c>
      <c r="D35" s="215">
        <f>Scenario!AL42</f>
        <v>0.41128119423541215</v>
      </c>
      <c r="E35" s="215">
        <f>Scenario!AM42</f>
        <v>1.032974439162079</v>
      </c>
      <c r="F35" s="215">
        <f>Scenario!AN42</f>
        <v>1.9547635290302883</v>
      </c>
      <c r="G35" s="215">
        <f>Scenario!AO42</f>
        <v>3.6991239178449766</v>
      </c>
      <c r="H35" s="321">
        <f>Scenario!AP42</f>
        <v>9.2907249540804369</v>
      </c>
      <c r="I35" s="218">
        <f>IF(D35+'Non-travel METs'!D36&gt;2.5, D35+'Non-travel METs'!D36, 0.1)</f>
        <v>37.974614527568711</v>
      </c>
      <c r="J35" s="218">
        <f>IF(E35+'Non-travel METs'!E36&gt;2.5, E35+'Non-travel METs'!E36, 0.1)</f>
        <v>38.596307772495379</v>
      </c>
      <c r="K35" s="218">
        <f>IF(F35+'Non-travel METs'!F36&gt;2.5, F35+'Non-travel METs'!F36, 0.1)</f>
        <v>39.518096862363585</v>
      </c>
      <c r="L35" s="218">
        <f>IF(G35+'Non-travel METs'!G36&gt;2.5, G35+'Non-travel METs'!G36, 0.1)</f>
        <v>41.262457251178276</v>
      </c>
      <c r="M35" s="223">
        <f>IF(H35+'Non-travel METs'!H36&gt;2.5, H35+'Non-travel METs'!H36, 0.1)</f>
        <v>46.854058287413736</v>
      </c>
      <c r="N35" s="268">
        <f>'Phy activity RRs'!$F$9</f>
        <v>0.94314906211536642</v>
      </c>
      <c r="O35" s="214">
        <f t="shared" si="17"/>
        <v>0.69719621937891485</v>
      </c>
      <c r="P35" s="214">
        <f t="shared" si="11"/>
        <v>0.69514913885326679</v>
      </c>
      <c r="Q35" s="214">
        <f t="shared" si="11"/>
        <v>0.69215490980327443</v>
      </c>
      <c r="R35" s="214">
        <f t="shared" si="11"/>
        <v>0.68661709126865933</v>
      </c>
      <c r="S35" s="292">
        <f t="shared" si="11"/>
        <v>0.66988822866510478</v>
      </c>
      <c r="T35" s="296">
        <f t="shared" si="18"/>
        <v>0.99983082330749939</v>
      </c>
      <c r="U35" s="296">
        <f t="shared" si="12"/>
        <v>0.99958767504934321</v>
      </c>
      <c r="V35" s="296">
        <f t="shared" si="12"/>
        <v>0.99924064287061032</v>
      </c>
      <c r="W35" s="296">
        <f t="shared" si="12"/>
        <v>0.99861525520803263</v>
      </c>
      <c r="X35" s="328">
        <f t="shared" si="12"/>
        <v>0.99680801208081626</v>
      </c>
      <c r="Y35" s="296">
        <f t="shared" si="19"/>
        <v>1</v>
      </c>
      <c r="Z35" s="296">
        <f t="shared" si="13"/>
        <v>0.99706383874618298</v>
      </c>
      <c r="AA35" s="296">
        <f t="shared" si="13"/>
        <v>0.99276916679190919</v>
      </c>
      <c r="AB35" s="296">
        <f t="shared" si="13"/>
        <v>0.98482618262089872</v>
      </c>
      <c r="AC35" s="328">
        <f t="shared" si="13"/>
        <v>0.96083169995078732</v>
      </c>
      <c r="AD35" s="371">
        <f t="shared" si="20"/>
        <v>1.1835182967397273E-3</v>
      </c>
      <c r="AE35" s="334">
        <f t="shared" si="21"/>
        <v>0.99881648170326032</v>
      </c>
      <c r="AF35" s="214">
        <f>AE35*GBDUS!K103/(Y35+Z35+AA35+AB35+AC35)</f>
        <v>0</v>
      </c>
      <c r="AG35" s="214">
        <f t="shared" si="22"/>
        <v>0</v>
      </c>
      <c r="AH35" s="214">
        <f t="shared" si="14"/>
        <v>0</v>
      </c>
      <c r="AI35" s="214">
        <f t="shared" si="14"/>
        <v>0</v>
      </c>
      <c r="AJ35" s="292">
        <f t="shared" si="14"/>
        <v>0</v>
      </c>
      <c r="AK35" s="301">
        <f>AE35*GBDUS!L103/(Y35+Z35+AA35+AB35+AC35)</f>
        <v>0.90002469424569309</v>
      </c>
      <c r="AL35" s="301">
        <f t="shared" si="23"/>
        <v>0.89738207661097036</v>
      </c>
      <c r="AM35" s="301">
        <f t="shared" si="15"/>
        <v>0.89351676579843953</v>
      </c>
      <c r="AN35" s="301">
        <f t="shared" si="15"/>
        <v>0.8863678838985275</v>
      </c>
      <c r="AO35" s="303">
        <f t="shared" si="15"/>
        <v>0.86477225696977689</v>
      </c>
      <c r="AP35" s="301">
        <f>AE35*GBDUS!M103/(Y35+Z35+AA35+AB35+AC35)</f>
        <v>0.20529902397959549</v>
      </c>
      <c r="AQ35" s="301">
        <f t="shared" si="24"/>
        <v>0.20469623293994016</v>
      </c>
      <c r="AR35" s="301">
        <f t="shared" si="16"/>
        <v>0.2038145409794152</v>
      </c>
      <c r="AS35" s="301">
        <f t="shared" si="16"/>
        <v>0.20218385408162137</v>
      </c>
      <c r="AT35" s="303">
        <f t="shared" si="16"/>
        <v>0.19725781020855218</v>
      </c>
      <c r="AU35" s="262">
        <f t="shared" si="25"/>
        <v>0</v>
      </c>
      <c r="AV35" s="261">
        <f t="shared" si="26"/>
        <v>-5.2634930779946743E-3</v>
      </c>
      <c r="AW35" s="262">
        <f t="shared" si="27"/>
        <v>-1.2006226035177203E-3</v>
      </c>
      <c r="AX35" s="262">
        <f t="shared" si="28"/>
        <v>-6.4641156815123946E-3</v>
      </c>
    </row>
    <row r="36" spans="2:50" x14ac:dyDescent="0.2">
      <c r="B36" s="212">
        <v>2</v>
      </c>
      <c r="C36" s="325" t="s">
        <v>13</v>
      </c>
      <c r="D36" s="215">
        <f>Scenario!AL43</f>
        <v>0.30322026939990843</v>
      </c>
      <c r="E36" s="215">
        <f>Scenario!AM43</f>
        <v>0.76156846487530472</v>
      </c>
      <c r="F36" s="215">
        <f>Scenario!AN43</f>
        <v>1.4411646634793909</v>
      </c>
      <c r="G36" s="215">
        <f>Scenario!AO43</f>
        <v>2.727207970200991</v>
      </c>
      <c r="H36" s="321">
        <f>Scenario!AP43</f>
        <v>6.8496594616583133</v>
      </c>
      <c r="I36" s="218">
        <f>IF(D36+'Non-travel METs'!D37&gt;2.5, D36+'Non-travel METs'!D37, 0.1)</f>
        <v>38.05655360273321</v>
      </c>
      <c r="J36" s="218">
        <f>IF(E36+'Non-travel METs'!E37&gt;2.5, E36+'Non-travel METs'!E37, 0.1)</f>
        <v>38.514901798208605</v>
      </c>
      <c r="K36" s="218">
        <f>IF(F36+'Non-travel METs'!F37&gt;2.5, F36+'Non-travel METs'!F37, 0.1)</f>
        <v>39.194497996812693</v>
      </c>
      <c r="L36" s="218">
        <f>IF(G36+'Non-travel METs'!G37&gt;2.5, G36+'Non-travel METs'!G37, 0.1)</f>
        <v>40.480541303534295</v>
      </c>
      <c r="M36" s="223">
        <f>IF(H36+'Non-travel METs'!H37&gt;2.5, H36+'Non-travel METs'!H37, 0.1)</f>
        <v>44.602992794991614</v>
      </c>
      <c r="N36" s="268">
        <f>'Phy activity RRs'!$F$9</f>
        <v>0.94314906211536642</v>
      </c>
      <c r="O36" s="214">
        <f t="shared" si="17"/>
        <v>0.69692511512169086</v>
      </c>
      <c r="P36" s="214">
        <f t="shared" si="11"/>
        <v>0.6954159041694753</v>
      </c>
      <c r="Q36" s="214">
        <f t="shared" si="11"/>
        <v>0.69320056238816963</v>
      </c>
      <c r="R36" s="214">
        <f t="shared" si="11"/>
        <v>0.68907917223170523</v>
      </c>
      <c r="S36" s="292">
        <f t="shared" si="11"/>
        <v>0.67644669942604674</v>
      </c>
      <c r="T36" s="296">
        <f t="shared" si="18"/>
        <v>0.99989600973671855</v>
      </c>
      <c r="U36" s="296">
        <f t="shared" si="12"/>
        <v>0.99974726273600756</v>
      </c>
      <c r="V36" s="296">
        <f t="shared" si="12"/>
        <v>0.99953481565487678</v>
      </c>
      <c r="W36" s="296">
        <f t="shared" si="12"/>
        <v>0.99915032801015757</v>
      </c>
      <c r="X36" s="328">
        <f t="shared" si="12"/>
        <v>0.99802348667130547</v>
      </c>
      <c r="Y36" s="296">
        <f t="shared" si="19"/>
        <v>1</v>
      </c>
      <c r="Z36" s="296">
        <f t="shared" si="13"/>
        <v>0.99783447185433682</v>
      </c>
      <c r="AA36" s="296">
        <f t="shared" si="13"/>
        <v>0.99465573466545132</v>
      </c>
      <c r="AB36" s="296">
        <f t="shared" si="13"/>
        <v>0.98874205747540655</v>
      </c>
      <c r="AC36" s="328">
        <f t="shared" si="13"/>
        <v>0.9706160457539712</v>
      </c>
      <c r="AD36" s="371">
        <f t="shared" si="20"/>
        <v>7.296194381869014E-4</v>
      </c>
      <c r="AE36" s="334">
        <f t="shared" si="21"/>
        <v>0.99927038056181305</v>
      </c>
      <c r="AF36" s="214">
        <f>AE36*GBDUS!K104/(Y36+Z36+AA36+AB36+AC36)</f>
        <v>0</v>
      </c>
      <c r="AG36" s="214">
        <f t="shared" si="22"/>
        <v>0</v>
      </c>
      <c r="AH36" s="214">
        <f t="shared" si="14"/>
        <v>0</v>
      </c>
      <c r="AI36" s="214">
        <f t="shared" si="14"/>
        <v>0</v>
      </c>
      <c r="AJ36" s="292">
        <f t="shared" si="14"/>
        <v>0</v>
      </c>
      <c r="AK36" s="301">
        <f>AE36*GBDUS!L104/(Y36+Z36+AA36+AB36+AC36)</f>
        <v>8.0563093987754346</v>
      </c>
      <c r="AL36" s="301">
        <f t="shared" si="23"/>
        <v>8.0388632340222159</v>
      </c>
      <c r="AM36" s="301">
        <f t="shared" si="15"/>
        <v>8.0132543437311607</v>
      </c>
      <c r="AN36" s="301">
        <f t="shared" si="15"/>
        <v>7.9656119306036786</v>
      </c>
      <c r="AO36" s="303">
        <f t="shared" si="15"/>
        <v>7.8195831720099651</v>
      </c>
      <c r="AP36" s="301">
        <f>AE36*GBDUS!M104/(Y36+Z36+AA36+AB36+AC36)</f>
        <v>16.931422435415051</v>
      </c>
      <c r="AQ36" s="301">
        <f t="shared" si="24"/>
        <v>16.894756963585046</v>
      </c>
      <c r="AR36" s="301">
        <f t="shared" si="16"/>
        <v>16.840936421428864</v>
      </c>
      <c r="AS36" s="301">
        <f t="shared" si="16"/>
        <v>16.740809454777537</v>
      </c>
      <c r="AT36" s="303">
        <f t="shared" si="16"/>
        <v>16.43391029325263</v>
      </c>
      <c r="AU36" s="262">
        <f t="shared" si="25"/>
        <v>0</v>
      </c>
      <c r="AV36" s="261">
        <f t="shared" si="26"/>
        <v>-2.9128414786264045E-2</v>
      </c>
      <c r="AW36" s="262">
        <f t="shared" si="27"/>
        <v>-6.1217298294820921E-2</v>
      </c>
      <c r="AX36" s="262">
        <f t="shared" si="28"/>
        <v>-9.0345713081084966E-2</v>
      </c>
    </row>
    <row r="37" spans="2:50" x14ac:dyDescent="0.2">
      <c r="B37" s="212">
        <v>2</v>
      </c>
      <c r="C37" s="325" t="s">
        <v>14</v>
      </c>
      <c r="D37" s="215">
        <f>Scenario!AL44</f>
        <v>0.20305771607435033</v>
      </c>
      <c r="E37" s="215">
        <f>Scenario!AM44</f>
        <v>0.51000005183649222</v>
      </c>
      <c r="F37" s="215">
        <f>Scenario!AN44</f>
        <v>0.96510568252028972</v>
      </c>
      <c r="G37" s="215">
        <f>Scenario!AO44</f>
        <v>1.8263311446320658</v>
      </c>
      <c r="H37" s="321">
        <f>Scenario!AP44</f>
        <v>4.5870159304456486</v>
      </c>
      <c r="I37" s="218">
        <f>IF(D37+'Non-travel METs'!D38&gt;2.5, D37+'Non-travel METs'!D38, 0.1)</f>
        <v>9.2030577160743512</v>
      </c>
      <c r="J37" s="218">
        <f>IF(E37+'Non-travel METs'!E38&gt;2.5, E37+'Non-travel METs'!E38, 0.1)</f>
        <v>9.5100000518364922</v>
      </c>
      <c r="K37" s="218">
        <f>IF(F37+'Non-travel METs'!F38&gt;2.5, F37+'Non-travel METs'!F38, 0.1)</f>
        <v>9.9651056825202904</v>
      </c>
      <c r="L37" s="218">
        <f>IF(G37+'Non-travel METs'!G38&gt;2.5, G37+'Non-travel METs'!G38, 0.1)</f>
        <v>10.826331144632066</v>
      </c>
      <c r="M37" s="223">
        <f>IF(H37+'Non-travel METs'!H38&gt;2.5, H37+'Non-travel METs'!H38, 0.1)</f>
        <v>13.587015930445649</v>
      </c>
      <c r="N37" s="268">
        <f>'Phy activity RRs'!$F$9</f>
        <v>0.94314906211536642</v>
      </c>
      <c r="O37" s="214">
        <f t="shared" si="17"/>
        <v>0.83730856475207027</v>
      </c>
      <c r="P37" s="214">
        <f t="shared" si="11"/>
        <v>0.83485319175003059</v>
      </c>
      <c r="Q37" s="214">
        <f t="shared" si="11"/>
        <v>0.83129723902315278</v>
      </c>
      <c r="R37" s="214">
        <f t="shared" si="11"/>
        <v>0.82482286311875364</v>
      </c>
      <c r="S37" s="292">
        <f t="shared" si="11"/>
        <v>0.8059380774569388</v>
      </c>
      <c r="T37" s="296">
        <f t="shared" si="18"/>
        <v>0.99982877610491416</v>
      </c>
      <c r="U37" s="296">
        <f t="shared" si="12"/>
        <v>0.99958590095109678</v>
      </c>
      <c r="V37" s="296">
        <f t="shared" si="12"/>
        <v>0.99924570478784336</v>
      </c>
      <c r="W37" s="296">
        <f t="shared" si="12"/>
        <v>0.9986503951631156</v>
      </c>
      <c r="X37" s="328">
        <f t="shared" si="12"/>
        <v>0.99703614214367287</v>
      </c>
      <c r="Y37" s="296">
        <f t="shared" si="19"/>
        <v>1</v>
      </c>
      <c r="Z37" s="296">
        <f t="shared" si="13"/>
        <v>0.99706754104113726</v>
      </c>
      <c r="AA37" s="296">
        <f t="shared" si="13"/>
        <v>0.99282065658710006</v>
      </c>
      <c r="AB37" s="296">
        <f t="shared" si="13"/>
        <v>0.98508829103281215</v>
      </c>
      <c r="AC37" s="328">
        <f t="shared" si="13"/>
        <v>0.96253413781283803</v>
      </c>
      <c r="AD37" s="371">
        <f t="shared" si="20"/>
        <v>1.1306161698714234E-3</v>
      </c>
      <c r="AE37" s="334">
        <f t="shared" si="21"/>
        <v>0.99886938383012858</v>
      </c>
      <c r="AF37" s="214">
        <f>AE37*GBDUS!K105/(Y37+Z37+AA37+AB37+AC37)</f>
        <v>1.0115111231096925</v>
      </c>
      <c r="AG37" s="214">
        <f t="shared" si="22"/>
        <v>1.0085449082547402</v>
      </c>
      <c r="AH37" s="214">
        <f t="shared" si="14"/>
        <v>1.0042491373909199</v>
      </c>
      <c r="AI37" s="214">
        <f t="shared" si="14"/>
        <v>0.99642776362480745</v>
      </c>
      <c r="AJ37" s="292">
        <f t="shared" si="14"/>
        <v>0.97361398677048328</v>
      </c>
      <c r="AK37" s="301">
        <f>AE37*GBDUS!L105/(Y37+Z37+AA37+AB37+AC37)</f>
        <v>22.764800086204602</v>
      </c>
      <c r="AL37" s="301">
        <f t="shared" si="23"/>
        <v>22.698043244245092</v>
      </c>
      <c r="AM37" s="301">
        <f t="shared" si="15"/>
        <v>22.601363768659724</v>
      </c>
      <c r="AN37" s="301">
        <f t="shared" si="15"/>
        <v>22.425338012622905</v>
      </c>
      <c r="AO37" s="303">
        <f t="shared" si="15"/>
        <v>21.911897223456567</v>
      </c>
      <c r="AP37" s="301">
        <f>AE37*GBDUS!M105/(Y37+Z37+AA37+AB37+AC37)</f>
        <v>23.975091742881929</v>
      </c>
      <c r="AQ37" s="301">
        <f t="shared" si="24"/>
        <v>23.904785770310959</v>
      </c>
      <c r="AR37" s="301">
        <f t="shared" si="16"/>
        <v>23.802966325903999</v>
      </c>
      <c r="AS37" s="301">
        <f t="shared" si="16"/>
        <v>23.617582152350444</v>
      </c>
      <c r="AT37" s="303">
        <f t="shared" si="16"/>
        <v>23.076844259718548</v>
      </c>
      <c r="AU37" s="262">
        <f t="shared" si="25"/>
        <v>-5.653080849356229E-3</v>
      </c>
      <c r="AV37" s="261">
        <f t="shared" si="26"/>
        <v>-0.12722673282243591</v>
      </c>
      <c r="AW37" s="262">
        <f t="shared" si="27"/>
        <v>-0.13399074799752952</v>
      </c>
      <c r="AX37" s="262">
        <f t="shared" si="28"/>
        <v>-0.26121748081996543</v>
      </c>
    </row>
    <row r="38" spans="2:50" x14ac:dyDescent="0.2">
      <c r="B38" s="212">
        <v>2</v>
      </c>
      <c r="C38" s="325" t="s">
        <v>15</v>
      </c>
      <c r="D38" s="215">
        <f>Scenario!AL45</f>
        <v>0.12940048412537145</v>
      </c>
      <c r="E38" s="215">
        <f>Scenario!AM45</f>
        <v>0.32500244210095713</v>
      </c>
      <c r="F38" s="215">
        <f>Scenario!AN45</f>
        <v>0.61502288592936483</v>
      </c>
      <c r="G38" s="215">
        <f>Scenario!AO45</f>
        <v>1.163847101491581</v>
      </c>
      <c r="H38" s="321">
        <f>Scenario!AP45</f>
        <v>2.9231200545618421</v>
      </c>
      <c r="I38" s="218">
        <f>IF(D38+'Non-travel METs'!D39&gt;2.5, D38+'Non-travel METs'!D39, 0.1)</f>
        <v>0.1</v>
      </c>
      <c r="J38" s="218">
        <f>IF(E38+'Non-travel METs'!E39&gt;2.5, E38+'Non-travel METs'!E39, 0.1)</f>
        <v>0.1</v>
      </c>
      <c r="K38" s="218">
        <f>IF(F38+'Non-travel METs'!F39&gt;2.5, F38+'Non-travel METs'!F39, 0.1)</f>
        <v>0.1</v>
      </c>
      <c r="L38" s="218">
        <f>IF(G38+'Non-travel METs'!G39&gt;2.5, G38+'Non-travel METs'!G39, 0.1)</f>
        <v>0.1</v>
      </c>
      <c r="M38" s="223">
        <f>IF(H38+'Non-travel METs'!H39&gt;2.5, H38+'Non-travel METs'!H39, 0.1)</f>
        <v>3.4231200545618421</v>
      </c>
      <c r="N38" s="268">
        <f>'Phy activity RRs'!$F$9</f>
        <v>0.94314906211536642</v>
      </c>
      <c r="O38" s="214">
        <f t="shared" si="17"/>
        <v>0.98166113424264856</v>
      </c>
      <c r="P38" s="214">
        <f t="shared" si="11"/>
        <v>0.98166113424264856</v>
      </c>
      <c r="Q38" s="214">
        <f t="shared" si="11"/>
        <v>0.98166113424264856</v>
      </c>
      <c r="R38" s="214">
        <f t="shared" si="11"/>
        <v>0.98166113424264856</v>
      </c>
      <c r="S38" s="292">
        <f t="shared" si="11"/>
        <v>0.89736549061671578</v>
      </c>
      <c r="T38" s="296">
        <f t="shared" si="18"/>
        <v>1</v>
      </c>
      <c r="U38" s="296">
        <f t="shared" si="12"/>
        <v>1</v>
      </c>
      <c r="V38" s="296">
        <f t="shared" si="12"/>
        <v>1</v>
      </c>
      <c r="W38" s="296">
        <f t="shared" si="12"/>
        <v>1</v>
      </c>
      <c r="X38" s="328">
        <f t="shared" si="12"/>
        <v>0.99583881318585066</v>
      </c>
      <c r="Y38" s="296">
        <f t="shared" si="19"/>
        <v>1</v>
      </c>
      <c r="Z38" s="296">
        <f t="shared" si="13"/>
        <v>1</v>
      </c>
      <c r="AA38" s="296">
        <f t="shared" si="13"/>
        <v>1</v>
      </c>
      <c r="AB38" s="296">
        <f t="shared" si="13"/>
        <v>1</v>
      </c>
      <c r="AC38" s="328">
        <f t="shared" si="13"/>
        <v>0.91412959046100273</v>
      </c>
      <c r="AD38" s="371">
        <f t="shared" si="20"/>
        <v>8.3223736282995726E-4</v>
      </c>
      <c r="AE38" s="334">
        <f t="shared" si="21"/>
        <v>0.99916776263717</v>
      </c>
      <c r="AF38" s="214">
        <f>AE38*GBDUS!K106/(Y38+Z38+AA38+AB38+AC38)</f>
        <v>5.0831370247983036</v>
      </c>
      <c r="AG38" s="214">
        <f t="shared" si="22"/>
        <v>5.0831370247983036</v>
      </c>
      <c r="AH38" s="214">
        <f t="shared" si="14"/>
        <v>5.0831370247983036</v>
      </c>
      <c r="AI38" s="214">
        <f t="shared" si="14"/>
        <v>5.0831370247983036</v>
      </c>
      <c r="AJ38" s="292">
        <f t="shared" si="14"/>
        <v>4.6466459667360329</v>
      </c>
      <c r="AK38" s="301">
        <f>AE38*GBDUS!L106/(Y38+Z38+AA38+AB38+AC38)</f>
        <v>71.018558013026279</v>
      </c>
      <c r="AL38" s="301">
        <f t="shared" si="23"/>
        <v>71.018558013026279</v>
      </c>
      <c r="AM38" s="301">
        <f t="shared" si="15"/>
        <v>71.018558013026279</v>
      </c>
      <c r="AN38" s="301">
        <f t="shared" si="15"/>
        <v>71.018558013026279</v>
      </c>
      <c r="AO38" s="303">
        <f t="shared" si="15"/>
        <v>64.920165351578675</v>
      </c>
      <c r="AP38" s="301">
        <f>AE38*GBDUS!M106/(Y38+Z38+AA38+AB38+AC38)</f>
        <v>45.476341613712513</v>
      </c>
      <c r="AQ38" s="301">
        <f t="shared" si="24"/>
        <v>45.476341613712513</v>
      </c>
      <c r="AR38" s="301">
        <f t="shared" si="16"/>
        <v>45.476341613712513</v>
      </c>
      <c r="AS38" s="301">
        <f t="shared" si="16"/>
        <v>45.476341613712513</v>
      </c>
      <c r="AT38" s="303">
        <f t="shared" si="16"/>
        <v>41.571269535007673</v>
      </c>
      <c r="AU38" s="262">
        <f t="shared" si="25"/>
        <v>-2.0805934070750709E-2</v>
      </c>
      <c r="AV38" s="261">
        <f t="shared" si="26"/>
        <v>-0.29068809843414556</v>
      </c>
      <c r="AW38" s="262">
        <f t="shared" si="27"/>
        <v>-0.18614051928520325</v>
      </c>
      <c r="AX38" s="262">
        <f t="shared" si="28"/>
        <v>-0.47682861771934881</v>
      </c>
    </row>
    <row r="39" spans="2:50" x14ac:dyDescent="0.2">
      <c r="B39" s="319">
        <v>2</v>
      </c>
      <c r="C39" s="326" t="s">
        <v>16</v>
      </c>
      <c r="D39" s="320">
        <f>Scenario!AL46</f>
        <v>0.16226655238866916</v>
      </c>
      <c r="E39" s="320">
        <f>Scenario!AM46</f>
        <v>0.40754890643628044</v>
      </c>
      <c r="F39" s="320">
        <f>Scenario!AN46</f>
        <v>0.7712308343699662</v>
      </c>
      <c r="G39" s="320">
        <f>Scenario!AO46</f>
        <v>1.4594493826129056</v>
      </c>
      <c r="H39" s="322">
        <f>Scenario!AP46</f>
        <v>3.6655551691164661</v>
      </c>
      <c r="I39" s="228">
        <f>IF(D39+'Non-travel METs'!D40&gt;2.5, D39+'Non-travel METs'!D40, 0.1)</f>
        <v>0.1</v>
      </c>
      <c r="J39" s="228">
        <f>IF(E39+'Non-travel METs'!E40&gt;2.5, E39+'Non-travel METs'!E40, 0.1)</f>
        <v>0.1</v>
      </c>
      <c r="K39" s="228">
        <f>IF(F39+'Non-travel METs'!F40&gt;2.5, F39+'Non-travel METs'!F40, 0.1)</f>
        <v>0.1</v>
      </c>
      <c r="L39" s="228">
        <f>IF(G39+'Non-travel METs'!G40&gt;2.5, G39+'Non-travel METs'!G40, 0.1)</f>
        <v>0.1</v>
      </c>
      <c r="M39" s="229">
        <f>IF(H39+'Non-travel METs'!H40&gt;2.5, H39+'Non-travel METs'!H40, 0.1)</f>
        <v>3.7488885024497995</v>
      </c>
      <c r="N39" s="268">
        <f>'Phy activity RRs'!$F$9</f>
        <v>0.94314906211536642</v>
      </c>
      <c r="O39" s="293">
        <f t="shared" si="17"/>
        <v>0.98166113424264856</v>
      </c>
      <c r="P39" s="294">
        <f t="shared" si="11"/>
        <v>0.98166113424264856</v>
      </c>
      <c r="Q39" s="294">
        <f t="shared" si="11"/>
        <v>0.98166113424264856</v>
      </c>
      <c r="R39" s="294">
        <f t="shared" si="11"/>
        <v>0.98166113424264856</v>
      </c>
      <c r="S39" s="295">
        <f t="shared" si="11"/>
        <v>0.89285786860254046</v>
      </c>
      <c r="T39" s="329">
        <f t="shared" si="18"/>
        <v>1</v>
      </c>
      <c r="U39" s="330">
        <f t="shared" si="12"/>
        <v>1</v>
      </c>
      <c r="V39" s="330">
        <f t="shared" si="12"/>
        <v>1</v>
      </c>
      <c r="W39" s="330">
        <f t="shared" si="12"/>
        <v>1</v>
      </c>
      <c r="X39" s="331">
        <f t="shared" si="12"/>
        <v>0.99500133191036677</v>
      </c>
      <c r="Y39" s="329">
        <f t="shared" si="19"/>
        <v>1</v>
      </c>
      <c r="Z39" s="330">
        <f t="shared" si="13"/>
        <v>1</v>
      </c>
      <c r="AA39" s="330">
        <f t="shared" si="13"/>
        <v>1</v>
      </c>
      <c r="AB39" s="330">
        <f t="shared" si="13"/>
        <v>1</v>
      </c>
      <c r="AC39" s="331">
        <f t="shared" si="13"/>
        <v>0.90953775947479087</v>
      </c>
      <c r="AD39" s="371">
        <f t="shared" si="20"/>
        <v>9.9973361792660143E-4</v>
      </c>
      <c r="AE39" s="335">
        <f t="shared" si="21"/>
        <v>0.9990002663820734</v>
      </c>
      <c r="AF39" s="214">
        <f>AE39*GBDUS!K107/(Y39+Z39+AA39+AB39+AC39)</f>
        <v>22.382968557468395</v>
      </c>
      <c r="AG39" s="294">
        <f t="shared" si="22"/>
        <v>22.382968557468395</v>
      </c>
      <c r="AH39" s="294">
        <f t="shared" si="14"/>
        <v>22.382968557468395</v>
      </c>
      <c r="AI39" s="294">
        <f t="shared" si="14"/>
        <v>22.382968557468395</v>
      </c>
      <c r="AJ39" s="295">
        <f t="shared" si="14"/>
        <v>20.358155072154496</v>
      </c>
      <c r="AK39" s="301">
        <f>AE39*GBDUS!L107/(Y39+Z39+AA39+AB39+AC39)</f>
        <v>122.56013683375306</v>
      </c>
      <c r="AL39" s="305">
        <f t="shared" si="23"/>
        <v>122.56013683375306</v>
      </c>
      <c r="AM39" s="305">
        <f t="shared" si="15"/>
        <v>122.56013683375306</v>
      </c>
      <c r="AN39" s="305">
        <f t="shared" si="15"/>
        <v>122.56013683375306</v>
      </c>
      <c r="AO39" s="306">
        <f t="shared" si="15"/>
        <v>111.47307225669554</v>
      </c>
      <c r="AP39" s="304">
        <f>AE39*GBDUS!M107/(Y39+Z39+AA39+AB39+AC39)</f>
        <v>81.431470791432673</v>
      </c>
      <c r="AQ39" s="305">
        <f t="shared" si="24"/>
        <v>81.431470791432673</v>
      </c>
      <c r="AR39" s="305">
        <f t="shared" si="16"/>
        <v>81.431470791432673</v>
      </c>
      <c r="AS39" s="305">
        <f t="shared" si="16"/>
        <v>81.431470791432673</v>
      </c>
      <c r="AT39" s="306">
        <f t="shared" si="16"/>
        <v>74.064997494376556</v>
      </c>
      <c r="AU39" s="287">
        <f t="shared" si="25"/>
        <v>-0.10997069797193149</v>
      </c>
      <c r="AV39" s="265">
        <f t="shared" si="26"/>
        <v>-0.60215532879556122</v>
      </c>
      <c r="AW39" s="264">
        <f t="shared" si="27"/>
        <v>-0.40008436132239922</v>
      </c>
      <c r="AX39" s="264">
        <f t="shared" si="28"/>
        <v>-1.0022396901179604</v>
      </c>
    </row>
    <row r="40" spans="2:50" x14ac:dyDescent="0.2">
      <c r="N40" s="288"/>
      <c r="AD40" s="288"/>
      <c r="AK40" s="288"/>
      <c r="AT40" s="337" t="s">
        <v>74</v>
      </c>
      <c r="AU40" s="262">
        <f>SUM(AU24:AU39)</f>
        <v>-0.40231564343521509</v>
      </c>
      <c r="AV40" s="261">
        <f>SUM(AV24:AV39)</f>
        <v>-3.1096223908092555</v>
      </c>
      <c r="AW40" s="262">
        <f>SUM(AW24:AW39)</f>
        <v>-2.1291647445916153</v>
      </c>
      <c r="AX40" s="262">
        <f>SUM(AX24:AX39)</f>
        <v>-5.2387871354008713</v>
      </c>
    </row>
    <row r="41" spans="2:50" x14ac:dyDescent="0.2">
      <c r="AD41" s="370"/>
      <c r="AT41" s="337" t="s">
        <v>83</v>
      </c>
      <c r="AU41" s="368">
        <f>AU40/GBDUS!K108</f>
        <v>-9.9337195909929656E-4</v>
      </c>
      <c r="AV41" s="368">
        <f>AV40/GBDUS!L108</f>
        <v>-1.0191844881291107E-3</v>
      </c>
      <c r="AW41" s="368">
        <f>AW40/GBDUS!M108</f>
        <v>-1.0026554713303988E-3</v>
      </c>
      <c r="AX41" s="368">
        <f>AX40/GBDUS!N108</f>
        <v>-1.012401414205145E-3</v>
      </c>
    </row>
    <row r="42" spans="2:50" x14ac:dyDescent="0.2">
      <c r="O42" s="214"/>
      <c r="P42" s="214"/>
      <c r="Q42" s="214"/>
      <c r="R42" s="214"/>
      <c r="S42" s="214"/>
      <c r="U42" s="373"/>
      <c r="AD42" s="370"/>
    </row>
    <row r="43" spans="2:50" x14ac:dyDescent="0.2">
      <c r="AD43" s="370"/>
    </row>
    <row r="44" spans="2:50" x14ac:dyDescent="0.2">
      <c r="O44" s="214"/>
      <c r="P44" s="214"/>
      <c r="Q44" s="214"/>
      <c r="R44" s="214"/>
      <c r="S44" s="214"/>
      <c r="U44" s="214"/>
      <c r="V44" s="372"/>
      <c r="W44" s="372"/>
      <c r="X44" s="372"/>
      <c r="Y44" s="372"/>
      <c r="AD44" s="370"/>
    </row>
    <row r="45" spans="2:50" x14ac:dyDescent="0.2">
      <c r="U45" s="373"/>
      <c r="AD45" s="370"/>
    </row>
    <row r="46" spans="2:50" x14ac:dyDescent="0.2">
      <c r="AD46" s="370"/>
    </row>
    <row r="47" spans="2:50" x14ac:dyDescent="0.2">
      <c r="AD47" s="370"/>
    </row>
    <row r="48" spans="2:50" x14ac:dyDescent="0.2">
      <c r="AD48" s="370"/>
    </row>
  </sheetData>
  <mergeCells count="12">
    <mergeCell ref="AU4:AX4"/>
    <mergeCell ref="T3:X4"/>
    <mergeCell ref="Y3:AC4"/>
    <mergeCell ref="D4:H4"/>
    <mergeCell ref="I4:M4"/>
    <mergeCell ref="N4:N5"/>
    <mergeCell ref="O4:S4"/>
    <mergeCell ref="AD4:AD5"/>
    <mergeCell ref="AE4:AE5"/>
    <mergeCell ref="AF4:AJ4"/>
    <mergeCell ref="AK4:AO4"/>
    <mergeCell ref="AP4:AT4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J48"/>
  <sheetViews>
    <sheetView showGridLines="0" workbookViewId="0"/>
  </sheetViews>
  <sheetFormatPr defaultRowHeight="12.75" x14ac:dyDescent="0.2"/>
  <cols>
    <col min="1" max="1" width="5" style="7" customWidth="1"/>
    <col min="2" max="2" width="8.7109375" style="7" customWidth="1"/>
    <col min="3" max="3" width="6.140625" style="7" bestFit="1" customWidth="1"/>
    <col min="4" max="6" width="3.5703125" style="7" bestFit="1" customWidth="1"/>
    <col min="7" max="7" width="4.5703125" style="7" customWidth="1"/>
    <col min="8" max="13" width="4.5703125" style="7" bestFit="1" customWidth="1"/>
    <col min="14" max="14" width="6.28515625" style="7" customWidth="1"/>
    <col min="15" max="20" width="4.5703125" style="7" bestFit="1" customWidth="1"/>
    <col min="21" max="21" width="5.7109375" style="7" customWidth="1"/>
    <col min="22" max="24" width="7.5703125" style="7" bestFit="1" customWidth="1"/>
    <col min="25" max="25" width="6.42578125" style="7" customWidth="1"/>
    <col min="26" max="26" width="5.5703125" style="7" customWidth="1"/>
    <col min="27" max="27" width="5.28515625" style="7" customWidth="1"/>
    <col min="28" max="28" width="5.140625" style="7" customWidth="1"/>
    <col min="29" max="29" width="5.5703125" style="7" customWidth="1"/>
    <col min="30" max="30" width="7.28515625" style="7" customWidth="1"/>
    <col min="31" max="31" width="7.42578125" style="7" customWidth="1"/>
    <col min="32" max="36" width="4.5703125" style="7" bestFit="1" customWidth="1"/>
    <col min="37" max="46" width="5.5703125" style="7" bestFit="1" customWidth="1"/>
    <col min="47" max="47" width="8.85546875" style="7" bestFit="1" customWidth="1"/>
    <col min="48" max="48" width="7" style="7" bestFit="1" customWidth="1"/>
    <col min="49" max="49" width="6.5703125" style="7" bestFit="1" customWidth="1"/>
    <col min="50" max="50" width="7.42578125" style="7" bestFit="1" customWidth="1"/>
    <col min="51" max="16384" width="9.140625" style="7"/>
  </cols>
  <sheetData>
    <row r="2" spans="2:62" x14ac:dyDescent="0.2">
      <c r="B2" s="76" t="s">
        <v>225</v>
      </c>
    </row>
    <row r="3" spans="2:62" x14ac:dyDescent="0.2">
      <c r="T3" s="581" t="s">
        <v>173</v>
      </c>
      <c r="U3" s="581"/>
      <c r="V3" s="581"/>
      <c r="W3" s="581"/>
      <c r="X3" s="581"/>
      <c r="Y3" s="582" t="s">
        <v>207</v>
      </c>
      <c r="Z3" s="582"/>
      <c r="AA3" s="582"/>
      <c r="AB3" s="582"/>
      <c r="AC3" s="582"/>
    </row>
    <row r="4" spans="2:62" ht="12.75" customHeight="1" x14ac:dyDescent="0.2">
      <c r="B4" s="216" t="s">
        <v>99</v>
      </c>
      <c r="C4" s="224"/>
      <c r="D4" s="583" t="s">
        <v>182</v>
      </c>
      <c r="E4" s="584"/>
      <c r="F4" s="584"/>
      <c r="G4" s="584"/>
      <c r="H4" s="585"/>
      <c r="I4" s="583" t="s">
        <v>183</v>
      </c>
      <c r="J4" s="584"/>
      <c r="K4" s="584"/>
      <c r="L4" s="584"/>
      <c r="M4" s="585"/>
      <c r="N4" s="586" t="s">
        <v>177</v>
      </c>
      <c r="O4" s="582" t="s">
        <v>204</v>
      </c>
      <c r="P4" s="581"/>
      <c r="Q4" s="581"/>
      <c r="R4" s="581"/>
      <c r="S4" s="588"/>
      <c r="T4" s="581"/>
      <c r="U4" s="581"/>
      <c r="V4" s="581"/>
      <c r="W4" s="581"/>
      <c r="X4" s="581"/>
      <c r="Y4" s="582"/>
      <c r="Z4" s="582"/>
      <c r="AA4" s="582"/>
      <c r="AB4" s="582"/>
      <c r="AC4" s="582"/>
      <c r="AD4" s="586" t="s">
        <v>2</v>
      </c>
      <c r="AE4" s="589" t="s">
        <v>206</v>
      </c>
      <c r="AF4" s="582" t="s">
        <v>205</v>
      </c>
      <c r="AG4" s="581"/>
      <c r="AH4" s="581"/>
      <c r="AI4" s="581"/>
      <c r="AJ4" s="588"/>
      <c r="AK4" s="581" t="s">
        <v>174</v>
      </c>
      <c r="AL4" s="581"/>
      <c r="AM4" s="581"/>
      <c r="AN4" s="581"/>
      <c r="AO4" s="588"/>
      <c r="AP4" s="591" t="s">
        <v>175</v>
      </c>
      <c r="AQ4" s="591"/>
      <c r="AR4" s="591"/>
      <c r="AS4" s="591"/>
      <c r="AT4" s="592"/>
      <c r="AU4" s="580" t="s">
        <v>176</v>
      </c>
      <c r="AV4" s="580"/>
      <c r="AW4" s="580"/>
      <c r="AX4" s="580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</row>
    <row r="5" spans="2:62" x14ac:dyDescent="0.2">
      <c r="B5" s="219" t="s">
        <v>1</v>
      </c>
      <c r="C5" s="225" t="s">
        <v>0</v>
      </c>
      <c r="D5" s="220">
        <v>1</v>
      </c>
      <c r="E5" s="220">
        <v>2</v>
      </c>
      <c r="F5" s="220">
        <v>3</v>
      </c>
      <c r="G5" s="220">
        <v>4</v>
      </c>
      <c r="H5" s="221">
        <v>5</v>
      </c>
      <c r="I5" s="220">
        <v>1</v>
      </c>
      <c r="J5" s="220">
        <v>2</v>
      </c>
      <c r="K5" s="220">
        <v>3</v>
      </c>
      <c r="L5" s="220">
        <v>4</v>
      </c>
      <c r="M5" s="221">
        <v>5</v>
      </c>
      <c r="N5" s="587"/>
      <c r="O5" s="263">
        <v>1</v>
      </c>
      <c r="P5" s="263">
        <v>2</v>
      </c>
      <c r="Q5" s="263">
        <v>3</v>
      </c>
      <c r="R5" s="263">
        <v>4</v>
      </c>
      <c r="S5" s="270">
        <v>5</v>
      </c>
      <c r="T5" s="281">
        <v>1</v>
      </c>
      <c r="U5" s="282">
        <v>2</v>
      </c>
      <c r="V5" s="282">
        <v>3</v>
      </c>
      <c r="W5" s="282">
        <v>4</v>
      </c>
      <c r="X5" s="283">
        <v>5</v>
      </c>
      <c r="Y5" s="282">
        <v>1</v>
      </c>
      <c r="Z5" s="282">
        <v>2</v>
      </c>
      <c r="AA5" s="282">
        <v>3</v>
      </c>
      <c r="AB5" s="282">
        <v>4</v>
      </c>
      <c r="AC5" s="283">
        <v>5</v>
      </c>
      <c r="AD5" s="586"/>
      <c r="AE5" s="590"/>
      <c r="AF5" s="281">
        <v>1</v>
      </c>
      <c r="AG5" s="282">
        <v>2</v>
      </c>
      <c r="AH5" s="282">
        <v>3</v>
      </c>
      <c r="AI5" s="282">
        <v>4</v>
      </c>
      <c r="AJ5" s="283">
        <v>5</v>
      </c>
      <c r="AK5" s="297">
        <v>1</v>
      </c>
      <c r="AL5" s="220">
        <v>2</v>
      </c>
      <c r="AM5" s="220">
        <v>3</v>
      </c>
      <c r="AN5" s="220">
        <v>4</v>
      </c>
      <c r="AO5" s="221">
        <v>5</v>
      </c>
      <c r="AP5" s="282">
        <v>1</v>
      </c>
      <c r="AQ5" s="282">
        <v>2</v>
      </c>
      <c r="AR5" s="282">
        <v>3</v>
      </c>
      <c r="AS5" s="282">
        <v>4</v>
      </c>
      <c r="AT5" s="283">
        <v>5</v>
      </c>
      <c r="AU5" s="298" t="s">
        <v>178</v>
      </c>
      <c r="AV5" s="282" t="s">
        <v>179</v>
      </c>
      <c r="AW5" s="282" t="s">
        <v>180</v>
      </c>
      <c r="AX5" s="282" t="s">
        <v>181</v>
      </c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</row>
    <row r="6" spans="2:62" x14ac:dyDescent="0.2">
      <c r="B6" s="217">
        <v>1</v>
      </c>
      <c r="C6" s="224" t="s">
        <v>9</v>
      </c>
      <c r="D6" s="218">
        <f>Baseline!AL31</f>
        <v>0.34178944291052044</v>
      </c>
      <c r="E6" s="218">
        <f>Baseline!AM31</f>
        <v>0.86022138962281691</v>
      </c>
      <c r="F6" s="218">
        <f>Baseline!AN31</f>
        <v>1.6301922696081339</v>
      </c>
      <c r="G6" s="218">
        <f>Baseline!AO31</f>
        <v>3.089352192294788</v>
      </c>
      <c r="H6" s="222">
        <f>Baseline!AP31</f>
        <v>7.7753332966046385</v>
      </c>
      <c r="I6" s="218">
        <f>IF(D6+'Non-travel METs'!D6&gt;2.5, D6+'Non-travel METs'!D6, 0.1)</f>
        <v>0.1</v>
      </c>
      <c r="J6" s="218">
        <f>IF(E6+'Non-travel METs'!E6&gt;2.5, E6+'Non-travel METs'!E6, 0.1)</f>
        <v>0.1</v>
      </c>
      <c r="K6" s="218">
        <f>IF(F6+'Non-travel METs'!F6&gt;2.5, F6+'Non-travel METs'!F6, 0.1)</f>
        <v>0.1</v>
      </c>
      <c r="L6" s="218">
        <f>IF(G6+'Non-travel METs'!G6&gt;2.5, G6+'Non-travel METs'!G6, 0.1)</f>
        <v>3.089352192294788</v>
      </c>
      <c r="M6" s="223">
        <f>IF(H6+'Non-travel METs'!H6&gt;2.5, H6+'Non-travel METs'!H6, 0.1)</f>
        <v>7.7753332966046385</v>
      </c>
      <c r="N6" s="268">
        <f>'Phy activity RRs'!$F$6</f>
        <v>0.96065247560449929</v>
      </c>
      <c r="O6" s="261">
        <f>$N6^(I6^0.5)</f>
        <v>0.98738603830564786</v>
      </c>
      <c r="P6" s="261">
        <f t="shared" ref="P6:S21" si="0">$N6^(J6^0.5)</f>
        <v>0.98738603830564786</v>
      </c>
      <c r="Q6" s="261">
        <f t="shared" si="0"/>
        <v>0.98738603830564786</v>
      </c>
      <c r="R6" s="261">
        <f t="shared" si="0"/>
        <v>0.93187481724564403</v>
      </c>
      <c r="S6" s="271">
        <f t="shared" si="0"/>
        <v>0.89410267080512773</v>
      </c>
      <c r="T6" s="275"/>
      <c r="U6" s="275"/>
      <c r="V6" s="275"/>
      <c r="W6" s="275"/>
      <c r="X6" s="276"/>
      <c r="Y6" s="262">
        <f>O6/$O6</f>
        <v>1</v>
      </c>
      <c r="Z6" s="262">
        <f t="shared" ref="Z6:AC21" si="1">P6/$O6</f>
        <v>1</v>
      </c>
      <c r="AA6" s="262">
        <f t="shared" si="1"/>
        <v>1</v>
      </c>
      <c r="AB6" s="262">
        <f t="shared" si="1"/>
        <v>0.94377961718472247</v>
      </c>
      <c r="AC6" s="286">
        <f t="shared" si="1"/>
        <v>0.90552492755458225</v>
      </c>
      <c r="AD6" s="289"/>
      <c r="AE6" s="290"/>
      <c r="AF6" s="214">
        <f>GBDUS!K126/(Y6+Z6+AA6+AB6+AC6)</f>
        <v>0</v>
      </c>
      <c r="AG6" s="214">
        <f>$AF6*Z6</f>
        <v>0</v>
      </c>
      <c r="AH6" s="214">
        <f t="shared" ref="AH6:AJ21" si="2">$AF6*AA6</f>
        <v>0</v>
      </c>
      <c r="AI6" s="214">
        <f t="shared" si="2"/>
        <v>0</v>
      </c>
      <c r="AJ6" s="292">
        <f t="shared" si="2"/>
        <v>0</v>
      </c>
      <c r="AK6" s="301">
        <f>GBDUS!L126/(Y6+Z6+AA6+AB6+AC6)</f>
        <v>0</v>
      </c>
      <c r="AL6" s="301">
        <f>$AK6*Z6</f>
        <v>0</v>
      </c>
      <c r="AM6" s="301">
        <f t="shared" ref="AM6:AO21" si="3">$AK6*AA6</f>
        <v>0</v>
      </c>
      <c r="AN6" s="301">
        <f t="shared" si="3"/>
        <v>0</v>
      </c>
      <c r="AO6" s="303">
        <f t="shared" si="3"/>
        <v>0</v>
      </c>
      <c r="AP6" s="301">
        <f>GBDUS!M126/(Y6+Z6+AA6+AB6+AC6)</f>
        <v>4.3970503322899097E-2</v>
      </c>
      <c r="AQ6" s="301">
        <f>$AP6*Z6</f>
        <v>4.3970503322899097E-2</v>
      </c>
      <c r="AR6" s="301">
        <f t="shared" ref="AR6:AT21" si="4">$AP6*AA6</f>
        <v>4.3970503322899097E-2</v>
      </c>
      <c r="AS6" s="301">
        <f t="shared" si="4"/>
        <v>4.1498464793505281E-2</v>
      </c>
      <c r="AT6" s="302">
        <f t="shared" si="4"/>
        <v>3.9816386836006724E-2</v>
      </c>
      <c r="AU6" s="299"/>
      <c r="AV6" s="299"/>
      <c r="AW6" s="299"/>
      <c r="AX6" s="299"/>
    </row>
    <row r="7" spans="2:62" x14ac:dyDescent="0.2">
      <c r="B7" s="217">
        <v>1</v>
      </c>
      <c r="C7" s="224" t="s">
        <v>10</v>
      </c>
      <c r="D7" s="218">
        <f>Baseline!AL32</f>
        <v>0.70925660709360083</v>
      </c>
      <c r="E7" s="218">
        <f>Baseline!AM32</f>
        <v>1.7850688978505065</v>
      </c>
      <c r="F7" s="218">
        <f>Baseline!AN32</f>
        <v>3.382856498452989</v>
      </c>
      <c r="G7" s="218">
        <f>Baseline!AO32</f>
        <v>6.410799102995739</v>
      </c>
      <c r="H7" s="223">
        <f>Baseline!AP32</f>
        <v>16.134806464503455</v>
      </c>
      <c r="I7" s="218">
        <f>IF(D7+'Non-travel METs'!D7&gt;2.5, D7+'Non-travel METs'!D7, 0.1)</f>
        <v>0.1</v>
      </c>
      <c r="J7" s="218">
        <f>IF(E7+'Non-travel METs'!E7&gt;2.5, E7+'Non-travel METs'!E7, 0.1)</f>
        <v>0.1</v>
      </c>
      <c r="K7" s="218">
        <f>IF(F7+'Non-travel METs'!F7&gt;2.5, F7+'Non-travel METs'!F7, 0.1)</f>
        <v>3.382856498452989</v>
      </c>
      <c r="L7" s="218">
        <f>IF(G7+'Non-travel METs'!G7&gt;2.5, G7+'Non-travel METs'!G7, 0.1)</f>
        <v>6.410799102995739</v>
      </c>
      <c r="M7" s="223">
        <f>IF(H7+'Non-travel METs'!H7&gt;2.5, H7+'Non-travel METs'!H7, 0.1)</f>
        <v>16.134806464503455</v>
      </c>
      <c r="N7" s="268">
        <f>'Phy activity RRs'!$F$6</f>
        <v>0.96065247560449929</v>
      </c>
      <c r="O7" s="261">
        <f t="shared" ref="O7:O13" si="5">$N7^(I7^0.5)</f>
        <v>0.98738603830564786</v>
      </c>
      <c r="P7" s="261">
        <f t="shared" si="0"/>
        <v>0.98738603830564786</v>
      </c>
      <c r="Q7" s="261">
        <f t="shared" si="0"/>
        <v>0.92882736763251939</v>
      </c>
      <c r="R7" s="261">
        <f t="shared" si="0"/>
        <v>0.90335543481975056</v>
      </c>
      <c r="S7" s="271">
        <f t="shared" si="0"/>
        <v>0.85108330117004238</v>
      </c>
      <c r="T7" s="275"/>
      <c r="U7" s="275"/>
      <c r="V7" s="275"/>
      <c r="W7" s="275"/>
      <c r="X7" s="276"/>
      <c r="Y7" s="262">
        <f t="shared" ref="Y7:Y21" si="6">O7/$O7</f>
        <v>1</v>
      </c>
      <c r="Z7" s="262">
        <f t="shared" si="1"/>
        <v>1</v>
      </c>
      <c r="AA7" s="262">
        <f t="shared" si="1"/>
        <v>0.94069323607855038</v>
      </c>
      <c r="AB7" s="262">
        <f t="shared" si="1"/>
        <v>0.91489589661395898</v>
      </c>
      <c r="AC7" s="273">
        <f t="shared" si="1"/>
        <v>0.86195598089527303</v>
      </c>
      <c r="AD7" s="290"/>
      <c r="AE7" s="290"/>
      <c r="AF7" s="214">
        <f>GBDUS!K127/(Y7+Z7+AA7+AB7+AC7)</f>
        <v>0</v>
      </c>
      <c r="AG7" s="214">
        <f t="shared" ref="AG7:AG21" si="7">$AF7*Z7</f>
        <v>0</v>
      </c>
      <c r="AH7" s="214">
        <f t="shared" si="2"/>
        <v>0</v>
      </c>
      <c r="AI7" s="214">
        <f t="shared" si="2"/>
        <v>0</v>
      </c>
      <c r="AJ7" s="292">
        <f t="shared" si="2"/>
        <v>0</v>
      </c>
      <c r="AK7" s="301">
        <f>GBDUS!L127/(Y7+Z7+AA7+AB7+AC7)</f>
        <v>0</v>
      </c>
      <c r="AL7" s="301">
        <f t="shared" ref="AL7:AL21" si="8">$AK7*Z7</f>
        <v>0</v>
      </c>
      <c r="AM7" s="301">
        <f t="shared" si="3"/>
        <v>0</v>
      </c>
      <c r="AN7" s="301">
        <f t="shared" si="3"/>
        <v>0</v>
      </c>
      <c r="AO7" s="303">
        <f t="shared" si="3"/>
        <v>0</v>
      </c>
      <c r="AP7" s="301">
        <f>GBDUS!M127/(Y7+Z7+AA7+AB7+AC7)</f>
        <v>77.237332355748492</v>
      </c>
      <c r="AQ7" s="301">
        <f t="shared" ref="AQ7:AQ21" si="9">$AP7*Z7</f>
        <v>77.237332355748492</v>
      </c>
      <c r="AR7" s="301">
        <f t="shared" si="4"/>
        <v>72.656636119803579</v>
      </c>
      <c r="AS7" s="301">
        <f t="shared" si="4"/>
        <v>70.664118437682859</v>
      </c>
      <c r="AT7" s="303">
        <f t="shared" si="4"/>
        <v>66.575180572433396</v>
      </c>
      <c r="AU7" s="299"/>
      <c r="AV7" s="299"/>
      <c r="AW7" s="299"/>
      <c r="AX7" s="299"/>
    </row>
    <row r="8" spans="2:62" x14ac:dyDescent="0.2">
      <c r="B8" s="217">
        <v>1</v>
      </c>
      <c r="C8" s="224" t="s">
        <v>11</v>
      </c>
      <c r="D8" s="218">
        <f>Baseline!AL33</f>
        <v>0.54814846293685915</v>
      </c>
      <c r="E8" s="218">
        <f>Baseline!AM33</f>
        <v>1.3795892245583525</v>
      </c>
      <c r="F8" s="218">
        <f>Baseline!AN33</f>
        <v>2.614438232111187</v>
      </c>
      <c r="G8" s="218">
        <f>Baseline!AO33</f>
        <v>4.9545815144452483</v>
      </c>
      <c r="H8" s="223">
        <f>Baseline!AP33</f>
        <v>12.469773668437746</v>
      </c>
      <c r="I8" s="218">
        <f>IF(D8+'Non-travel METs'!D8&gt;2.5, D8+'Non-travel METs'!D8, 0.1)</f>
        <v>65.425648462936863</v>
      </c>
      <c r="J8" s="218">
        <f>IF(E8+'Non-travel METs'!E8&gt;2.5, E8+'Non-travel METs'!E8, 0.1)</f>
        <v>66.257089224558356</v>
      </c>
      <c r="K8" s="218">
        <f>IF(F8+'Non-travel METs'!F8&gt;2.5, F8+'Non-travel METs'!F8, 0.1)</f>
        <v>67.491938232111181</v>
      </c>
      <c r="L8" s="218">
        <f>IF(G8+'Non-travel METs'!G8&gt;2.5, G8+'Non-travel METs'!G8, 0.1)</f>
        <v>69.83208151444525</v>
      </c>
      <c r="M8" s="223">
        <f>IF(H8+'Non-travel METs'!H8&gt;2.5, H8+'Non-travel METs'!H8, 0.1)</f>
        <v>77.347273668437737</v>
      </c>
      <c r="N8" s="268">
        <f>'Phy activity RRs'!$F$6</f>
        <v>0.96065247560449929</v>
      </c>
      <c r="O8" s="261">
        <f t="shared" si="5"/>
        <v>0.72274585722603957</v>
      </c>
      <c r="P8" s="261">
        <f t="shared" si="0"/>
        <v>0.72126095366485632</v>
      </c>
      <c r="Q8" s="261">
        <f t="shared" si="0"/>
        <v>0.71907823521053138</v>
      </c>
      <c r="R8" s="261">
        <f t="shared" si="0"/>
        <v>0.71501360658407764</v>
      </c>
      <c r="S8" s="271">
        <f t="shared" si="0"/>
        <v>0.70254698256796067</v>
      </c>
      <c r="T8" s="275"/>
      <c r="U8" s="275"/>
      <c r="V8" s="275"/>
      <c r="W8" s="275"/>
      <c r="X8" s="276"/>
      <c r="Y8" s="262">
        <f t="shared" si="6"/>
        <v>1</v>
      </c>
      <c r="Z8" s="262">
        <f t="shared" si="1"/>
        <v>0.9979454692872507</v>
      </c>
      <c r="AA8" s="262">
        <f t="shared" si="1"/>
        <v>0.99492543336106443</v>
      </c>
      <c r="AB8" s="262">
        <f t="shared" si="1"/>
        <v>0.98930156352381049</v>
      </c>
      <c r="AC8" s="273">
        <f t="shared" si="1"/>
        <v>0.97205259019317813</v>
      </c>
      <c r="AD8" s="290"/>
      <c r="AE8" s="290"/>
      <c r="AF8" s="214">
        <f>GBDUS!K128/(Y8+Z8+AA8+AB8+AC8)</f>
        <v>0</v>
      </c>
      <c r="AG8" s="214">
        <f t="shared" si="7"/>
        <v>0</v>
      </c>
      <c r="AH8" s="214">
        <f t="shared" si="2"/>
        <v>0</v>
      </c>
      <c r="AI8" s="214">
        <f t="shared" si="2"/>
        <v>0</v>
      </c>
      <c r="AJ8" s="292">
        <f t="shared" si="2"/>
        <v>0</v>
      </c>
      <c r="AK8" s="301">
        <f>GBDUS!L128/(Y8+Z8+AA8+AB8+AC8)</f>
        <v>0</v>
      </c>
      <c r="AL8" s="301">
        <f t="shared" si="8"/>
        <v>0</v>
      </c>
      <c r="AM8" s="301">
        <f t="shared" si="3"/>
        <v>0</v>
      </c>
      <c r="AN8" s="301">
        <f t="shared" si="3"/>
        <v>0</v>
      </c>
      <c r="AO8" s="303">
        <f t="shared" si="3"/>
        <v>0</v>
      </c>
      <c r="AP8" s="301">
        <f>GBDUS!M128/(Y8+Z8+AA8+AB8+AC8)</f>
        <v>213.86339919176419</v>
      </c>
      <c r="AQ8" s="301">
        <f t="shared" si="9"/>
        <v>213.42401026979175</v>
      </c>
      <c r="AR8" s="301">
        <f t="shared" si="4"/>
        <v>212.7781351209363</v>
      </c>
      <c r="AS8" s="301">
        <f t="shared" si="4"/>
        <v>211.57539520092914</v>
      </c>
      <c r="AT8" s="303">
        <f t="shared" si="4"/>
        <v>207.88647113187201</v>
      </c>
      <c r="AU8" s="299"/>
      <c r="AV8" s="299"/>
      <c r="AW8" s="299"/>
      <c r="AX8" s="299"/>
    </row>
    <row r="9" spans="2:62" x14ac:dyDescent="0.2">
      <c r="B9" s="217">
        <v>1</v>
      </c>
      <c r="C9" s="224" t="s">
        <v>12</v>
      </c>
      <c r="D9" s="218">
        <f>Baseline!AL34</f>
        <v>0.47247961244187975</v>
      </c>
      <c r="E9" s="218">
        <f>Baseline!AM34</f>
        <v>1.1891445953455264</v>
      </c>
      <c r="F9" s="218">
        <f>Baseline!AN34</f>
        <v>2.253529556651181</v>
      </c>
      <c r="G9" s="218">
        <f>Baseline!AO34</f>
        <v>4.2706290577092139</v>
      </c>
      <c r="H9" s="223">
        <f>Baseline!AP34</f>
        <v>10.7483906796617</v>
      </c>
      <c r="I9" s="218">
        <f>IF(D9+'Non-travel METs'!D9&gt;2.5, D9+'Non-travel METs'!D9, 0.1)</f>
        <v>68.166229612441867</v>
      </c>
      <c r="J9" s="218">
        <f>IF(E9+'Non-travel METs'!E9&gt;2.5, E9+'Non-travel METs'!E9, 0.1)</f>
        <v>68.882894595345519</v>
      </c>
      <c r="K9" s="218">
        <f>IF(F9+'Non-travel METs'!F9&gt;2.5, F9+'Non-travel METs'!F9, 0.1)</f>
        <v>69.947279556651182</v>
      </c>
      <c r="L9" s="218">
        <f>IF(G9+'Non-travel METs'!G9&gt;2.5, G9+'Non-travel METs'!G9, 0.1)</f>
        <v>71.964379057709209</v>
      </c>
      <c r="M9" s="223">
        <f>IF(H9+'Non-travel METs'!H9&gt;2.5, H9+'Non-travel METs'!H9, 0.1)</f>
        <v>78.442140679661691</v>
      </c>
      <c r="N9" s="268">
        <f>'Phy activity RRs'!$F$6</f>
        <v>0.96065247560449929</v>
      </c>
      <c r="O9" s="261">
        <f t="shared" si="5"/>
        <v>0.71789754643673154</v>
      </c>
      <c r="P9" s="261">
        <f t="shared" si="0"/>
        <v>0.71665115392396672</v>
      </c>
      <c r="Q9" s="261">
        <f t="shared" si="0"/>
        <v>0.71481587867997465</v>
      </c>
      <c r="R9" s="261">
        <f t="shared" si="0"/>
        <v>0.71138843545472319</v>
      </c>
      <c r="S9" s="271">
        <f t="shared" si="0"/>
        <v>0.70079987361789309</v>
      </c>
      <c r="T9" s="275"/>
      <c r="U9" s="275"/>
      <c r="V9" s="275"/>
      <c r="W9" s="275"/>
      <c r="X9" s="276"/>
      <c r="Y9" s="262">
        <f t="shared" si="6"/>
        <v>1</v>
      </c>
      <c r="Z9" s="262">
        <f t="shared" si="1"/>
        <v>0.99826382954092652</v>
      </c>
      <c r="AA9" s="262">
        <f t="shared" si="1"/>
        <v>0.99570737109765495</v>
      </c>
      <c r="AB9" s="262">
        <f t="shared" si="1"/>
        <v>0.99093309203476709</v>
      </c>
      <c r="AC9" s="273">
        <f t="shared" si="1"/>
        <v>0.97618368678970646</v>
      </c>
      <c r="AD9" s="290"/>
      <c r="AE9" s="290"/>
      <c r="AF9" s="214">
        <f>GBDUS!K129/(Y9+Z9+AA9+AB9+AC9)</f>
        <v>0</v>
      </c>
      <c r="AG9" s="214">
        <f t="shared" si="7"/>
        <v>0</v>
      </c>
      <c r="AH9" s="214">
        <f t="shared" si="2"/>
        <v>0</v>
      </c>
      <c r="AI9" s="214">
        <f t="shared" si="2"/>
        <v>0</v>
      </c>
      <c r="AJ9" s="292">
        <f t="shared" si="2"/>
        <v>0</v>
      </c>
      <c r="AK9" s="301">
        <f>GBDUS!L129/(Y9+Z9+AA9+AB9+AC9)</f>
        <v>0</v>
      </c>
      <c r="AL9" s="301">
        <f t="shared" si="8"/>
        <v>0</v>
      </c>
      <c r="AM9" s="301">
        <f t="shared" si="3"/>
        <v>0</v>
      </c>
      <c r="AN9" s="301">
        <f t="shared" si="3"/>
        <v>0</v>
      </c>
      <c r="AO9" s="303">
        <f t="shared" si="3"/>
        <v>0</v>
      </c>
      <c r="AP9" s="301">
        <f>GBDUS!M129/(Y9+Z9+AA9+AB9+AC9)</f>
        <v>195.0025738938885</v>
      </c>
      <c r="AQ9" s="301">
        <f t="shared" si="9"/>
        <v>194.66401618565064</v>
      </c>
      <c r="AR9" s="301">
        <f t="shared" si="4"/>
        <v>194.16550020915992</v>
      </c>
      <c r="AS9" s="301">
        <f t="shared" si="4"/>
        <v>193.23450350340909</v>
      </c>
      <c r="AT9" s="303">
        <f t="shared" si="4"/>
        <v>190.35833151721823</v>
      </c>
      <c r="AU9" s="299"/>
      <c r="AV9" s="299"/>
      <c r="AW9" s="299"/>
      <c r="AX9" s="299"/>
    </row>
    <row r="10" spans="2:62" x14ac:dyDescent="0.2">
      <c r="B10" s="217">
        <v>1</v>
      </c>
      <c r="C10" s="224" t="s">
        <v>13</v>
      </c>
      <c r="D10" s="218">
        <f>Baseline!AL35</f>
        <v>0.40064658164119982</v>
      </c>
      <c r="E10" s="218">
        <f>Baseline!AM35</f>
        <v>1.0083540213301772</v>
      </c>
      <c r="F10" s="218">
        <f>Baseline!AN35</f>
        <v>1.9109161320918737</v>
      </c>
      <c r="G10" s="218">
        <f>Baseline!AO35</f>
        <v>3.6213476483903273</v>
      </c>
      <c r="H10" s="223">
        <f>Baseline!AP35</f>
        <v>9.1142683632308312</v>
      </c>
      <c r="I10" s="218">
        <f>IF(D10+'Non-travel METs'!D10&gt;2.5, D10+'Non-travel METs'!D10, 0.1)</f>
        <v>58.175646581641196</v>
      </c>
      <c r="J10" s="218">
        <f>IF(E10+'Non-travel METs'!E10&gt;2.5, E10+'Non-travel METs'!E10, 0.1)</f>
        <v>58.783354021330176</v>
      </c>
      <c r="K10" s="218">
        <f>IF(F10+'Non-travel METs'!F10&gt;2.5, F10+'Non-travel METs'!F10, 0.1)</f>
        <v>59.685916132091876</v>
      </c>
      <c r="L10" s="218">
        <f>IF(G10+'Non-travel METs'!G10&gt;2.5, G10+'Non-travel METs'!G10, 0.1)</f>
        <v>61.396347648390325</v>
      </c>
      <c r="M10" s="223">
        <f>IF(H10+'Non-travel METs'!H10&gt;2.5, H10+'Non-travel METs'!H10, 0.1)</f>
        <v>66.889268363230826</v>
      </c>
      <c r="N10" s="268">
        <f>'Phy activity RRs'!$F$6</f>
        <v>0.96065247560449929</v>
      </c>
      <c r="O10" s="261">
        <f t="shared" si="5"/>
        <v>0.73625465713877114</v>
      </c>
      <c r="P10" s="261">
        <f t="shared" si="0"/>
        <v>0.73508124374351924</v>
      </c>
      <c r="Q10" s="261">
        <f t="shared" si="0"/>
        <v>0.73335305242732618</v>
      </c>
      <c r="R10" s="261">
        <f t="shared" si="0"/>
        <v>0.73012439701969856</v>
      </c>
      <c r="S10" s="271">
        <f t="shared" si="0"/>
        <v>0.72014017045724443</v>
      </c>
      <c r="T10" s="275"/>
      <c r="U10" s="275"/>
      <c r="V10" s="275"/>
      <c r="W10" s="275"/>
      <c r="X10" s="276"/>
      <c r="Y10" s="262">
        <f t="shared" si="6"/>
        <v>1</v>
      </c>
      <c r="Z10" s="262">
        <f t="shared" si="1"/>
        <v>0.99840623976517584</v>
      </c>
      <c r="AA10" s="262">
        <f t="shared" si="1"/>
        <v>0.99605896589812937</v>
      </c>
      <c r="AB10" s="262">
        <f t="shared" si="1"/>
        <v>0.99167372313419933</v>
      </c>
      <c r="AC10" s="273">
        <f t="shared" si="1"/>
        <v>0.97811288998272594</v>
      </c>
      <c r="AD10" s="290"/>
      <c r="AE10" s="290"/>
      <c r="AF10" s="214">
        <f>GBDUS!K130/(Y10+Z10+AA10+AB10+AC10)</f>
        <v>0</v>
      </c>
      <c r="AG10" s="214">
        <f t="shared" si="7"/>
        <v>0</v>
      </c>
      <c r="AH10" s="214">
        <f t="shared" si="2"/>
        <v>0</v>
      </c>
      <c r="AI10" s="214">
        <f t="shared" si="2"/>
        <v>0</v>
      </c>
      <c r="AJ10" s="292">
        <f t="shared" si="2"/>
        <v>0</v>
      </c>
      <c r="AK10" s="301">
        <f>GBDUS!L130/(Y10+Z10+AA10+AB10+AC10)</f>
        <v>0</v>
      </c>
      <c r="AL10" s="301">
        <f t="shared" si="8"/>
        <v>0</v>
      </c>
      <c r="AM10" s="301">
        <f t="shared" si="3"/>
        <v>0</v>
      </c>
      <c r="AN10" s="301">
        <f t="shared" si="3"/>
        <v>0</v>
      </c>
      <c r="AO10" s="303">
        <f t="shared" si="3"/>
        <v>0</v>
      </c>
      <c r="AP10" s="301">
        <f>GBDUS!M130/(Y10+Z10+AA10+AB10+AC10)</f>
        <v>181.44536503069509</v>
      </c>
      <c r="AQ10" s="301">
        <f t="shared" si="9"/>
        <v>181.15618462311602</v>
      </c>
      <c r="AR10" s="301">
        <f t="shared" si="4"/>
        <v>180.73028265948275</v>
      </c>
      <c r="AS10" s="301">
        <f t="shared" si="4"/>
        <v>179.93460068543325</v>
      </c>
      <c r="AT10" s="303">
        <f t="shared" si="4"/>
        <v>177.47405036414381</v>
      </c>
      <c r="AU10" s="299"/>
      <c r="AV10" s="299"/>
      <c r="AW10" s="299"/>
      <c r="AX10" s="299"/>
    </row>
    <row r="11" spans="2:62" x14ac:dyDescent="0.2">
      <c r="B11" s="217">
        <v>1</v>
      </c>
      <c r="C11" s="224" t="s">
        <v>14</v>
      </c>
      <c r="D11" s="218">
        <f>Baseline!AL36</f>
        <v>0.32427865889454843</v>
      </c>
      <c r="E11" s="218">
        <f>Baseline!AM36</f>
        <v>0.8161499553756566</v>
      </c>
      <c r="F11" s="218">
        <f>Baseline!AN36</f>
        <v>1.5466731752366658</v>
      </c>
      <c r="G11" s="218">
        <f>Baseline!AO36</f>
        <v>2.9310764464792394</v>
      </c>
      <c r="H11" s="223">
        <f>Baseline!AP36</f>
        <v>7.3769822508566136</v>
      </c>
      <c r="I11" s="218">
        <f>IF(D11+'Non-travel METs'!D11&gt;2.5, D11+'Non-travel METs'!D11, 0.1)</f>
        <v>23.407611992227849</v>
      </c>
      <c r="J11" s="218">
        <f>IF(E11+'Non-travel METs'!E11&gt;2.5, E11+'Non-travel METs'!E11, 0.1)</f>
        <v>23.899483288708957</v>
      </c>
      <c r="K11" s="218">
        <f>IF(F11+'Non-travel METs'!F11&gt;2.5, F11+'Non-travel METs'!F11, 0.1)</f>
        <v>24.630006508569966</v>
      </c>
      <c r="L11" s="218">
        <f>IF(G11+'Non-travel METs'!G11&gt;2.5, G11+'Non-travel METs'!G11, 0.1)</f>
        <v>26.014409779812539</v>
      </c>
      <c r="M11" s="223">
        <f>IF(H11+'Non-travel METs'!H11&gt;2.5, H11+'Non-travel METs'!H11, 0.1)</f>
        <v>30.460315584189914</v>
      </c>
      <c r="N11" s="268">
        <f>'Phy activity RRs'!$F$6</f>
        <v>0.96065247560449929</v>
      </c>
      <c r="O11" s="261">
        <f t="shared" si="5"/>
        <v>0.82348051034016667</v>
      </c>
      <c r="P11" s="261">
        <f t="shared" si="0"/>
        <v>0.82181058554583197</v>
      </c>
      <c r="Q11" s="261">
        <f t="shared" si="0"/>
        <v>0.81936794771717547</v>
      </c>
      <c r="R11" s="261">
        <f t="shared" si="0"/>
        <v>0.81485554490002199</v>
      </c>
      <c r="S11" s="271">
        <f t="shared" si="0"/>
        <v>0.80127563427177839</v>
      </c>
      <c r="T11" s="275"/>
      <c r="U11" s="275"/>
      <c r="V11" s="275"/>
      <c r="W11" s="275"/>
      <c r="X11" s="276"/>
      <c r="Y11" s="262">
        <f t="shared" si="6"/>
        <v>1</v>
      </c>
      <c r="Z11" s="262">
        <f t="shared" si="1"/>
        <v>0.99797211376181216</v>
      </c>
      <c r="AA11" s="262">
        <f t="shared" si="1"/>
        <v>0.99500587740529234</v>
      </c>
      <c r="AB11" s="262">
        <f t="shared" si="1"/>
        <v>0.98952620574276628</v>
      </c>
      <c r="AC11" s="273">
        <f t="shared" si="1"/>
        <v>0.9730353350327432</v>
      </c>
      <c r="AD11" s="290"/>
      <c r="AE11" s="290"/>
      <c r="AF11" s="214">
        <f>GBDUS!K131/(Y11+Z11+AA11+AB11+AC11)</f>
        <v>0</v>
      </c>
      <c r="AG11" s="214">
        <f t="shared" si="7"/>
        <v>0</v>
      </c>
      <c r="AH11" s="214">
        <f t="shared" si="2"/>
        <v>0</v>
      </c>
      <c r="AI11" s="214">
        <f t="shared" si="2"/>
        <v>0</v>
      </c>
      <c r="AJ11" s="292">
        <f t="shared" si="2"/>
        <v>0</v>
      </c>
      <c r="AK11" s="301">
        <f>GBDUS!L131/(Y11+Z11+AA11+AB11+AC11)</f>
        <v>0</v>
      </c>
      <c r="AL11" s="301">
        <f t="shared" si="8"/>
        <v>0</v>
      </c>
      <c r="AM11" s="301">
        <f t="shared" si="3"/>
        <v>0</v>
      </c>
      <c r="AN11" s="301">
        <f t="shared" si="3"/>
        <v>0</v>
      </c>
      <c r="AO11" s="303">
        <f t="shared" si="3"/>
        <v>0</v>
      </c>
      <c r="AP11" s="301">
        <f>GBDUS!M131/(Y11+Z11+AA11+AB11+AC11)</f>
        <v>62.328863549134134</v>
      </c>
      <c r="AQ11" s="301">
        <f t="shared" si="9"/>
        <v>62.202467704500954</v>
      </c>
      <c r="AR11" s="301">
        <f t="shared" si="4"/>
        <v>62.017585563380955</v>
      </c>
      <c r="AS11" s="301">
        <f t="shared" si="4"/>
        <v>61.67604385603331</v>
      </c>
      <c r="AT11" s="303">
        <f t="shared" si="4"/>
        <v>60.648186625741864</v>
      </c>
      <c r="AU11" s="299"/>
      <c r="AV11" s="299"/>
      <c r="AW11" s="299"/>
      <c r="AX11" s="299"/>
    </row>
    <row r="12" spans="2:62" x14ac:dyDescent="0.2">
      <c r="B12" s="217">
        <v>1</v>
      </c>
      <c r="C12" s="224" t="s">
        <v>15</v>
      </c>
      <c r="D12" s="218">
        <f>Baseline!AL37</f>
        <v>0.187470361714002</v>
      </c>
      <c r="E12" s="218">
        <f>Baseline!AM37</f>
        <v>0.47182854360112558</v>
      </c>
      <c r="F12" s="218">
        <f>Baseline!AN37</f>
        <v>0.89415498572556928</v>
      </c>
      <c r="G12" s="218">
        <f>Baseline!AO37</f>
        <v>1.69449930348806</v>
      </c>
      <c r="H12" s="223">
        <f>Baseline!AP37</f>
        <v>4.2647442037669991</v>
      </c>
      <c r="I12" s="218">
        <f>IF(D12+'Non-travel METs'!D12&gt;2.5, D12+'Non-travel METs'!D12, 0.1)</f>
        <v>0.1</v>
      </c>
      <c r="J12" s="218">
        <f>IF(E12+'Non-travel METs'!E12&gt;2.5, E12+'Non-travel METs'!E12, 0.1)</f>
        <v>0.1</v>
      </c>
      <c r="K12" s="218">
        <f>IF(F12+'Non-travel METs'!F12&gt;2.5, F12+'Non-travel METs'!F12, 0.1)</f>
        <v>2.7691549857255691</v>
      </c>
      <c r="L12" s="218">
        <f>IF(G12+'Non-travel METs'!G12&gt;2.5, G12+'Non-travel METs'!G12, 0.1)</f>
        <v>3.56949930348806</v>
      </c>
      <c r="M12" s="223">
        <f>IF(H12+'Non-travel METs'!H12&gt;2.5, H12+'Non-travel METs'!H12, 0.1)</f>
        <v>6.1397442037669991</v>
      </c>
      <c r="N12" s="268">
        <f>'Phy activity RRs'!$F$6</f>
        <v>0.96065247560449929</v>
      </c>
      <c r="O12" s="261">
        <f t="shared" si="5"/>
        <v>0.98738603830564786</v>
      </c>
      <c r="P12" s="261">
        <f t="shared" si="0"/>
        <v>0.98738603830564786</v>
      </c>
      <c r="Q12" s="261">
        <f t="shared" si="0"/>
        <v>0.93538193248587598</v>
      </c>
      <c r="R12" s="261">
        <f t="shared" si="0"/>
        <v>0.92696282108914507</v>
      </c>
      <c r="S12" s="271">
        <f t="shared" si="0"/>
        <v>0.90531957191376178</v>
      </c>
      <c r="T12" s="275"/>
      <c r="U12" s="275"/>
      <c r="V12" s="275"/>
      <c r="W12" s="275"/>
      <c r="X12" s="276"/>
      <c r="Y12" s="262">
        <f t="shared" si="6"/>
        <v>1</v>
      </c>
      <c r="Z12" s="262">
        <f t="shared" si="1"/>
        <v>1</v>
      </c>
      <c r="AA12" s="262">
        <f t="shared" si="1"/>
        <v>0.9473315361952952</v>
      </c>
      <c r="AB12" s="262">
        <f t="shared" si="1"/>
        <v>0.93880486975470212</v>
      </c>
      <c r="AC12" s="273">
        <f t="shared" si="1"/>
        <v>0.9168851257683247</v>
      </c>
      <c r="AD12" s="290"/>
      <c r="AE12" s="290"/>
      <c r="AF12" s="214">
        <f>GBDUS!K132/(Y12+Z12+AA12+AB12+AC12)</f>
        <v>0</v>
      </c>
      <c r="AG12" s="214">
        <f t="shared" si="7"/>
        <v>0</v>
      </c>
      <c r="AH12" s="214">
        <f t="shared" si="2"/>
        <v>0</v>
      </c>
      <c r="AI12" s="214">
        <f t="shared" si="2"/>
        <v>0</v>
      </c>
      <c r="AJ12" s="292">
        <f t="shared" si="2"/>
        <v>0</v>
      </c>
      <c r="AK12" s="301">
        <f>GBDUS!L132/(Y12+Z12+AA12+AB12+AC12)</f>
        <v>0</v>
      </c>
      <c r="AL12" s="301">
        <f t="shared" si="8"/>
        <v>0</v>
      </c>
      <c r="AM12" s="301">
        <f t="shared" si="3"/>
        <v>0</v>
      </c>
      <c r="AN12" s="301">
        <f t="shared" si="3"/>
        <v>0</v>
      </c>
      <c r="AO12" s="303">
        <f t="shared" si="3"/>
        <v>0</v>
      </c>
      <c r="AP12" s="301">
        <f>GBDUS!M132/(Y12+Z12+AA12+AB12+AC12)</f>
        <v>29.215085220390549</v>
      </c>
      <c r="AQ12" s="301">
        <f t="shared" si="9"/>
        <v>29.215085220390549</v>
      </c>
      <c r="AR12" s="301">
        <f t="shared" si="4"/>
        <v>27.676371561909043</v>
      </c>
      <c r="AS12" s="301">
        <f t="shared" si="4"/>
        <v>27.427264275201271</v>
      </c>
      <c r="AT12" s="303">
        <f t="shared" si="4"/>
        <v>26.786877086630113</v>
      </c>
      <c r="AU12" s="299"/>
      <c r="AV12" s="299"/>
      <c r="AW12" s="299"/>
      <c r="AX12" s="299"/>
    </row>
    <row r="13" spans="2:62" x14ac:dyDescent="0.2">
      <c r="B13" s="226">
        <v>1</v>
      </c>
      <c r="C13" s="227" t="s">
        <v>16</v>
      </c>
      <c r="D13" s="228">
        <f>Baseline!AL38</f>
        <v>0.17399761857642834</v>
      </c>
      <c r="E13" s="228">
        <f>Baseline!AM38</f>
        <v>0.4379201182116701</v>
      </c>
      <c r="F13" s="228">
        <f>Baseline!AN38</f>
        <v>0.82989565247565811</v>
      </c>
      <c r="G13" s="228">
        <f>Baseline!AO38</f>
        <v>1.5727224335126344</v>
      </c>
      <c r="H13" s="229">
        <f>Baseline!AP38</f>
        <v>3.9582541395270634</v>
      </c>
      <c r="I13" s="230">
        <f>IF(D13+'Non-travel METs'!D13&gt;2.5, D13+'Non-travel METs'!D13, 0.1)</f>
        <v>0.1</v>
      </c>
      <c r="J13" s="228">
        <f>IF(E13+'Non-travel METs'!E13&gt;2.5, E13+'Non-travel METs'!E13, 0.1)</f>
        <v>0.1</v>
      </c>
      <c r="K13" s="228">
        <f>IF(F13+'Non-travel METs'!F13&gt;2.5, F13+'Non-travel METs'!F13, 0.1)</f>
        <v>0.1</v>
      </c>
      <c r="L13" s="228">
        <f>IF(G13+'Non-travel METs'!G13&gt;2.5, G13+'Non-travel METs'!G13, 0.1)</f>
        <v>0.1</v>
      </c>
      <c r="M13" s="229">
        <f>IF(H13+'Non-travel METs'!H13&gt;2.5, H13+'Non-travel METs'!H13, 0.1)</f>
        <v>4.291587472860396</v>
      </c>
      <c r="N13" s="268">
        <f>'Phy activity RRs'!$F$6</f>
        <v>0.96065247560449929</v>
      </c>
      <c r="O13" s="265">
        <f t="shared" si="5"/>
        <v>0.98738603830564786</v>
      </c>
      <c r="P13" s="265">
        <f t="shared" si="0"/>
        <v>0.98738603830564786</v>
      </c>
      <c r="Q13" s="265">
        <f t="shared" si="0"/>
        <v>0.98738603830564786</v>
      </c>
      <c r="R13" s="265">
        <f t="shared" si="0"/>
        <v>0.98738603830564786</v>
      </c>
      <c r="S13" s="272">
        <f t="shared" si="0"/>
        <v>0.92020397247835073</v>
      </c>
      <c r="T13" s="275"/>
      <c r="U13" s="275"/>
      <c r="V13" s="275"/>
      <c r="W13" s="275"/>
      <c r="X13" s="276"/>
      <c r="Y13" s="287">
        <f t="shared" si="6"/>
        <v>1</v>
      </c>
      <c r="Z13" s="264">
        <f t="shared" si="1"/>
        <v>1</v>
      </c>
      <c r="AA13" s="264">
        <f t="shared" si="1"/>
        <v>1</v>
      </c>
      <c r="AB13" s="264">
        <f t="shared" si="1"/>
        <v>1</v>
      </c>
      <c r="AC13" s="274">
        <f t="shared" si="1"/>
        <v>0.93195967613378305</v>
      </c>
      <c r="AD13" s="290"/>
      <c r="AE13" s="290"/>
      <c r="AF13" s="214">
        <f>GBDUS!K133/(Y13+Z13+AA13+AB13+AC13)</f>
        <v>0</v>
      </c>
      <c r="AG13" s="294">
        <f t="shared" si="7"/>
        <v>0</v>
      </c>
      <c r="AH13" s="294">
        <f t="shared" si="2"/>
        <v>0</v>
      </c>
      <c r="AI13" s="294">
        <f t="shared" si="2"/>
        <v>0</v>
      </c>
      <c r="AJ13" s="295">
        <f t="shared" si="2"/>
        <v>0</v>
      </c>
      <c r="AK13" s="301">
        <f>GBDUS!L133/(Y13+Z13+AA13+AB13+AC13)</f>
        <v>0</v>
      </c>
      <c r="AL13" s="305">
        <f t="shared" si="8"/>
        <v>0</v>
      </c>
      <c r="AM13" s="305">
        <f t="shared" si="3"/>
        <v>0</v>
      </c>
      <c r="AN13" s="305">
        <f t="shared" si="3"/>
        <v>0</v>
      </c>
      <c r="AO13" s="306">
        <f t="shared" si="3"/>
        <v>0</v>
      </c>
      <c r="AP13" s="304">
        <f>GBDUS!M133/(Y13+Z13+AA13+AB13+AC13)</f>
        <v>17.168529679013758</v>
      </c>
      <c r="AQ13" s="305">
        <f t="shared" si="9"/>
        <v>17.168529679013758</v>
      </c>
      <c r="AR13" s="305">
        <f t="shared" si="4"/>
        <v>17.168529679013758</v>
      </c>
      <c r="AS13" s="305">
        <f t="shared" si="4"/>
        <v>17.168529679013758</v>
      </c>
      <c r="AT13" s="306">
        <f t="shared" si="4"/>
        <v>16.000377359346906</v>
      </c>
      <c r="AU13" s="299"/>
      <c r="AV13" s="299"/>
      <c r="AW13" s="299"/>
      <c r="AX13" s="299"/>
    </row>
    <row r="14" spans="2:62" x14ac:dyDescent="0.2">
      <c r="B14" s="217">
        <v>2</v>
      </c>
      <c r="C14" s="224" t="s">
        <v>9</v>
      </c>
      <c r="D14" s="218">
        <f>Baseline!AL39</f>
        <v>0.62051946258483393</v>
      </c>
      <c r="E14" s="218">
        <f>Baseline!AM39</f>
        <v>1.5617337675712608</v>
      </c>
      <c r="F14" s="218">
        <f>Baseline!AN39</f>
        <v>2.9596175424061157</v>
      </c>
      <c r="G14" s="218">
        <f>Baseline!AO39</f>
        <v>5.6087254941923606</v>
      </c>
      <c r="H14" s="223">
        <f>Baseline!AP39</f>
        <v>14.116134183495483</v>
      </c>
      <c r="I14" s="218">
        <f>IF(D14+'Non-travel METs'!D14&gt;2.5, D14+'Non-travel METs'!D14, 0.1)</f>
        <v>0.1</v>
      </c>
      <c r="J14" s="218">
        <f>IF(E14+'Non-travel METs'!E14&gt;2.5, E14+'Non-travel METs'!E14, 0.1)</f>
        <v>0.1</v>
      </c>
      <c r="K14" s="218">
        <f>IF(F14+'Non-travel METs'!F14&gt;2.5, F14+'Non-travel METs'!F14, 0.1)</f>
        <v>2.9596175424061157</v>
      </c>
      <c r="L14" s="218">
        <f>IF(G14+'Non-travel METs'!G14&gt;2.5, G14+'Non-travel METs'!G14, 0.1)</f>
        <v>5.6087254941923606</v>
      </c>
      <c r="M14" s="223">
        <f>IF(H14+'Non-travel METs'!H14&gt;2.5, H14+'Non-travel METs'!H14, 0.1)</f>
        <v>14.116134183495483</v>
      </c>
      <c r="N14" s="374">
        <f>'Phy activity RRs'!$F$7</f>
        <v>0.97288384048792509</v>
      </c>
      <c r="O14" s="262">
        <f>$N14^(I14^0.5)</f>
        <v>0.99134439051762713</v>
      </c>
      <c r="P14" s="262">
        <f t="shared" si="0"/>
        <v>0.99134439051762713</v>
      </c>
      <c r="Q14" s="262">
        <f t="shared" si="0"/>
        <v>0.9538073776167203</v>
      </c>
      <c r="R14" s="262">
        <f t="shared" si="0"/>
        <v>0.93696882938897408</v>
      </c>
      <c r="S14" s="273">
        <f t="shared" si="0"/>
        <v>0.90186890767052563</v>
      </c>
      <c r="T14" s="275"/>
      <c r="U14" s="275"/>
      <c r="V14" s="275"/>
      <c r="W14" s="275"/>
      <c r="X14" s="276"/>
      <c r="Y14" s="262">
        <f t="shared" si="6"/>
        <v>1</v>
      </c>
      <c r="Z14" s="262">
        <f t="shared" si="1"/>
        <v>1</v>
      </c>
      <c r="AA14" s="262">
        <f t="shared" si="1"/>
        <v>0.96213524456288391</v>
      </c>
      <c r="AB14" s="262">
        <f t="shared" si="1"/>
        <v>0.9451496758858331</v>
      </c>
      <c r="AC14" s="273">
        <f t="shared" si="1"/>
        <v>0.90974329032075107</v>
      </c>
      <c r="AD14" s="290"/>
      <c r="AE14" s="290"/>
      <c r="AF14" s="424">
        <f>GBDUS!K134/(Y14+Z14+AA14+AB14+AC14)</f>
        <v>0</v>
      </c>
      <c r="AG14" s="214">
        <f t="shared" si="7"/>
        <v>0</v>
      </c>
      <c r="AH14" s="214">
        <f t="shared" si="2"/>
        <v>0</v>
      </c>
      <c r="AI14" s="214">
        <f t="shared" si="2"/>
        <v>0</v>
      </c>
      <c r="AJ14" s="292">
        <f t="shared" si="2"/>
        <v>0</v>
      </c>
      <c r="AK14" s="422">
        <f>GBDUS!L134/(Y14+Z14+AA14+AB14+AC14)</f>
        <v>0</v>
      </c>
      <c r="AL14" s="301">
        <f t="shared" si="8"/>
        <v>0</v>
      </c>
      <c r="AM14" s="301">
        <f t="shared" si="3"/>
        <v>0</v>
      </c>
      <c r="AN14" s="301">
        <f t="shared" si="3"/>
        <v>0</v>
      </c>
      <c r="AO14" s="303">
        <f t="shared" si="3"/>
        <v>0</v>
      </c>
      <c r="AP14" s="301">
        <f>GBDUS!M134/(Y14+Z14+AA14+AB14+AC14)</f>
        <v>7.4312575604042377E-2</v>
      </c>
      <c r="AQ14" s="301">
        <f t="shared" si="9"/>
        <v>7.4312575604042377E-2</v>
      </c>
      <c r="AR14" s="301">
        <f t="shared" si="4"/>
        <v>7.1498748102893112E-2</v>
      </c>
      <c r="AS14" s="301">
        <f t="shared" si="4"/>
        <v>7.0236506746402125E-2</v>
      </c>
      <c r="AT14" s="303">
        <f t="shared" si="4"/>
        <v>6.7605367042231093E-2</v>
      </c>
      <c r="AU14" s="299"/>
      <c r="AV14" s="299"/>
      <c r="AW14" s="299"/>
      <c r="AX14" s="299"/>
    </row>
    <row r="15" spans="2:62" x14ac:dyDescent="0.2">
      <c r="B15" s="217">
        <v>2</v>
      </c>
      <c r="C15" s="224" t="s">
        <v>10</v>
      </c>
      <c r="D15" s="218">
        <f>Baseline!AL40</f>
        <v>0.46042772990101311</v>
      </c>
      <c r="E15" s="218">
        <f>Baseline!AM40</f>
        <v>1.1588122156833804</v>
      </c>
      <c r="F15" s="218">
        <f>Baseline!AN40</f>
        <v>2.1960471324281206</v>
      </c>
      <c r="G15" s="218">
        <f>Baseline!AO40</f>
        <v>4.1616950033632074</v>
      </c>
      <c r="H15" s="223">
        <f>Baseline!AP40</f>
        <v>10.474223628717107</v>
      </c>
      <c r="I15" s="218">
        <f>IF(D15+'Non-travel METs'!D15&gt;2.5, D15+'Non-travel METs'!D15, 0.1)</f>
        <v>0.1</v>
      </c>
      <c r="J15" s="218">
        <f>IF(E15+'Non-travel METs'!E15&gt;2.5, E15+'Non-travel METs'!E15, 0.1)</f>
        <v>0.1</v>
      </c>
      <c r="K15" s="218">
        <f>IF(F15+'Non-travel METs'!F15&gt;2.5, F15+'Non-travel METs'!F15, 0.1)</f>
        <v>0.1</v>
      </c>
      <c r="L15" s="218">
        <f>IF(G15+'Non-travel METs'!G15&gt;2.5, G15+'Non-travel METs'!G15, 0.1)</f>
        <v>4.1616950033632074</v>
      </c>
      <c r="M15" s="223">
        <f>IF(H15+'Non-travel METs'!H15&gt;2.5, H15+'Non-travel METs'!H15, 0.1)</f>
        <v>10.474223628717107</v>
      </c>
      <c r="N15" s="268">
        <f>'Phy activity RRs'!$F$7</f>
        <v>0.97288384048792509</v>
      </c>
      <c r="O15" s="262">
        <f t="shared" ref="O15:O21" si="10">$N15^(I15^0.5)</f>
        <v>0.99134439051762713</v>
      </c>
      <c r="P15" s="262">
        <f t="shared" si="0"/>
        <v>0.99134439051762713</v>
      </c>
      <c r="Q15" s="262">
        <f t="shared" si="0"/>
        <v>0.99134439051762713</v>
      </c>
      <c r="R15" s="262">
        <f t="shared" si="0"/>
        <v>0.94546213702936865</v>
      </c>
      <c r="S15" s="273">
        <f t="shared" si="0"/>
        <v>0.91487276817656937</v>
      </c>
      <c r="T15" s="275"/>
      <c r="U15" s="275"/>
      <c r="V15" s="275"/>
      <c r="W15" s="275"/>
      <c r="X15" s="276"/>
      <c r="Y15" s="262">
        <f t="shared" si="6"/>
        <v>1</v>
      </c>
      <c r="Z15" s="262">
        <f t="shared" si="1"/>
        <v>1</v>
      </c>
      <c r="AA15" s="262">
        <f t="shared" si="1"/>
        <v>1</v>
      </c>
      <c r="AB15" s="262">
        <f t="shared" si="1"/>
        <v>0.9537171401511626</v>
      </c>
      <c r="AC15" s="273">
        <f t="shared" si="1"/>
        <v>0.92286068991510772</v>
      </c>
      <c r="AD15" s="290"/>
      <c r="AE15" s="290"/>
      <c r="AF15" s="214">
        <f>GBDUS!K135/(Y15+Z15+AA15+AB15+AC15)</f>
        <v>0</v>
      </c>
      <c r="AG15" s="214">
        <f t="shared" si="7"/>
        <v>0</v>
      </c>
      <c r="AH15" s="214">
        <f t="shared" si="2"/>
        <v>0</v>
      </c>
      <c r="AI15" s="214">
        <f t="shared" si="2"/>
        <v>0</v>
      </c>
      <c r="AJ15" s="292">
        <f t="shared" si="2"/>
        <v>0</v>
      </c>
      <c r="AK15" s="301">
        <f>GBDUS!L135/(Y15+Z15+AA15+AB15+AC15)</f>
        <v>0</v>
      </c>
      <c r="AL15" s="301">
        <f t="shared" si="8"/>
        <v>0</v>
      </c>
      <c r="AM15" s="301">
        <f t="shared" si="3"/>
        <v>0</v>
      </c>
      <c r="AN15" s="301">
        <f t="shared" si="3"/>
        <v>0</v>
      </c>
      <c r="AO15" s="303">
        <f t="shared" si="3"/>
        <v>0</v>
      </c>
      <c r="AP15" s="301">
        <f>GBDUS!M135/(Y15+Z15+AA15+AB15+AC15)</f>
        <v>117.2359924446571</v>
      </c>
      <c r="AQ15" s="301">
        <f t="shared" si="9"/>
        <v>117.2359924446571</v>
      </c>
      <c r="AR15" s="301">
        <f t="shared" si="4"/>
        <v>117.2359924446571</v>
      </c>
      <c r="AS15" s="301">
        <f t="shared" si="4"/>
        <v>111.80997543710167</v>
      </c>
      <c r="AT15" s="303">
        <f t="shared" si="4"/>
        <v>108.1924888703586</v>
      </c>
      <c r="AU15" s="299"/>
      <c r="AV15" s="299"/>
      <c r="AW15" s="299"/>
      <c r="AX15" s="299"/>
    </row>
    <row r="16" spans="2:62" x14ac:dyDescent="0.2">
      <c r="B16" s="217">
        <v>2</v>
      </c>
      <c r="C16" s="224" t="s">
        <v>11</v>
      </c>
      <c r="D16" s="218">
        <f>Baseline!AL41</f>
        <v>0.44584035626070379</v>
      </c>
      <c r="E16" s="218">
        <f>Baseline!AM41</f>
        <v>1.1220984695917575</v>
      </c>
      <c r="F16" s="218">
        <f>Baseline!AN41</f>
        <v>2.126471479242884</v>
      </c>
      <c r="G16" s="218">
        <f>Baseline!AO41</f>
        <v>4.0298432575873413</v>
      </c>
      <c r="H16" s="223">
        <f>Baseline!AP41</f>
        <v>10.142376948463733</v>
      </c>
      <c r="I16" s="218">
        <f>IF(D16+'Non-travel METs'!D16&gt;2.5, D16+'Non-travel METs'!D16, 0.1)</f>
        <v>37.945840356260703</v>
      </c>
      <c r="J16" s="218">
        <f>IF(E16+'Non-travel METs'!E16&gt;2.5, E16+'Non-travel METs'!E16, 0.1)</f>
        <v>38.622098469591755</v>
      </c>
      <c r="K16" s="218">
        <f>IF(F16+'Non-travel METs'!F16&gt;2.5, F16+'Non-travel METs'!F16, 0.1)</f>
        <v>39.62647147924288</v>
      </c>
      <c r="L16" s="218">
        <f>IF(G16+'Non-travel METs'!G16&gt;2.5, G16+'Non-travel METs'!G16, 0.1)</f>
        <v>41.529843257587345</v>
      </c>
      <c r="M16" s="223">
        <f>IF(H16+'Non-travel METs'!H16&gt;2.5, H16+'Non-travel METs'!H16, 0.1)</f>
        <v>47.642376948463735</v>
      </c>
      <c r="N16" s="268">
        <f>'Phy activity RRs'!$F$7</f>
        <v>0.97288384048792509</v>
      </c>
      <c r="O16" s="262">
        <f t="shared" si="10"/>
        <v>0.84421966569436369</v>
      </c>
      <c r="P16" s="262">
        <f t="shared" si="0"/>
        <v>0.8429523303757579</v>
      </c>
      <c r="Q16" s="262">
        <f t="shared" si="0"/>
        <v>0.84109384730536829</v>
      </c>
      <c r="R16" s="262">
        <f t="shared" si="0"/>
        <v>0.83764626845573076</v>
      </c>
      <c r="S16" s="273">
        <f t="shared" si="0"/>
        <v>0.82716628423633209</v>
      </c>
      <c r="T16" s="275"/>
      <c r="U16" s="275"/>
      <c r="V16" s="275"/>
      <c r="W16" s="275"/>
      <c r="X16" s="276"/>
      <c r="Y16" s="262">
        <f t="shared" si="6"/>
        <v>1</v>
      </c>
      <c r="Z16" s="262">
        <f t="shared" si="1"/>
        <v>0.99849880858015383</v>
      </c>
      <c r="AA16" s="262">
        <f t="shared" si="1"/>
        <v>0.99629738737911955</v>
      </c>
      <c r="AB16" s="262">
        <f t="shared" si="1"/>
        <v>0.99221364118161548</v>
      </c>
      <c r="AC16" s="273">
        <f t="shared" si="1"/>
        <v>0.97979982917833908</v>
      </c>
      <c r="AD16" s="290"/>
      <c r="AE16" s="290"/>
      <c r="AF16" s="214">
        <f>GBDUS!K136/(Y16+Z16+AA16+AB16+AC16)</f>
        <v>0</v>
      </c>
      <c r="AG16" s="214">
        <f t="shared" si="7"/>
        <v>0</v>
      </c>
      <c r="AH16" s="214">
        <f t="shared" si="2"/>
        <v>0</v>
      </c>
      <c r="AI16" s="214">
        <f t="shared" si="2"/>
        <v>0</v>
      </c>
      <c r="AJ16" s="292">
        <f t="shared" si="2"/>
        <v>0</v>
      </c>
      <c r="AK16" s="301">
        <f>GBDUS!L136/(Y16+Z16+AA16+AB16+AC16)</f>
        <v>0</v>
      </c>
      <c r="AL16" s="301">
        <f t="shared" si="8"/>
        <v>0</v>
      </c>
      <c r="AM16" s="301">
        <f t="shared" si="3"/>
        <v>0</v>
      </c>
      <c r="AN16" s="301">
        <f t="shared" si="3"/>
        <v>0</v>
      </c>
      <c r="AO16" s="303">
        <f t="shared" si="3"/>
        <v>0</v>
      </c>
      <c r="AP16" s="301">
        <f>GBDUS!M136/(Y16+Z16+AA16+AB16+AC16)</f>
        <v>334.20203313459075</v>
      </c>
      <c r="AQ16" s="301">
        <f t="shared" si="9"/>
        <v>333.70033190995395</v>
      </c>
      <c r="AR16" s="301">
        <f t="shared" si="4"/>
        <v>332.96461246878272</v>
      </c>
      <c r="AS16" s="301">
        <f t="shared" si="4"/>
        <v>331.59981618677119</v>
      </c>
      <c r="AT16" s="303">
        <f t="shared" si="4"/>
        <v>327.45109497632563</v>
      </c>
      <c r="AU16" s="299"/>
      <c r="AV16" s="299"/>
      <c r="AW16" s="299"/>
      <c r="AX16" s="299"/>
    </row>
    <row r="17" spans="2:50" x14ac:dyDescent="0.2">
      <c r="B17" s="217">
        <v>2</v>
      </c>
      <c r="C17" s="224" t="s">
        <v>12</v>
      </c>
      <c r="D17" s="218">
        <f>Baseline!AL42</f>
        <v>0.37566343393324825</v>
      </c>
      <c r="E17" s="218">
        <f>Baseline!AM42</f>
        <v>0.94547601709611273</v>
      </c>
      <c r="F17" s="218">
        <f>Baseline!AN42</f>
        <v>1.7917569974001593</v>
      </c>
      <c r="G17" s="218">
        <f>Baseline!AO42</f>
        <v>3.3955310126138083</v>
      </c>
      <c r="H17" s="223">
        <f>Baseline!AP42</f>
        <v>8.5459292753600575</v>
      </c>
      <c r="I17" s="218">
        <f>IF(D17+'Non-travel METs'!D17&gt;2.5, D17+'Non-travel METs'!D17, 0.1)</f>
        <v>37.938996767266545</v>
      </c>
      <c r="J17" s="218">
        <f>IF(E17+'Non-travel METs'!E17&gt;2.5, E17+'Non-travel METs'!E17, 0.1)</f>
        <v>38.508809350429409</v>
      </c>
      <c r="K17" s="218">
        <f>IF(F17+'Non-travel METs'!F17&gt;2.5, F17+'Non-travel METs'!F17, 0.1)</f>
        <v>39.355090330733454</v>
      </c>
      <c r="L17" s="218">
        <f>IF(G17+'Non-travel METs'!G17&gt;2.5, G17+'Non-travel METs'!G17, 0.1)</f>
        <v>40.958864345947106</v>
      </c>
      <c r="M17" s="223">
        <f>IF(H17+'Non-travel METs'!H17&gt;2.5, H17+'Non-travel METs'!H17, 0.1)</f>
        <v>46.109262608693356</v>
      </c>
      <c r="N17" s="268">
        <f>'Phy activity RRs'!$F$7</f>
        <v>0.97288384048792509</v>
      </c>
      <c r="O17" s="262">
        <f t="shared" si="10"/>
        <v>0.84423255810735531</v>
      </c>
      <c r="P17" s="262">
        <f t="shared" si="0"/>
        <v>0.84316372822979191</v>
      </c>
      <c r="Q17" s="262">
        <f t="shared" si="0"/>
        <v>0.84159326028925641</v>
      </c>
      <c r="R17" s="262">
        <f t="shared" si="0"/>
        <v>0.83867055268270507</v>
      </c>
      <c r="S17" s="273">
        <f t="shared" si="0"/>
        <v>0.82971622455183824</v>
      </c>
      <c r="T17" s="275"/>
      <c r="U17" s="275"/>
      <c r="V17" s="275"/>
      <c r="W17" s="275"/>
      <c r="X17" s="276"/>
      <c r="Y17" s="262">
        <f t="shared" si="6"/>
        <v>1</v>
      </c>
      <c r="Z17" s="262">
        <f t="shared" si="1"/>
        <v>0.99873396273657156</v>
      </c>
      <c r="AA17" s="262">
        <f t="shared" si="1"/>
        <v>0.99687373130454027</v>
      </c>
      <c r="AB17" s="262">
        <f t="shared" si="1"/>
        <v>0.99341176152087829</v>
      </c>
      <c r="AC17" s="273">
        <f t="shared" si="1"/>
        <v>0.98280529053740773</v>
      </c>
      <c r="AD17" s="290"/>
      <c r="AE17" s="290"/>
      <c r="AF17" s="214">
        <f>GBDUS!K137/(Y17+Z17+AA17+AB17+AC17)</f>
        <v>0</v>
      </c>
      <c r="AG17" s="214">
        <f t="shared" si="7"/>
        <v>0</v>
      </c>
      <c r="AH17" s="214">
        <f t="shared" si="2"/>
        <v>0</v>
      </c>
      <c r="AI17" s="214">
        <f t="shared" si="2"/>
        <v>0</v>
      </c>
      <c r="AJ17" s="292">
        <f t="shared" si="2"/>
        <v>0</v>
      </c>
      <c r="AK17" s="301">
        <f>GBDUS!L137/(Y17+Z17+AA17+AB17+AC17)</f>
        <v>0</v>
      </c>
      <c r="AL17" s="301">
        <f t="shared" si="8"/>
        <v>0</v>
      </c>
      <c r="AM17" s="301">
        <f t="shared" si="3"/>
        <v>0</v>
      </c>
      <c r="AN17" s="301">
        <f t="shared" si="3"/>
        <v>0</v>
      </c>
      <c r="AO17" s="303">
        <f t="shared" si="3"/>
        <v>0</v>
      </c>
      <c r="AP17" s="301">
        <f>GBDUS!M137/(Y17+Z17+AA17+AB17+AC17)</f>
        <v>321.96792180032071</v>
      </c>
      <c r="AQ17" s="301">
        <f t="shared" si="9"/>
        <v>321.56029841369286</v>
      </c>
      <c r="AR17" s="301">
        <f t="shared" si="4"/>
        <v>320.96136356545412</v>
      </c>
      <c r="AS17" s="301">
        <f t="shared" si="4"/>
        <v>319.84672034887296</v>
      </c>
      <c r="AT17" s="303">
        <f t="shared" si="4"/>
        <v>316.43177692868954</v>
      </c>
      <c r="AU17" s="299"/>
      <c r="AV17" s="299"/>
      <c r="AW17" s="299"/>
      <c r="AX17" s="299"/>
    </row>
    <row r="18" spans="2:50" x14ac:dyDescent="0.2">
      <c r="B18" s="217">
        <v>2</v>
      </c>
      <c r="C18" s="224" t="s">
        <v>13</v>
      </c>
      <c r="D18" s="218">
        <f>Baseline!AL43</f>
        <v>0.28130171216737176</v>
      </c>
      <c r="E18" s="218">
        <f>Baseline!AM43</f>
        <v>0.70798485665118815</v>
      </c>
      <c r="F18" s="218">
        <f>Baseline!AN43</f>
        <v>1.3416911672220251</v>
      </c>
      <c r="G18" s="218">
        <f>Baseline!AO43</f>
        <v>2.5426182089774487</v>
      </c>
      <c r="H18" s="223">
        <f>Baseline!AP43</f>
        <v>6.3993040580234215</v>
      </c>
      <c r="I18" s="218">
        <f>IF(D18+'Non-travel METs'!D18&gt;2.5, D18+'Non-travel METs'!D18, 0.1)</f>
        <v>38.034635045500671</v>
      </c>
      <c r="J18" s="218">
        <f>IF(E18+'Non-travel METs'!E18&gt;2.5, E18+'Non-travel METs'!E18, 0.1)</f>
        <v>38.461318189984489</v>
      </c>
      <c r="K18" s="218">
        <f>IF(F18+'Non-travel METs'!F18&gt;2.5, F18+'Non-travel METs'!F18, 0.1)</f>
        <v>39.095024500555326</v>
      </c>
      <c r="L18" s="218">
        <f>IF(G18+'Non-travel METs'!G18&gt;2.5, G18+'Non-travel METs'!G18, 0.1)</f>
        <v>40.295951542310753</v>
      </c>
      <c r="M18" s="223">
        <f>IF(H18+'Non-travel METs'!H18&gt;2.5, H18+'Non-travel METs'!H18, 0.1)</f>
        <v>44.15263739135672</v>
      </c>
      <c r="N18" s="268">
        <f>'Phy activity RRs'!$F$7</f>
        <v>0.97288384048792509</v>
      </c>
      <c r="O18" s="262">
        <f t="shared" si="10"/>
        <v>0.84405251139919535</v>
      </c>
      <c r="P18" s="262">
        <f t="shared" si="0"/>
        <v>0.84325245516414582</v>
      </c>
      <c r="Q18" s="262">
        <f t="shared" si="0"/>
        <v>0.84207374802340107</v>
      </c>
      <c r="R18" s="262">
        <f t="shared" si="0"/>
        <v>0.83987034571380403</v>
      </c>
      <c r="S18" s="273">
        <f t="shared" si="0"/>
        <v>0.83304472928238749</v>
      </c>
      <c r="T18" s="275"/>
      <c r="U18" s="275"/>
      <c r="V18" s="275"/>
      <c r="W18" s="275"/>
      <c r="X18" s="276"/>
      <c r="Y18" s="262">
        <f t="shared" si="6"/>
        <v>1</v>
      </c>
      <c r="Z18" s="262">
        <f t="shared" si="1"/>
        <v>0.99905212504643426</v>
      </c>
      <c r="AA18" s="262">
        <f t="shared" si="1"/>
        <v>0.99765563949035108</v>
      </c>
      <c r="AB18" s="262">
        <f t="shared" si="1"/>
        <v>0.99504513566524611</v>
      </c>
      <c r="AC18" s="273">
        <f t="shared" si="1"/>
        <v>0.98695841553914676</v>
      </c>
      <c r="AD18" s="290"/>
      <c r="AE18" s="290"/>
      <c r="AF18" s="214">
        <f>GBDUS!K138/(Y18+Z18+AA18+AB18+AC18)</f>
        <v>0</v>
      </c>
      <c r="AG18" s="214">
        <f t="shared" si="7"/>
        <v>0</v>
      </c>
      <c r="AH18" s="214">
        <f t="shared" si="2"/>
        <v>0</v>
      </c>
      <c r="AI18" s="214">
        <f t="shared" si="2"/>
        <v>0</v>
      </c>
      <c r="AJ18" s="292">
        <f t="shared" si="2"/>
        <v>0</v>
      </c>
      <c r="AK18" s="301">
        <f>GBDUS!L138/(Y18+Z18+AA18+AB18+AC18)</f>
        <v>0</v>
      </c>
      <c r="AL18" s="301">
        <f t="shared" si="8"/>
        <v>0</v>
      </c>
      <c r="AM18" s="301">
        <f t="shared" si="3"/>
        <v>0</v>
      </c>
      <c r="AN18" s="301">
        <f t="shared" si="3"/>
        <v>0</v>
      </c>
      <c r="AO18" s="303">
        <f t="shared" si="3"/>
        <v>0</v>
      </c>
      <c r="AP18" s="301">
        <f>GBDUS!M138/(Y18+Z18+AA18+AB18+AC18)</f>
        <v>316.00153194021317</v>
      </c>
      <c r="AQ18" s="301">
        <f t="shared" si="9"/>
        <v>315.70200200279862</v>
      </c>
      <c r="AR18" s="301">
        <f t="shared" si="4"/>
        <v>315.26071042774396</v>
      </c>
      <c r="AS18" s="301">
        <f t="shared" si="4"/>
        <v>314.43578721987501</v>
      </c>
      <c r="AT18" s="303">
        <f t="shared" si="4"/>
        <v>311.88037127165586</v>
      </c>
      <c r="AU18" s="299"/>
      <c r="AV18" s="299"/>
      <c r="AW18" s="299"/>
      <c r="AX18" s="299"/>
    </row>
    <row r="19" spans="2:50" x14ac:dyDescent="0.2">
      <c r="B19" s="217">
        <v>2</v>
      </c>
      <c r="C19" s="224" t="s">
        <v>14</v>
      </c>
      <c r="D19" s="218">
        <f>Baseline!AL44</f>
        <v>0.18531571150483678</v>
      </c>
      <c r="E19" s="218">
        <f>Baseline!AM44</f>
        <v>0.46640568389751447</v>
      </c>
      <c r="F19" s="218">
        <f>Baseline!AN44</f>
        <v>0.88387820805572703</v>
      </c>
      <c r="G19" s="218">
        <f>Baseline!AO44</f>
        <v>1.6750239408477468</v>
      </c>
      <c r="H19" s="223">
        <f>Baseline!AP44</f>
        <v>4.2157282851616866</v>
      </c>
      <c r="I19" s="218">
        <f>IF(D19+'Non-travel METs'!D19&gt;2.5, D19+'Non-travel METs'!D19, 0.1)</f>
        <v>9.1853157115048365</v>
      </c>
      <c r="J19" s="218">
        <f>IF(E19+'Non-travel METs'!E19&gt;2.5, E19+'Non-travel METs'!E19, 0.1)</f>
        <v>9.4664056838975146</v>
      </c>
      <c r="K19" s="218">
        <f>IF(F19+'Non-travel METs'!F19&gt;2.5, F19+'Non-travel METs'!F19, 0.1)</f>
        <v>9.8838782080557266</v>
      </c>
      <c r="L19" s="218">
        <f>IF(G19+'Non-travel METs'!G19&gt;2.5, G19+'Non-travel METs'!G19, 0.1)</f>
        <v>10.675023940847748</v>
      </c>
      <c r="M19" s="223">
        <f>IF(H19+'Non-travel METs'!H19&gt;2.5, H19+'Non-travel METs'!H19, 0.1)</f>
        <v>13.215728285161687</v>
      </c>
      <c r="N19" s="268">
        <f>'Phy activity RRs'!$F$7</f>
        <v>0.97288384048792509</v>
      </c>
      <c r="O19" s="262">
        <f t="shared" si="10"/>
        <v>0.92005989578298042</v>
      </c>
      <c r="P19" s="262">
        <f t="shared" si="0"/>
        <v>0.91889655052082619</v>
      </c>
      <c r="Q19" s="262">
        <f t="shared" si="0"/>
        <v>0.91720281898237199</v>
      </c>
      <c r="R19" s="262">
        <f t="shared" si="0"/>
        <v>0.91409657962268376</v>
      </c>
      <c r="S19" s="273">
        <f t="shared" si="0"/>
        <v>0.90489374743504569</v>
      </c>
      <c r="T19" s="275"/>
      <c r="U19" s="275"/>
      <c r="V19" s="275"/>
      <c r="W19" s="275"/>
      <c r="X19" s="276"/>
      <c r="Y19" s="262">
        <f t="shared" si="6"/>
        <v>1</v>
      </c>
      <c r="Z19" s="262">
        <f t="shared" si="1"/>
        <v>0.9987355765994298</v>
      </c>
      <c r="AA19" s="262">
        <f t="shared" si="1"/>
        <v>0.99689468390731562</v>
      </c>
      <c r="AB19" s="262">
        <f t="shared" si="1"/>
        <v>0.99351855657699129</v>
      </c>
      <c r="AC19" s="273">
        <f t="shared" si="1"/>
        <v>0.9835161293113116</v>
      </c>
      <c r="AD19" s="290"/>
      <c r="AE19" s="290"/>
      <c r="AF19" s="214">
        <f>GBDUS!K139/(Y19+Z19+AA19+AB19+AC19)</f>
        <v>0</v>
      </c>
      <c r="AG19" s="214">
        <f t="shared" si="7"/>
        <v>0</v>
      </c>
      <c r="AH19" s="214">
        <f t="shared" si="2"/>
        <v>0</v>
      </c>
      <c r="AI19" s="214">
        <f t="shared" si="2"/>
        <v>0</v>
      </c>
      <c r="AJ19" s="292">
        <f t="shared" si="2"/>
        <v>0</v>
      </c>
      <c r="AK19" s="301">
        <f>GBDUS!L139/(Y19+Z19+AA19+AB19+AC19)</f>
        <v>0</v>
      </c>
      <c r="AL19" s="301">
        <f t="shared" si="8"/>
        <v>0</v>
      </c>
      <c r="AM19" s="301">
        <f t="shared" si="3"/>
        <v>0</v>
      </c>
      <c r="AN19" s="301">
        <f t="shared" si="3"/>
        <v>0</v>
      </c>
      <c r="AO19" s="303">
        <f t="shared" si="3"/>
        <v>0</v>
      </c>
      <c r="AP19" s="301">
        <f>GBDUS!M139/(Y19+Z19+AA19+AB19+AC19)</f>
        <v>116.54197245064326</v>
      </c>
      <c r="AQ19" s="301">
        <f t="shared" si="9"/>
        <v>116.39461405352806</v>
      </c>
      <c r="AR19" s="301">
        <f t="shared" si="4"/>
        <v>116.18007278811909</v>
      </c>
      <c r="AS19" s="301">
        <f t="shared" si="4"/>
        <v>115.78661224979857</v>
      </c>
      <c r="AT19" s="303">
        <f t="shared" si="4"/>
        <v>114.62090964696216</v>
      </c>
      <c r="AU19" s="299"/>
      <c r="AV19" s="299"/>
      <c r="AW19" s="299"/>
      <c r="AX19" s="299"/>
    </row>
    <row r="20" spans="2:50" x14ac:dyDescent="0.2">
      <c r="B20" s="217">
        <v>2</v>
      </c>
      <c r="C20" s="224" t="s">
        <v>15</v>
      </c>
      <c r="D20" s="218">
        <f>Baseline!AL45</f>
        <v>0.11712988000202922</v>
      </c>
      <c r="E20" s="218">
        <f>Baseline!AM45</f>
        <v>0.29479444210942879</v>
      </c>
      <c r="F20" s="218">
        <f>Baseline!AN45</f>
        <v>0.55866039422822378</v>
      </c>
      <c r="G20" s="218">
        <f>Baseline!AO45</f>
        <v>1.0587086847566183</v>
      </c>
      <c r="H20" s="223">
        <f>Baseline!AP45</f>
        <v>2.6645757348494454</v>
      </c>
      <c r="I20" s="218">
        <f>IF(D20+'Non-travel METs'!D20&gt;2.5, D20+'Non-travel METs'!D20, 0.1)</f>
        <v>0.1</v>
      </c>
      <c r="J20" s="218">
        <f>IF(E20+'Non-travel METs'!E20&gt;2.5, E20+'Non-travel METs'!E20, 0.1)</f>
        <v>0.1</v>
      </c>
      <c r="K20" s="218">
        <f>IF(F20+'Non-travel METs'!F20&gt;2.5, F20+'Non-travel METs'!F20, 0.1)</f>
        <v>0.1</v>
      </c>
      <c r="L20" s="218">
        <f>IF(G20+'Non-travel METs'!G20&gt;2.5, G20+'Non-travel METs'!G20, 0.1)</f>
        <v>0.1</v>
      </c>
      <c r="M20" s="223">
        <f>IF(H20+'Non-travel METs'!H20&gt;2.5, H20+'Non-travel METs'!H20, 0.1)</f>
        <v>3.1645757348494454</v>
      </c>
      <c r="N20" s="268">
        <f>'Phy activity RRs'!$F$7</f>
        <v>0.97288384048792509</v>
      </c>
      <c r="O20" s="262">
        <f t="shared" si="10"/>
        <v>0.99134439051762713</v>
      </c>
      <c r="P20" s="262">
        <f t="shared" si="0"/>
        <v>0.99134439051762713</v>
      </c>
      <c r="Q20" s="262">
        <f t="shared" si="0"/>
        <v>0.99134439051762713</v>
      </c>
      <c r="R20" s="262">
        <f t="shared" si="0"/>
        <v>0.99134439051762713</v>
      </c>
      <c r="S20" s="273">
        <f t="shared" si="0"/>
        <v>0.95227282508526856</v>
      </c>
      <c r="T20" s="275"/>
      <c r="U20" s="275"/>
      <c r="V20" s="275"/>
      <c r="W20" s="275"/>
      <c r="X20" s="276"/>
      <c r="Y20" s="262">
        <f t="shared" si="6"/>
        <v>1</v>
      </c>
      <c r="Z20" s="262">
        <f t="shared" si="1"/>
        <v>1</v>
      </c>
      <c r="AA20" s="262">
        <f t="shared" si="1"/>
        <v>1</v>
      </c>
      <c r="AB20" s="262">
        <f t="shared" si="1"/>
        <v>1</v>
      </c>
      <c r="AC20" s="273">
        <f t="shared" si="1"/>
        <v>0.96058729357215866</v>
      </c>
      <c r="AD20" s="290"/>
      <c r="AE20" s="290"/>
      <c r="AF20" s="214">
        <f>GBDUS!K140/(Y20+Z20+AA20+AB20+AC20)</f>
        <v>0</v>
      </c>
      <c r="AG20" s="214">
        <f t="shared" si="7"/>
        <v>0</v>
      </c>
      <c r="AH20" s="214">
        <f t="shared" si="2"/>
        <v>0</v>
      </c>
      <c r="AI20" s="214">
        <f t="shared" si="2"/>
        <v>0</v>
      </c>
      <c r="AJ20" s="292">
        <f t="shared" si="2"/>
        <v>0</v>
      </c>
      <c r="AK20" s="301">
        <f>GBDUS!L140/(Y20+Z20+AA20+AB20+AC20)</f>
        <v>0</v>
      </c>
      <c r="AL20" s="301">
        <f t="shared" si="8"/>
        <v>0</v>
      </c>
      <c r="AM20" s="301">
        <f t="shared" si="3"/>
        <v>0</v>
      </c>
      <c r="AN20" s="301">
        <f t="shared" si="3"/>
        <v>0</v>
      </c>
      <c r="AO20" s="303">
        <f t="shared" si="3"/>
        <v>0</v>
      </c>
      <c r="AP20" s="301">
        <f>GBDUS!M140/(Y20+Z20+AA20+AB20+AC20)</f>
        <v>58.678697568894059</v>
      </c>
      <c r="AQ20" s="301">
        <f t="shared" si="9"/>
        <v>58.678697568894059</v>
      </c>
      <c r="AR20" s="301">
        <f t="shared" si="4"/>
        <v>58.678697568894059</v>
      </c>
      <c r="AS20" s="301">
        <f t="shared" si="4"/>
        <v>58.678697568894059</v>
      </c>
      <c r="AT20" s="303">
        <f t="shared" si="4"/>
        <v>56.366011288043147</v>
      </c>
      <c r="AU20" s="299"/>
      <c r="AV20" s="299"/>
      <c r="AW20" s="299"/>
      <c r="AX20" s="299"/>
    </row>
    <row r="21" spans="2:50" x14ac:dyDescent="0.2">
      <c r="B21" s="226">
        <v>2</v>
      </c>
      <c r="C21" s="227" t="s">
        <v>16</v>
      </c>
      <c r="D21" s="228">
        <f>Baseline!AL46</f>
        <v>0.14687937172795515</v>
      </c>
      <c r="E21" s="228">
        <f>Baseline!AM46</f>
        <v>0.36966846073073589</v>
      </c>
      <c r="F21" s="228">
        <f>Baseline!AN46</f>
        <v>0.70055299051029241</v>
      </c>
      <c r="G21" s="228">
        <f>Baseline!AO46</f>
        <v>1.3276071524813979</v>
      </c>
      <c r="H21" s="229">
        <f>Baseline!AP46</f>
        <v>3.3413438983243293</v>
      </c>
      <c r="I21" s="230">
        <f>IF(D21+'Non-travel METs'!D21&gt;2.5, D21+'Non-travel METs'!D21, 0.1)</f>
        <v>0.1</v>
      </c>
      <c r="J21" s="228">
        <f>IF(E21+'Non-travel METs'!E21&gt;2.5, E21+'Non-travel METs'!E21, 0.1)</f>
        <v>0.1</v>
      </c>
      <c r="K21" s="228">
        <f>IF(F21+'Non-travel METs'!F21&gt;2.5, F21+'Non-travel METs'!F21, 0.1)</f>
        <v>0.1</v>
      </c>
      <c r="L21" s="228">
        <f>IF(G21+'Non-travel METs'!G21&gt;2.5, G21+'Non-travel METs'!G21, 0.1)</f>
        <v>0.1</v>
      </c>
      <c r="M21" s="229">
        <f>IF(H21+'Non-travel METs'!H21&gt;2.5, H21+'Non-travel METs'!H21, 0.1)</f>
        <v>3.4246772316576628</v>
      </c>
      <c r="N21" s="375">
        <f>'Phy activity RRs'!$F$7</f>
        <v>0.97288384048792509</v>
      </c>
      <c r="O21" s="264">
        <f t="shared" si="10"/>
        <v>0.99134439051762713</v>
      </c>
      <c r="P21" s="264">
        <f t="shared" si="0"/>
        <v>0.99134439051762713</v>
      </c>
      <c r="Q21" s="264">
        <f t="shared" si="0"/>
        <v>0.99134439051762713</v>
      </c>
      <c r="R21" s="264">
        <f t="shared" si="0"/>
        <v>0.99134439051762713</v>
      </c>
      <c r="S21" s="274">
        <f t="shared" si="0"/>
        <v>0.95039864171750998</v>
      </c>
      <c r="T21" s="277"/>
      <c r="U21" s="278"/>
      <c r="V21" s="278"/>
      <c r="W21" s="278"/>
      <c r="X21" s="279"/>
      <c r="Y21" s="287">
        <f t="shared" si="6"/>
        <v>1</v>
      </c>
      <c r="Z21" s="264">
        <f t="shared" si="1"/>
        <v>1</v>
      </c>
      <c r="AA21" s="264">
        <f t="shared" si="1"/>
        <v>1</v>
      </c>
      <c r="AB21" s="264">
        <f t="shared" si="1"/>
        <v>1</v>
      </c>
      <c r="AC21" s="274">
        <f t="shared" si="1"/>
        <v>0.95869674636607627</v>
      </c>
      <c r="AD21" s="290"/>
      <c r="AE21" s="291"/>
      <c r="AF21" s="293">
        <f>GBDUS!K141/(Y21+Z21+AA21+AB21+AC21)</f>
        <v>0.40333178298626082</v>
      </c>
      <c r="AG21" s="294">
        <f t="shared" si="7"/>
        <v>0.40333178298626082</v>
      </c>
      <c r="AH21" s="294">
        <f t="shared" si="2"/>
        <v>0.40333178298626082</v>
      </c>
      <c r="AI21" s="294">
        <f t="shared" si="2"/>
        <v>0.40333178298626082</v>
      </c>
      <c r="AJ21" s="295">
        <f t="shared" si="2"/>
        <v>0.3866728680549566</v>
      </c>
      <c r="AK21" s="304">
        <f>GBDUS!L141/(Y21+Z21+AA21+AB21+AC21)</f>
        <v>0</v>
      </c>
      <c r="AL21" s="305">
        <f t="shared" si="8"/>
        <v>0</v>
      </c>
      <c r="AM21" s="305">
        <f t="shared" si="3"/>
        <v>0</v>
      </c>
      <c r="AN21" s="305">
        <f t="shared" si="3"/>
        <v>0</v>
      </c>
      <c r="AO21" s="306">
        <f t="shared" si="3"/>
        <v>0</v>
      </c>
      <c r="AP21" s="304">
        <f>GBDUS!M141/(Y21+Z21+AA21+AB21+AC21)</f>
        <v>53.429686312751087</v>
      </c>
      <c r="AQ21" s="305">
        <f t="shared" si="9"/>
        <v>53.429686312751087</v>
      </c>
      <c r="AR21" s="305">
        <f t="shared" si="4"/>
        <v>53.429686312751087</v>
      </c>
      <c r="AS21" s="305">
        <f t="shared" si="4"/>
        <v>53.429686312751087</v>
      </c>
      <c r="AT21" s="306">
        <f t="shared" si="4"/>
        <v>51.222866427394543</v>
      </c>
      <c r="AU21" s="300"/>
      <c r="AV21" s="300"/>
      <c r="AW21" s="300"/>
      <c r="AX21" s="300"/>
    </row>
    <row r="22" spans="2:50" x14ac:dyDescent="0.2">
      <c r="B22" s="212"/>
      <c r="C22" s="212"/>
      <c r="AD22" s="288"/>
      <c r="AK22" s="215"/>
      <c r="AL22" s="215"/>
      <c r="AM22" s="215"/>
      <c r="AN22" s="215"/>
      <c r="AO22" s="215"/>
    </row>
    <row r="23" spans="2:50" x14ac:dyDescent="0.2">
      <c r="B23" s="338" t="s">
        <v>70</v>
      </c>
      <c r="C23" s="319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320"/>
      <c r="AL23" s="320"/>
      <c r="AM23" s="320"/>
      <c r="AN23" s="320"/>
      <c r="AO23" s="320"/>
      <c r="AP23" s="280"/>
      <c r="AQ23" s="280"/>
      <c r="AR23" s="280"/>
      <c r="AS23" s="280"/>
      <c r="AT23" s="280"/>
      <c r="AU23" s="280"/>
      <c r="AV23" s="280"/>
      <c r="AW23" s="280"/>
      <c r="AX23" s="280"/>
    </row>
    <row r="24" spans="2:50" x14ac:dyDescent="0.2">
      <c r="B24" s="212">
        <v>1</v>
      </c>
      <c r="C24" s="325" t="s">
        <v>9</v>
      </c>
      <c r="D24" s="215">
        <f>Scenario!AL31</f>
        <v>0.37643845197996767</v>
      </c>
      <c r="E24" s="215">
        <f>Scenario!AM31</f>
        <v>0.9454633575841902</v>
      </c>
      <c r="F24" s="215">
        <f>Scenario!AN31</f>
        <v>1.7891607181870568</v>
      </c>
      <c r="G24" s="215">
        <f>Scenario!AO31</f>
        <v>3.3857431383516916</v>
      </c>
      <c r="H24" s="321">
        <f>Scenario!AP31</f>
        <v>8.5036373374364302</v>
      </c>
      <c r="I24" s="218">
        <f>IF(D24+'Non-travel METs'!D25&gt;2.5, D24+'Non-travel METs'!D25, 0.1)</f>
        <v>0.1</v>
      </c>
      <c r="J24" s="218">
        <f>IF(E24+'Non-travel METs'!E25&gt;2.5, E24+'Non-travel METs'!E25, 0.1)</f>
        <v>0.1</v>
      </c>
      <c r="K24" s="218">
        <f>IF(F24+'Non-travel METs'!F25&gt;2.5, F24+'Non-travel METs'!F25, 0.1)</f>
        <v>0.1</v>
      </c>
      <c r="L24" s="218">
        <f>IF(G24+'Non-travel METs'!G25&gt;2.5, G24+'Non-travel METs'!G25, 0.1)</f>
        <v>3.3857431383516916</v>
      </c>
      <c r="M24" s="223">
        <f>IF(H24+'Non-travel METs'!H25&gt;2.5, H24+'Non-travel METs'!H25, 0.1)</f>
        <v>8.5036373374364302</v>
      </c>
      <c r="N24" s="268">
        <f>'Phy activity RRs'!$F$6</f>
        <v>0.96065247560449929</v>
      </c>
      <c r="O24" s="215">
        <f>$N24^(I24^0.5)</f>
        <v>0.98738603830564786</v>
      </c>
      <c r="P24" s="215">
        <f t="shared" ref="P24:S39" si="11">$N24^(J24^0.5)</f>
        <v>0.98738603830564786</v>
      </c>
      <c r="Q24" s="215">
        <f t="shared" si="11"/>
        <v>0.98738603830564786</v>
      </c>
      <c r="R24" s="215">
        <f t="shared" si="11"/>
        <v>0.92879811523448452</v>
      </c>
      <c r="S24" s="321">
        <f t="shared" si="11"/>
        <v>0.88953207232963338</v>
      </c>
      <c r="T24" s="296">
        <f>O24/O6</f>
        <v>1</v>
      </c>
      <c r="U24" s="296">
        <f t="shared" ref="U24:X39" si="12">P24/P6</f>
        <v>1</v>
      </c>
      <c r="V24" s="296">
        <f t="shared" si="12"/>
        <v>1</v>
      </c>
      <c r="W24" s="296">
        <f t="shared" si="12"/>
        <v>0.99669837412255291</v>
      </c>
      <c r="X24" s="328">
        <f t="shared" si="12"/>
        <v>0.99488806081814007</v>
      </c>
      <c r="Y24" s="296">
        <f>O24/$O24</f>
        <v>1</v>
      </c>
      <c r="Z24" s="296">
        <f t="shared" ref="Z24:AC39" si="13">P24/$O24</f>
        <v>1</v>
      </c>
      <c r="AA24" s="296">
        <f t="shared" si="13"/>
        <v>1</v>
      </c>
      <c r="AB24" s="296">
        <f t="shared" si="13"/>
        <v>0.94066360997801823</v>
      </c>
      <c r="AC24" s="328">
        <f t="shared" si="13"/>
        <v>0.90089593919726507</v>
      </c>
      <c r="AD24" s="333">
        <f>(5-SUM(T24:X24))/5</f>
        <v>1.682713011861381E-3</v>
      </c>
      <c r="AE24" s="334">
        <f>1-AD24</f>
        <v>0.9983172869881386</v>
      </c>
      <c r="AF24" s="214">
        <f>AE24*GBDUS!K126/(Y24+Z24+AA24+AB24+AC24)</f>
        <v>0</v>
      </c>
      <c r="AG24" s="214">
        <f>$AF24*Z24</f>
        <v>0</v>
      </c>
      <c r="AH24" s="214">
        <f t="shared" ref="AH24:AJ39" si="14">$AF24*AA24</f>
        <v>0</v>
      </c>
      <c r="AI24" s="214">
        <f t="shared" si="14"/>
        <v>0</v>
      </c>
      <c r="AJ24" s="292">
        <f t="shared" si="14"/>
        <v>0</v>
      </c>
      <c r="AK24" s="301">
        <f>AE24*GBDUS!L126/(Y24+Z24+AA24+AB24+AC24)</f>
        <v>0</v>
      </c>
      <c r="AL24" s="301">
        <f>$AK24*Z24</f>
        <v>0</v>
      </c>
      <c r="AM24" s="301">
        <f t="shared" ref="AM24:AO39" si="15">$AK24*AA24</f>
        <v>0</v>
      </c>
      <c r="AN24" s="301">
        <f t="shared" si="15"/>
        <v>0</v>
      </c>
      <c r="AO24" s="303">
        <f t="shared" si="15"/>
        <v>0</v>
      </c>
      <c r="AP24" s="301">
        <f>AE24*GBDUS!M126/(Y24+Z24+AA24+AB24+AC24)</f>
        <v>4.396673440923312E-2</v>
      </c>
      <c r="AQ24" s="301">
        <f>$AP24*Z24</f>
        <v>4.396673440923312E-2</v>
      </c>
      <c r="AR24" s="301">
        <f t="shared" ref="AR24:AT39" si="16">$AP24*AA24</f>
        <v>4.396673440923312E-2</v>
      </c>
      <c r="AS24" s="301">
        <f t="shared" si="16"/>
        <v>4.135790710833398E-2</v>
      </c>
      <c r="AT24" s="303">
        <f t="shared" si="16"/>
        <v>3.9609452489042782E-2</v>
      </c>
      <c r="AU24" s="376">
        <f>SUM(AF24:AJ24)-SUM(AF6:AJ6)</f>
        <v>0</v>
      </c>
      <c r="AV24" s="376">
        <f>SUM(AK24:AO24)-SUM(AK6:AO6)</f>
        <v>0</v>
      </c>
      <c r="AW24" s="376">
        <f>SUM(AP24:AT24)-SUM(AP6:AT6)</f>
        <v>-3.5879877313316211E-4</v>
      </c>
      <c r="AX24" s="376">
        <f>AV24+AW24</f>
        <v>-3.5879877313316211E-4</v>
      </c>
    </row>
    <row r="25" spans="2:50" x14ac:dyDescent="0.2">
      <c r="B25" s="212">
        <v>1</v>
      </c>
      <c r="C25" s="325" t="s">
        <v>10</v>
      </c>
      <c r="D25" s="215">
        <f>Scenario!AL32</f>
        <v>0.76131359914254593</v>
      </c>
      <c r="E25" s="215">
        <f>Scenario!AM32</f>
        <v>1.912116330927107</v>
      </c>
      <c r="F25" s="215">
        <f>Scenario!AN32</f>
        <v>3.6184199001007888</v>
      </c>
      <c r="G25" s="369">
        <f>Scenario!AO32</f>
        <v>6.8473671615456384</v>
      </c>
      <c r="H25" s="321">
        <f>Scenario!AP32</f>
        <v>17.19785721441437</v>
      </c>
      <c r="I25" s="218">
        <f>IF(D25+'Non-travel METs'!D26&gt;2.5, D25+'Non-travel METs'!D26, 0.1)</f>
        <v>0.1</v>
      </c>
      <c r="J25" s="218">
        <f>IF(E25+'Non-travel METs'!E26&gt;2.5, E25+'Non-travel METs'!E26, 0.1)</f>
        <v>0.1</v>
      </c>
      <c r="K25" s="218">
        <f>IF(F25+'Non-travel METs'!F26&gt;2.5, F25+'Non-travel METs'!F26, 0.1)</f>
        <v>3.6184199001007888</v>
      </c>
      <c r="L25" s="218">
        <f>IF(G25+'Non-travel METs'!G26&gt;2.5, G25+'Non-travel METs'!G26, 0.1)</f>
        <v>6.8473671615456384</v>
      </c>
      <c r="M25" s="223">
        <f>IF(H25+'Non-travel METs'!H26&gt;2.5, H25+'Non-travel METs'!H26, 0.1)</f>
        <v>17.19785721441437</v>
      </c>
      <c r="N25" s="268">
        <f>'Phy activity RRs'!$F$6</f>
        <v>0.96065247560449929</v>
      </c>
      <c r="O25" s="215">
        <f t="shared" ref="O25:O39" si="17">$N25^(I25^0.5)</f>
        <v>0.98738603830564786</v>
      </c>
      <c r="P25" s="215">
        <f t="shared" si="11"/>
        <v>0.98738603830564786</v>
      </c>
      <c r="Q25" s="215">
        <f t="shared" si="11"/>
        <v>0.92648283061378234</v>
      </c>
      <c r="R25" s="215">
        <f t="shared" si="11"/>
        <v>0.90028585473023948</v>
      </c>
      <c r="S25" s="321">
        <f t="shared" si="11"/>
        <v>0.84664617444838175</v>
      </c>
      <c r="T25" s="296">
        <f t="shared" ref="T25:T39" si="18">O25/O7</f>
        <v>1</v>
      </c>
      <c r="U25" s="296">
        <f t="shared" si="12"/>
        <v>1</v>
      </c>
      <c r="V25" s="296">
        <f t="shared" si="12"/>
        <v>0.99747580971401284</v>
      </c>
      <c r="W25" s="296">
        <f t="shared" si="12"/>
        <v>0.99660202399720599</v>
      </c>
      <c r="X25" s="328">
        <f t="shared" si="12"/>
        <v>0.99478649538116815</v>
      </c>
      <c r="Y25" s="296">
        <f t="shared" ref="Y25:Y39" si="19">O25/$O25</f>
        <v>1</v>
      </c>
      <c r="Z25" s="296">
        <f t="shared" si="13"/>
        <v>1</v>
      </c>
      <c r="AA25" s="296">
        <f t="shared" si="13"/>
        <v>0.93831874734994702</v>
      </c>
      <c r="AB25" s="296">
        <f t="shared" si="13"/>
        <v>0.91178710231221005</v>
      </c>
      <c r="AC25" s="328">
        <f t="shared" si="13"/>
        <v>0.85746216940764586</v>
      </c>
      <c r="AD25" s="333">
        <f t="shared" ref="AD25:AD39" si="20">(5-SUM(T25:X25))/5</f>
        <v>2.2271341815224945E-3</v>
      </c>
      <c r="AE25" s="334">
        <f t="shared" ref="AE25:AE39" si="21">1-AD25</f>
        <v>0.99777286581847746</v>
      </c>
      <c r="AF25" s="214">
        <f>AE25*GBDUS!K127/(Y25+Z25+AA25+AB25+AC25)</f>
        <v>0</v>
      </c>
      <c r="AG25" s="214">
        <f t="shared" ref="AG25:AG39" si="22">$AF25*Z25</f>
        <v>0</v>
      </c>
      <c r="AH25" s="214">
        <f t="shared" si="14"/>
        <v>0</v>
      </c>
      <c r="AI25" s="214">
        <f t="shared" si="14"/>
        <v>0</v>
      </c>
      <c r="AJ25" s="292">
        <f t="shared" si="14"/>
        <v>0</v>
      </c>
      <c r="AK25" s="301">
        <f>AE25*GBDUS!L127/(Y25+Z25+AA25+AB25+AC25)</f>
        <v>0</v>
      </c>
      <c r="AL25" s="301">
        <f t="shared" ref="AL25:AL39" si="23">$AK25*Z25</f>
        <v>0</v>
      </c>
      <c r="AM25" s="301">
        <f t="shared" si="15"/>
        <v>0</v>
      </c>
      <c r="AN25" s="301">
        <f t="shared" si="15"/>
        <v>0</v>
      </c>
      <c r="AO25" s="303">
        <f t="shared" si="15"/>
        <v>0</v>
      </c>
      <c r="AP25" s="301">
        <f>AE25*GBDUS!M127/(Y25+Z25+AA25+AB25+AC25)</f>
        <v>77.2286446315875</v>
      </c>
      <c r="AQ25" s="301">
        <f t="shared" ref="AQ25:AQ39" si="24">$AP25*Z25</f>
        <v>77.2286446315875</v>
      </c>
      <c r="AR25" s="301">
        <f t="shared" si="16"/>
        <v>72.465085090245395</v>
      </c>
      <c r="AS25" s="301">
        <f t="shared" si="16"/>
        <v>70.416082104134588</v>
      </c>
      <c r="AT25" s="303">
        <f t="shared" si="16"/>
        <v>66.220641166213156</v>
      </c>
      <c r="AU25" s="376">
        <f t="shared" ref="AU25:AU39" si="25">SUM(AF25:AJ25)-SUM(AF7:AJ7)</f>
        <v>0</v>
      </c>
      <c r="AV25" s="376">
        <f t="shared" ref="AV25:AV39" si="26">SUM(AK25:AO25)-SUM(AK7:AO7)</f>
        <v>0</v>
      </c>
      <c r="AW25" s="376">
        <f t="shared" ref="AW25:AW39" si="27">SUM(AP25:AT25)-SUM(AP7:AT7)</f>
        <v>-0.81150221764869457</v>
      </c>
      <c r="AX25" s="376">
        <f t="shared" ref="AX25:AX39" si="28">AV25+AW25</f>
        <v>-0.81150221764869457</v>
      </c>
    </row>
    <row r="26" spans="2:50" x14ac:dyDescent="0.2">
      <c r="B26" s="212">
        <v>1</v>
      </c>
      <c r="C26" s="325" t="s">
        <v>11</v>
      </c>
      <c r="D26" s="215">
        <f>Scenario!AL33</f>
        <v>0.58511880095294533</v>
      </c>
      <c r="E26" s="215">
        <f>Scenario!AM33</f>
        <v>1.4695852222982959</v>
      </c>
      <c r="F26" s="215">
        <f>Scenario!AN33</f>
        <v>2.7809900094728652</v>
      </c>
      <c r="G26" s="215">
        <f>Scenario!AO33</f>
        <v>5.2626450752497185</v>
      </c>
      <c r="H26" s="321">
        <f>Scenario!AP33</f>
        <v>13.217666942494709</v>
      </c>
      <c r="I26" s="218">
        <f>IF(D26+'Non-travel METs'!D27&gt;2.5, D26+'Non-travel METs'!D27, 0.1)</f>
        <v>65.462618800952939</v>
      </c>
      <c r="J26" s="218">
        <f>IF(E26+'Non-travel METs'!E27&gt;2.5, E26+'Non-travel METs'!E27, 0.1)</f>
        <v>66.34708522229829</v>
      </c>
      <c r="K26" s="218">
        <f>IF(F26+'Non-travel METs'!F27&gt;2.5, F26+'Non-travel METs'!F27, 0.1)</f>
        <v>67.658490009472857</v>
      </c>
      <c r="L26" s="218">
        <f>IF(G26+'Non-travel METs'!G27&gt;2.5, G26+'Non-travel METs'!G27, 0.1)</f>
        <v>70.14014507524972</v>
      </c>
      <c r="M26" s="223">
        <f>IF(H26+'Non-travel METs'!H27&gt;2.5, H26+'Non-travel METs'!H27, 0.1)</f>
        <v>78.0951669424947</v>
      </c>
      <c r="N26" s="268">
        <f>'Phy activity RRs'!$F$6</f>
        <v>0.96065247560449929</v>
      </c>
      <c r="O26" s="215">
        <f t="shared" si="17"/>
        <v>0.72267956557088953</v>
      </c>
      <c r="P26" s="215">
        <f t="shared" si="11"/>
        <v>0.72110096877104191</v>
      </c>
      <c r="Q26" s="215">
        <f t="shared" si="11"/>
        <v>0.71878587478457956</v>
      </c>
      <c r="R26" s="215">
        <f t="shared" si="11"/>
        <v>0.71448532729861658</v>
      </c>
      <c r="S26" s="321">
        <f t="shared" si="11"/>
        <v>0.70135175152061424</v>
      </c>
      <c r="T26" s="296">
        <f t="shared" si="18"/>
        <v>0.99990827805585147</v>
      </c>
      <c r="U26" s="296">
        <f t="shared" si="12"/>
        <v>0.99977818722474643</v>
      </c>
      <c r="V26" s="296">
        <f t="shared" si="12"/>
        <v>0.99959342334166712</v>
      </c>
      <c r="W26" s="296">
        <f t="shared" si="12"/>
        <v>0.9992611619127294</v>
      </c>
      <c r="X26" s="328">
        <f t="shared" si="12"/>
        <v>0.99829871727158004</v>
      </c>
      <c r="Y26" s="296">
        <f t="shared" si="19"/>
        <v>1</v>
      </c>
      <c r="Z26" s="296">
        <f t="shared" si="13"/>
        <v>0.99781563382299232</v>
      </c>
      <c r="AA26" s="296">
        <f t="shared" si="13"/>
        <v>0.99461214766293538</v>
      </c>
      <c r="AB26" s="296">
        <f t="shared" si="13"/>
        <v>0.98866131178650418</v>
      </c>
      <c r="AC26" s="328">
        <f t="shared" si="13"/>
        <v>0.97048786894447869</v>
      </c>
      <c r="AD26" s="333">
        <f t="shared" si="20"/>
        <v>6.3204643868512993E-4</v>
      </c>
      <c r="AE26" s="334">
        <f t="shared" si="21"/>
        <v>0.99936795356131491</v>
      </c>
      <c r="AF26" s="214">
        <f>AE26*GBDUS!K128/(Y26+Z26+AA26+AB26+AC26)</f>
        <v>0</v>
      </c>
      <c r="AG26" s="214">
        <f t="shared" si="22"/>
        <v>0</v>
      </c>
      <c r="AH26" s="214">
        <f t="shared" si="14"/>
        <v>0</v>
      </c>
      <c r="AI26" s="214">
        <f t="shared" si="14"/>
        <v>0</v>
      </c>
      <c r="AJ26" s="292">
        <f t="shared" si="14"/>
        <v>0</v>
      </c>
      <c r="AK26" s="301">
        <f>AE26*GBDUS!L128/(Y26+Z26+AA26+AB26+AC26)</f>
        <v>0</v>
      </c>
      <c r="AL26" s="301">
        <f t="shared" si="23"/>
        <v>0</v>
      </c>
      <c r="AM26" s="301">
        <f t="shared" si="15"/>
        <v>0</v>
      </c>
      <c r="AN26" s="301">
        <f t="shared" si="15"/>
        <v>0</v>
      </c>
      <c r="AO26" s="303">
        <f t="shared" si="15"/>
        <v>0</v>
      </c>
      <c r="AP26" s="301">
        <f>AE26*GBDUS!M128/(Y26+Z26+AA26+AB26+AC26)</f>
        <v>213.84252905047555</v>
      </c>
      <c r="AQ26" s="301">
        <f t="shared" si="24"/>
        <v>213.37541866281191</v>
      </c>
      <c r="AR26" s="301">
        <f t="shared" si="16"/>
        <v>212.69037708056715</v>
      </c>
      <c r="AS26" s="301">
        <f t="shared" si="16"/>
        <v>211.41783528678678</v>
      </c>
      <c r="AT26" s="303">
        <f t="shared" si="16"/>
        <v>207.53158030789379</v>
      </c>
      <c r="AU26" s="376">
        <f t="shared" si="25"/>
        <v>0</v>
      </c>
      <c r="AV26" s="376">
        <f t="shared" si="26"/>
        <v>0</v>
      </c>
      <c r="AW26" s="376">
        <f t="shared" si="27"/>
        <v>-0.66967052675840932</v>
      </c>
      <c r="AX26" s="376">
        <f t="shared" si="28"/>
        <v>-0.66967052675840932</v>
      </c>
    </row>
    <row r="27" spans="2:50" x14ac:dyDescent="0.2">
      <c r="B27" s="212">
        <v>1</v>
      </c>
      <c r="C27" s="325" t="s">
        <v>12</v>
      </c>
      <c r="D27" s="215">
        <f>Scenario!AL34</f>
        <v>0.50458791239407375</v>
      </c>
      <c r="E27" s="215">
        <f>Scenario!AM34</f>
        <v>1.2673237267320545</v>
      </c>
      <c r="F27" s="215">
        <f>Scenario!AN34</f>
        <v>2.3982376587169973</v>
      </c>
      <c r="G27" s="215">
        <f>Scenario!AO34</f>
        <v>4.5383383474713499</v>
      </c>
      <c r="H27" s="321">
        <f>Scenario!AP34</f>
        <v>11.398497122928575</v>
      </c>
      <c r="I27" s="218">
        <f>IF(D27+'Non-travel METs'!D28&gt;2.5, D27+'Non-travel METs'!D28, 0.1)</f>
        <v>68.198337912394067</v>
      </c>
      <c r="J27" s="218">
        <f>IF(E27+'Non-travel METs'!E28&gt;2.5, E27+'Non-travel METs'!E28, 0.1)</f>
        <v>68.961073726732053</v>
      </c>
      <c r="K27" s="218">
        <f>IF(F27+'Non-travel METs'!F28&gt;2.5, F27+'Non-travel METs'!F28, 0.1)</f>
        <v>70.091987658716988</v>
      </c>
      <c r="L27" s="218">
        <f>IF(G27+'Non-travel METs'!G28&gt;2.5, G27+'Non-travel METs'!G28, 0.1)</f>
        <v>72.232088347471347</v>
      </c>
      <c r="M27" s="223">
        <f>IF(H27+'Non-travel METs'!H28&gt;2.5, H27+'Non-travel METs'!H28, 0.1)</f>
        <v>79.092247122928569</v>
      </c>
      <c r="N27" s="268">
        <f>'Phy activity RRs'!$F$6</f>
        <v>0.96065247560449929</v>
      </c>
      <c r="O27" s="215">
        <f t="shared" si="17"/>
        <v>0.71784151881740865</v>
      </c>
      <c r="P27" s="215">
        <f t="shared" si="11"/>
        <v>0.71651571177381057</v>
      </c>
      <c r="Q27" s="215">
        <f t="shared" si="11"/>
        <v>0.71456780715596635</v>
      </c>
      <c r="R27" s="215">
        <f t="shared" si="11"/>
        <v>0.71093840094712812</v>
      </c>
      <c r="S27" s="321">
        <f t="shared" si="11"/>
        <v>0.69977028766454763</v>
      </c>
      <c r="T27" s="296">
        <f t="shared" si="18"/>
        <v>0.99992195596767119</v>
      </c>
      <c r="U27" s="296">
        <f t="shared" si="12"/>
        <v>0.99981100686238411</v>
      </c>
      <c r="V27" s="296">
        <f t="shared" si="12"/>
        <v>0.99965295745183169</v>
      </c>
      <c r="W27" s="296">
        <f t="shared" si="12"/>
        <v>0.99936738568527983</v>
      </c>
      <c r="X27" s="328">
        <f t="shared" si="12"/>
        <v>0.99853084169660278</v>
      </c>
      <c r="Y27" s="296">
        <f t="shared" si="19"/>
        <v>1</v>
      </c>
      <c r="Z27" s="296">
        <f t="shared" si="13"/>
        <v>0.99815306441764162</v>
      </c>
      <c r="AA27" s="296">
        <f t="shared" si="13"/>
        <v>0.9954395063873771</v>
      </c>
      <c r="AB27" s="296">
        <f t="shared" si="13"/>
        <v>0.99038350709826184</v>
      </c>
      <c r="AC27" s="328">
        <f t="shared" si="13"/>
        <v>0.97482559774108346</v>
      </c>
      <c r="AD27" s="333">
        <f t="shared" si="20"/>
        <v>5.4317046724605689E-4</v>
      </c>
      <c r="AE27" s="334">
        <f t="shared" si="21"/>
        <v>0.99945682953275394</v>
      </c>
      <c r="AF27" s="214">
        <f>AE27*GBDUS!K129/(Y27+Z27+AA27+AB27+AC27)</f>
        <v>0</v>
      </c>
      <c r="AG27" s="214">
        <f t="shared" si="22"/>
        <v>0</v>
      </c>
      <c r="AH27" s="214">
        <f t="shared" si="14"/>
        <v>0</v>
      </c>
      <c r="AI27" s="214">
        <f t="shared" si="14"/>
        <v>0</v>
      </c>
      <c r="AJ27" s="292">
        <f t="shared" si="14"/>
        <v>0</v>
      </c>
      <c r="AK27" s="301">
        <f>AE27*GBDUS!L129/(Y27+Z27+AA27+AB27+AC27)</f>
        <v>0</v>
      </c>
      <c r="AL27" s="301">
        <f t="shared" si="23"/>
        <v>0</v>
      </c>
      <c r="AM27" s="301">
        <f t="shared" si="15"/>
        <v>0</v>
      </c>
      <c r="AN27" s="301">
        <f t="shared" si="15"/>
        <v>0</v>
      </c>
      <c r="AO27" s="303">
        <f t="shared" si="15"/>
        <v>0</v>
      </c>
      <c r="AP27" s="301">
        <f>AE27*GBDUS!M129/(Y27+Z27+AA27+AB27+AC27)</f>
        <v>194.98651325574104</v>
      </c>
      <c r="AQ27" s="301">
        <f t="shared" si="24"/>
        <v>194.62638572632903</v>
      </c>
      <c r="AR27" s="301">
        <f t="shared" si="16"/>
        <v>194.09727850749061</v>
      </c>
      <c r="AS27" s="301">
        <f t="shared" si="16"/>
        <v>193.11142683508254</v>
      </c>
      <c r="AT27" s="303">
        <f t="shared" si="16"/>
        <v>190.07784433597746</v>
      </c>
      <c r="AU27" s="376">
        <f t="shared" si="25"/>
        <v>0</v>
      </c>
      <c r="AV27" s="376">
        <f t="shared" si="26"/>
        <v>0</v>
      </c>
      <c r="AW27" s="376">
        <f t="shared" si="27"/>
        <v>-0.5254766487055349</v>
      </c>
      <c r="AX27" s="376">
        <f t="shared" si="28"/>
        <v>-0.5254766487055349</v>
      </c>
    </row>
    <row r="28" spans="2:50" x14ac:dyDescent="0.2">
      <c r="B28" s="212">
        <v>1</v>
      </c>
      <c r="C28" s="325" t="s">
        <v>13</v>
      </c>
      <c r="D28" s="215">
        <f>Scenario!AL35</f>
        <v>0.42323926090175956</v>
      </c>
      <c r="E28" s="215">
        <f>Scenario!AM35</f>
        <v>1.0630083366056431</v>
      </c>
      <c r="F28" s="215">
        <f>Scenario!AN35</f>
        <v>2.011598592059475</v>
      </c>
      <c r="G28" s="215">
        <f>Scenario!AO35</f>
        <v>3.8066765388659869</v>
      </c>
      <c r="H28" s="321">
        <f>Scenario!AP35</f>
        <v>9.5608542717754226</v>
      </c>
      <c r="I28" s="218">
        <f>IF(D28+'Non-travel METs'!D29&gt;2.5, D28+'Non-travel METs'!D29, 0.1)</f>
        <v>58.198239260901758</v>
      </c>
      <c r="J28" s="218">
        <f>IF(E28+'Non-travel METs'!E29&gt;2.5, E28+'Non-travel METs'!E29, 0.1)</f>
        <v>58.83800833660564</v>
      </c>
      <c r="K28" s="218">
        <f>IF(F28+'Non-travel METs'!F29&gt;2.5, F28+'Non-travel METs'!F29, 0.1)</f>
        <v>59.786598592059477</v>
      </c>
      <c r="L28" s="218">
        <f>IF(G28+'Non-travel METs'!G29&gt;2.5, G28+'Non-travel METs'!G29, 0.1)</f>
        <v>61.581676538865985</v>
      </c>
      <c r="M28" s="223">
        <f>IF(H28+'Non-travel METs'!H29&gt;2.5, H28+'Non-travel METs'!H29, 0.1)</f>
        <v>67.335854271775418</v>
      </c>
      <c r="N28" s="268">
        <f>'Phy activity RRs'!$F$6</f>
        <v>0.96065247560449929</v>
      </c>
      <c r="O28" s="215">
        <f t="shared" si="17"/>
        <v>0.73621089029587417</v>
      </c>
      <c r="P28" s="215">
        <f t="shared" si="11"/>
        <v>0.73497610186068918</v>
      </c>
      <c r="Q28" s="215">
        <f t="shared" si="11"/>
        <v>0.73316133292788599</v>
      </c>
      <c r="R28" s="215">
        <f t="shared" si="11"/>
        <v>0.72977812814756293</v>
      </c>
      <c r="S28" s="321">
        <f t="shared" si="11"/>
        <v>0.71935265646174029</v>
      </c>
      <c r="T28" s="296">
        <f t="shared" si="18"/>
        <v>0.99994055474899535</v>
      </c>
      <c r="U28" s="296">
        <f t="shared" si="12"/>
        <v>0.99985696562968385</v>
      </c>
      <c r="V28" s="296">
        <f t="shared" si="12"/>
        <v>0.99973857134867627</v>
      </c>
      <c r="W28" s="296">
        <f t="shared" si="12"/>
        <v>0.99952573989644911</v>
      </c>
      <c r="X28" s="328">
        <f t="shared" si="12"/>
        <v>0.99890644345668966</v>
      </c>
      <c r="Y28" s="296">
        <f t="shared" si="19"/>
        <v>1</v>
      </c>
      <c r="Z28" s="296">
        <f t="shared" si="13"/>
        <v>0.99832277890552701</v>
      </c>
      <c r="AA28" s="296">
        <f t="shared" si="13"/>
        <v>0.99585776656093394</v>
      </c>
      <c r="AB28" s="296">
        <f t="shared" si="13"/>
        <v>0.99126233769005234</v>
      </c>
      <c r="AC28" s="328">
        <f t="shared" si="13"/>
        <v>0.97710135226693162</v>
      </c>
      <c r="AD28" s="333">
        <f t="shared" si="20"/>
        <v>4.0634498390108577E-4</v>
      </c>
      <c r="AE28" s="334">
        <f t="shared" si="21"/>
        <v>0.99959365501609887</v>
      </c>
      <c r="AF28" s="214">
        <f>AE28*GBDUS!K130/(Y28+Z28+AA28+AB28+AC28)</f>
        <v>0</v>
      </c>
      <c r="AG28" s="214">
        <f t="shared" si="22"/>
        <v>0</v>
      </c>
      <c r="AH28" s="214">
        <f t="shared" si="14"/>
        <v>0</v>
      </c>
      <c r="AI28" s="214">
        <f t="shared" si="14"/>
        <v>0</v>
      </c>
      <c r="AJ28" s="292">
        <f t="shared" si="14"/>
        <v>0</v>
      </c>
      <c r="AK28" s="301">
        <f>AE28*GBDUS!L130/(Y28+Z28+AA28+AB28+AC28)</f>
        <v>0</v>
      </c>
      <c r="AL28" s="301">
        <f t="shared" si="23"/>
        <v>0</v>
      </c>
      <c r="AM28" s="301">
        <f t="shared" si="15"/>
        <v>0</v>
      </c>
      <c r="AN28" s="301">
        <f t="shared" si="15"/>
        <v>0</v>
      </c>
      <c r="AO28" s="303">
        <f t="shared" si="15"/>
        <v>0</v>
      </c>
      <c r="AP28" s="301">
        <f>AE28*GBDUS!M130/(Y28+Z28+AA28+AB28+AC28)</f>
        <v>181.43404456904199</v>
      </c>
      <c r="AQ28" s="301">
        <f t="shared" si="24"/>
        <v>181.12973956223524</v>
      </c>
      <c r="AR28" s="301">
        <f t="shared" si="16"/>
        <v>180.68250240264311</v>
      </c>
      <c r="AS28" s="301">
        <f t="shared" si="16"/>
        <v>179.84873515606969</v>
      </c>
      <c r="AT28" s="303">
        <f t="shared" si="16"/>
        <v>177.27945029566968</v>
      </c>
      <c r="AU28" s="376">
        <f t="shared" si="25"/>
        <v>0</v>
      </c>
      <c r="AV28" s="376">
        <f t="shared" si="26"/>
        <v>0</v>
      </c>
      <c r="AW28" s="376">
        <f t="shared" si="27"/>
        <v>-0.36601137721129362</v>
      </c>
      <c r="AX28" s="376">
        <f t="shared" si="28"/>
        <v>-0.36601137721129362</v>
      </c>
    </row>
    <row r="29" spans="2:50" x14ac:dyDescent="0.2">
      <c r="B29" s="212">
        <v>1</v>
      </c>
      <c r="C29" s="325" t="s">
        <v>14</v>
      </c>
      <c r="D29" s="215">
        <f>Scenario!AL36</f>
        <v>0.34527632259518459</v>
      </c>
      <c r="E29" s="215">
        <f>Scenario!AM36</f>
        <v>0.86719650858764341</v>
      </c>
      <c r="F29" s="215">
        <f>Scenario!AN36</f>
        <v>1.641051359281066</v>
      </c>
      <c r="G29" s="215">
        <f>Scenario!AO36</f>
        <v>3.1054663356339605</v>
      </c>
      <c r="H29" s="321">
        <f>Scenario!AP36</f>
        <v>7.7996937164894184</v>
      </c>
      <c r="I29" s="218">
        <f>IF(D29+'Non-travel METs'!D30&gt;2.5, D29+'Non-travel METs'!D30, 0.1)</f>
        <v>23.428609655928486</v>
      </c>
      <c r="J29" s="218">
        <f>IF(E29+'Non-travel METs'!E30&gt;2.5, E29+'Non-travel METs'!E30, 0.1)</f>
        <v>23.950529841920943</v>
      </c>
      <c r="K29" s="218">
        <f>IF(F29+'Non-travel METs'!F30&gt;2.5, F29+'Non-travel METs'!F30, 0.1)</f>
        <v>24.724384692614365</v>
      </c>
      <c r="L29" s="218">
        <f>IF(G29+'Non-travel METs'!G30&gt;2.5, G29+'Non-travel METs'!G30, 0.1)</f>
        <v>26.18879966896726</v>
      </c>
      <c r="M29" s="223">
        <f>IF(H29+'Non-travel METs'!H30&gt;2.5, H29+'Non-travel METs'!H30, 0.1)</f>
        <v>30.883027049822719</v>
      </c>
      <c r="N29" s="268">
        <f>'Phy activity RRs'!$F$6</f>
        <v>0.96065247560449929</v>
      </c>
      <c r="O29" s="215">
        <f t="shared" si="17"/>
        <v>0.82340879623609853</v>
      </c>
      <c r="P29" s="215">
        <f t="shared" si="11"/>
        <v>0.82163846139782382</v>
      </c>
      <c r="Q29" s="215">
        <f t="shared" si="11"/>
        <v>0.81905555910910299</v>
      </c>
      <c r="R29" s="215">
        <f t="shared" si="11"/>
        <v>0.81429746642624523</v>
      </c>
      <c r="S29" s="321">
        <f t="shared" si="11"/>
        <v>0.80004903612561418</v>
      </c>
      <c r="T29" s="296">
        <f t="shared" si="18"/>
        <v>0.99991291341668975</v>
      </c>
      <c r="U29" s="296">
        <f t="shared" si="12"/>
        <v>0.99979055496359437</v>
      </c>
      <c r="V29" s="296">
        <f t="shared" si="12"/>
        <v>0.99961874441276011</v>
      </c>
      <c r="W29" s="296">
        <f t="shared" si="12"/>
        <v>0.99931511974451226</v>
      </c>
      <c r="X29" s="328">
        <f t="shared" si="12"/>
        <v>0.99846919325423023</v>
      </c>
      <c r="Y29" s="296">
        <f t="shared" si="19"/>
        <v>1</v>
      </c>
      <c r="Z29" s="296">
        <f t="shared" si="13"/>
        <v>0.99784999280264297</v>
      </c>
      <c r="AA29" s="296">
        <f t="shared" si="13"/>
        <v>0.99471315202497868</v>
      </c>
      <c r="AB29" s="296">
        <f t="shared" si="13"/>
        <v>0.9889346217194882</v>
      </c>
      <c r="AC29" s="328">
        <f t="shared" si="13"/>
        <v>0.9716304219516908</v>
      </c>
      <c r="AD29" s="333">
        <f t="shared" si="20"/>
        <v>5.7869484164267963E-4</v>
      </c>
      <c r="AE29" s="334">
        <f t="shared" si="21"/>
        <v>0.99942130515835736</v>
      </c>
      <c r="AF29" s="214">
        <f>AE29*GBDUS!K131/(Y29+Z29+AA29+AB29+AC29)</f>
        <v>0</v>
      </c>
      <c r="AG29" s="214">
        <f t="shared" si="22"/>
        <v>0</v>
      </c>
      <c r="AH29" s="214">
        <f t="shared" si="14"/>
        <v>0</v>
      </c>
      <c r="AI29" s="214">
        <f t="shared" si="14"/>
        <v>0</v>
      </c>
      <c r="AJ29" s="292">
        <f t="shared" si="14"/>
        <v>0</v>
      </c>
      <c r="AK29" s="301">
        <f>AE29*GBDUS!L131/(Y29+Z29+AA29+AB29+AC29)</f>
        <v>0</v>
      </c>
      <c r="AL29" s="301">
        <f t="shared" si="23"/>
        <v>0</v>
      </c>
      <c r="AM29" s="301">
        <f t="shared" si="15"/>
        <v>0</v>
      </c>
      <c r="AN29" s="301">
        <f t="shared" si="15"/>
        <v>0</v>
      </c>
      <c r="AO29" s="303">
        <f t="shared" si="15"/>
        <v>0</v>
      </c>
      <c r="AP29" s="301">
        <f>AE29*GBDUS!M131/(Y29+Z29+AA29+AB29+AC29)</f>
        <v>62.323120309811102</v>
      </c>
      <c r="AQ29" s="301">
        <f t="shared" si="24"/>
        <v>62.189125152583259</v>
      </c>
      <c r="AR29" s="301">
        <f t="shared" si="16"/>
        <v>61.993627447404165</v>
      </c>
      <c r="AS29" s="301">
        <f t="shared" si="16"/>
        <v>61.633491407961195</v>
      </c>
      <c r="AT29" s="303">
        <f t="shared" si="16"/>
        <v>60.555039683967749</v>
      </c>
      <c r="AU29" s="376">
        <f t="shared" si="25"/>
        <v>0</v>
      </c>
      <c r="AV29" s="376">
        <f t="shared" si="26"/>
        <v>0</v>
      </c>
      <c r="AW29" s="376">
        <f t="shared" si="27"/>
        <v>-0.17874329706376102</v>
      </c>
      <c r="AX29" s="376">
        <f t="shared" si="28"/>
        <v>-0.17874329706376102</v>
      </c>
    </row>
    <row r="30" spans="2:50" x14ac:dyDescent="0.2">
      <c r="B30" s="212">
        <v>1</v>
      </c>
      <c r="C30" s="325" t="s">
        <v>15</v>
      </c>
      <c r="D30" s="215">
        <f>Scenario!AL37</f>
        <v>0.19932213747057709</v>
      </c>
      <c r="E30" s="215">
        <f>Scenario!AM37</f>
        <v>0.50061776724078633</v>
      </c>
      <c r="F30" s="215">
        <f>Scenario!AN37</f>
        <v>0.94735098593598122</v>
      </c>
      <c r="G30" s="215">
        <f>Scenario!AO37</f>
        <v>1.7927327979196748</v>
      </c>
      <c r="H30" s="321">
        <f>Scenario!AP37</f>
        <v>4.5026302745040336</v>
      </c>
      <c r="I30" s="218">
        <f>IF(D30+'Non-travel METs'!D31&gt;2.5, D30+'Non-travel METs'!D31, 0.1)</f>
        <v>0.1</v>
      </c>
      <c r="J30" s="218">
        <f>IF(E30+'Non-travel METs'!E31&gt;2.5, E30+'Non-travel METs'!E31, 0.1)</f>
        <v>0.1</v>
      </c>
      <c r="K30" s="218">
        <f>IF(F30+'Non-travel METs'!F31&gt;2.5, F30+'Non-travel METs'!F31, 0.1)</f>
        <v>2.822350985935981</v>
      </c>
      <c r="L30" s="218">
        <f>IF(G30+'Non-travel METs'!G31&gt;2.5, G30+'Non-travel METs'!G31, 0.1)</f>
        <v>3.6677327979196748</v>
      </c>
      <c r="M30" s="223">
        <f>IF(H30+'Non-travel METs'!H31&gt;2.5, H30+'Non-travel METs'!H31, 0.1)</f>
        <v>6.3776302745040336</v>
      </c>
      <c r="N30" s="268">
        <f>'Phy activity RRs'!$F$6</f>
        <v>0.96065247560449929</v>
      </c>
      <c r="O30" s="215">
        <f t="shared" si="17"/>
        <v>0.98738603830564786</v>
      </c>
      <c r="P30" s="215">
        <f t="shared" si="11"/>
        <v>0.98738603830564786</v>
      </c>
      <c r="Q30" s="215">
        <f t="shared" si="11"/>
        <v>0.93478481482072595</v>
      </c>
      <c r="R30" s="215">
        <f t="shared" si="11"/>
        <v>0.92600251273265444</v>
      </c>
      <c r="S30" s="321">
        <f t="shared" si="11"/>
        <v>0.90359329833287638</v>
      </c>
      <c r="T30" s="296">
        <f t="shared" si="18"/>
        <v>1</v>
      </c>
      <c r="U30" s="296">
        <f t="shared" si="12"/>
        <v>1</v>
      </c>
      <c r="V30" s="296">
        <f t="shared" si="12"/>
        <v>0.99936163224410046</v>
      </c>
      <c r="W30" s="296">
        <f t="shared" si="12"/>
        <v>0.99896402710589594</v>
      </c>
      <c r="X30" s="328">
        <f t="shared" si="12"/>
        <v>0.99809318870988706</v>
      </c>
      <c r="Y30" s="296">
        <f t="shared" si="19"/>
        <v>1</v>
      </c>
      <c r="Z30" s="296">
        <f t="shared" si="13"/>
        <v>1</v>
      </c>
      <c r="AA30" s="296">
        <f t="shared" si="13"/>
        <v>0.94672679028844131</v>
      </c>
      <c r="AB30" s="296">
        <f t="shared" si="13"/>
        <v>0.93783229335678331</v>
      </c>
      <c r="AC30" s="328">
        <f t="shared" si="13"/>
        <v>0.91513679885877297</v>
      </c>
      <c r="AD30" s="333">
        <f t="shared" si="20"/>
        <v>7.162303880233978E-4</v>
      </c>
      <c r="AE30" s="334">
        <f t="shared" si="21"/>
        <v>0.99928376961197662</v>
      </c>
      <c r="AF30" s="214">
        <f>AE30*GBDUS!K132/(Y30+Z30+AA30+AB30+AC30)</f>
        <v>0</v>
      </c>
      <c r="AG30" s="214">
        <f t="shared" si="22"/>
        <v>0</v>
      </c>
      <c r="AH30" s="214">
        <f t="shared" si="14"/>
        <v>0</v>
      </c>
      <c r="AI30" s="214">
        <f t="shared" si="14"/>
        <v>0</v>
      </c>
      <c r="AJ30" s="292">
        <f t="shared" si="14"/>
        <v>0</v>
      </c>
      <c r="AK30" s="301">
        <f>AE30*GBDUS!L132/(Y30+Z30+AA30+AB30+AC30)</f>
        <v>0</v>
      </c>
      <c r="AL30" s="301">
        <f t="shared" si="23"/>
        <v>0</v>
      </c>
      <c r="AM30" s="301">
        <f t="shared" si="15"/>
        <v>0</v>
      </c>
      <c r="AN30" s="301">
        <f t="shared" si="15"/>
        <v>0</v>
      </c>
      <c r="AO30" s="303">
        <f t="shared" si="15"/>
        <v>0</v>
      </c>
      <c r="AP30" s="301">
        <f>AE30*GBDUS!M132/(Y30+Z30+AA30+AB30+AC30)</f>
        <v>29.214388757038268</v>
      </c>
      <c r="AQ30" s="301">
        <f t="shared" si="24"/>
        <v>29.214388757038268</v>
      </c>
      <c r="AR30" s="301">
        <f t="shared" si="16"/>
        <v>27.658044498189565</v>
      </c>
      <c r="AS30" s="301">
        <f t="shared" si="16"/>
        <v>27.398197207029824</v>
      </c>
      <c r="AT30" s="303">
        <f t="shared" si="16"/>
        <v>26.735162207731729</v>
      </c>
      <c r="AU30" s="376">
        <f t="shared" si="25"/>
        <v>0</v>
      </c>
      <c r="AV30" s="376">
        <f t="shared" si="26"/>
        <v>0</v>
      </c>
      <c r="AW30" s="376">
        <f t="shared" si="27"/>
        <v>-0.10050193749387404</v>
      </c>
      <c r="AX30" s="376">
        <f t="shared" si="28"/>
        <v>-0.10050193749387404</v>
      </c>
    </row>
    <row r="31" spans="2:50" x14ac:dyDescent="0.2">
      <c r="B31" s="319">
        <v>1</v>
      </c>
      <c r="C31" s="326" t="s">
        <v>16</v>
      </c>
      <c r="D31" s="320">
        <f>Scenario!AL38</f>
        <v>0.19126931777272674</v>
      </c>
      <c r="E31" s="320">
        <f>Scenario!AM38</f>
        <v>0.48039229370187442</v>
      </c>
      <c r="F31" s="320">
        <f>Scenario!AN38</f>
        <v>0.909077030131903</v>
      </c>
      <c r="G31" s="320">
        <f>Scenario!AO38</f>
        <v>1.7203045459890483</v>
      </c>
      <c r="H31" s="322">
        <f>Scenario!AP38</f>
        <v>4.3207193727507578</v>
      </c>
      <c r="I31" s="230">
        <f>IF(D31+'Non-travel METs'!D32&gt;2.5, D31+'Non-travel METs'!D32, 0.1)</f>
        <v>0.1</v>
      </c>
      <c r="J31" s="228">
        <f>IF(E31+'Non-travel METs'!E32&gt;2.5, E31+'Non-travel METs'!E32, 0.1)</f>
        <v>0.1</v>
      </c>
      <c r="K31" s="228">
        <f>IF(F31+'Non-travel METs'!F32&gt;2.5, F31+'Non-travel METs'!F32, 0.1)</f>
        <v>0.1</v>
      </c>
      <c r="L31" s="228">
        <f>IF(G31+'Non-travel METs'!G32&gt;2.5, G31+'Non-travel METs'!G32, 0.1)</f>
        <v>0.1</v>
      </c>
      <c r="M31" s="229">
        <f>IF(H31+'Non-travel METs'!H32&gt;2.5, H31+'Non-travel METs'!H32, 0.1)</f>
        <v>4.6540527060840908</v>
      </c>
      <c r="N31" s="268">
        <f>'Phy activity RRs'!$F$6</f>
        <v>0.96065247560449929</v>
      </c>
      <c r="O31" s="327">
        <f t="shared" si="17"/>
        <v>0.98738603830564786</v>
      </c>
      <c r="P31" s="320">
        <f t="shared" si="11"/>
        <v>0.98738603830564786</v>
      </c>
      <c r="Q31" s="320">
        <f t="shared" si="11"/>
        <v>0.98738603830564786</v>
      </c>
      <c r="R31" s="320">
        <f t="shared" si="11"/>
        <v>0.98738603830564786</v>
      </c>
      <c r="S31" s="322">
        <f t="shared" si="11"/>
        <v>0.91704331729144284</v>
      </c>
      <c r="T31" s="329">
        <f t="shared" si="18"/>
        <v>1</v>
      </c>
      <c r="U31" s="330">
        <f t="shared" si="12"/>
        <v>1</v>
      </c>
      <c r="V31" s="330">
        <f t="shared" si="12"/>
        <v>1</v>
      </c>
      <c r="W31" s="330">
        <f t="shared" si="12"/>
        <v>1</v>
      </c>
      <c r="X31" s="331">
        <f t="shared" si="12"/>
        <v>0.99656526674363788</v>
      </c>
      <c r="Y31" s="329">
        <f t="shared" si="19"/>
        <v>1</v>
      </c>
      <c r="Z31" s="330">
        <f t="shared" si="13"/>
        <v>1</v>
      </c>
      <c r="AA31" s="330">
        <f t="shared" si="13"/>
        <v>1</v>
      </c>
      <c r="AB31" s="330">
        <f t="shared" si="13"/>
        <v>1</v>
      </c>
      <c r="AC31" s="331">
        <f t="shared" si="13"/>
        <v>0.928758643240578</v>
      </c>
      <c r="AD31" s="332">
        <f t="shared" si="20"/>
        <v>6.8694665127235768E-4</v>
      </c>
      <c r="AE31" s="334">
        <f t="shared" si="21"/>
        <v>0.99931305334872766</v>
      </c>
      <c r="AF31" s="214">
        <f>AE31*GBDUS!K133/(Y31+Z31+AA31+AB31+AC31)</f>
        <v>0</v>
      </c>
      <c r="AG31" s="294">
        <f t="shared" si="22"/>
        <v>0</v>
      </c>
      <c r="AH31" s="294">
        <f t="shared" si="14"/>
        <v>0</v>
      </c>
      <c r="AI31" s="294">
        <f t="shared" si="14"/>
        <v>0</v>
      </c>
      <c r="AJ31" s="295">
        <f t="shared" si="14"/>
        <v>0</v>
      </c>
      <c r="AK31" s="301">
        <f>AE31*GBDUS!L133/(Y31+Z31+AA31+AB31+AC31)</f>
        <v>0</v>
      </c>
      <c r="AL31" s="305">
        <f t="shared" si="23"/>
        <v>0</v>
      </c>
      <c r="AM31" s="305">
        <f t="shared" si="15"/>
        <v>0</v>
      </c>
      <c r="AN31" s="305">
        <f t="shared" si="15"/>
        <v>0</v>
      </c>
      <c r="AO31" s="306">
        <f t="shared" si="15"/>
        <v>0</v>
      </c>
      <c r="AP31" s="301">
        <f>AE31*GBDUS!M133/(Y31+Z31+AA31+AB31+AC31)</f>
        <v>17.167878433227745</v>
      </c>
      <c r="AQ31" s="305">
        <f t="shared" si="24"/>
        <v>17.167878433227745</v>
      </c>
      <c r="AR31" s="305">
        <f t="shared" si="16"/>
        <v>17.167878433227745</v>
      </c>
      <c r="AS31" s="305">
        <f t="shared" si="16"/>
        <v>17.167878433227745</v>
      </c>
      <c r="AT31" s="306">
        <f t="shared" si="16"/>
        <v>15.944815480963781</v>
      </c>
      <c r="AU31" s="377">
        <f t="shared" si="25"/>
        <v>0</v>
      </c>
      <c r="AV31" s="378">
        <f t="shared" si="26"/>
        <v>0</v>
      </c>
      <c r="AW31" s="378">
        <f t="shared" si="27"/>
        <v>-5.8166861527183755E-2</v>
      </c>
      <c r="AX31" s="378">
        <f t="shared" si="28"/>
        <v>-5.8166861527183755E-2</v>
      </c>
    </row>
    <row r="32" spans="2:50" x14ac:dyDescent="0.2">
      <c r="B32" s="212">
        <v>2</v>
      </c>
      <c r="C32" s="325" t="s">
        <v>9</v>
      </c>
      <c r="D32" s="215">
        <f>Scenario!AL39</f>
        <v>0.67806159555829848</v>
      </c>
      <c r="E32" s="215">
        <f>Scenario!AM39</f>
        <v>1.703020478948196</v>
      </c>
      <c r="F32" s="215">
        <f>Scenario!AN39</f>
        <v>3.2227344600511354</v>
      </c>
      <c r="G32" s="369">
        <f>Scenario!AO39</f>
        <v>6.0985863225882078</v>
      </c>
      <c r="H32" s="321">
        <f>Scenario!AP39</f>
        <v>15.317218181999392</v>
      </c>
      <c r="I32" s="218">
        <f>IF(D32+'Non-travel METs'!D33&gt;2.5, D32+'Non-travel METs'!D33, 0.1)</f>
        <v>0.1</v>
      </c>
      <c r="J32" s="218">
        <f>IF(E32+'Non-travel METs'!E33&gt;2.5, E32+'Non-travel METs'!E33, 0.1)</f>
        <v>0.1</v>
      </c>
      <c r="K32" s="218">
        <f>IF(F32+'Non-travel METs'!F33&gt;2.5, F32+'Non-travel METs'!F33, 0.1)</f>
        <v>3.2227344600511354</v>
      </c>
      <c r="L32" s="218">
        <f>IF(G32+'Non-travel METs'!G33&gt;2.5, G32+'Non-travel METs'!G33, 0.1)</f>
        <v>6.0985863225882078</v>
      </c>
      <c r="M32" s="223">
        <f>IF(H32+'Non-travel METs'!H33&gt;2.5, H32+'Non-travel METs'!H33, 0.1)</f>
        <v>15.317218181999392</v>
      </c>
      <c r="N32" s="374">
        <f>'Phy activity RRs'!$F$7</f>
        <v>0.97288384048792509</v>
      </c>
      <c r="O32" s="214">
        <f t="shared" si="17"/>
        <v>0.99134439051762713</v>
      </c>
      <c r="P32" s="214">
        <f t="shared" si="11"/>
        <v>0.99134439051762713</v>
      </c>
      <c r="Q32" s="214">
        <f t="shared" si="11"/>
        <v>0.95184693880927229</v>
      </c>
      <c r="R32" s="214">
        <f t="shared" si="11"/>
        <v>0.93436430116104785</v>
      </c>
      <c r="S32" s="292">
        <f t="shared" si="11"/>
        <v>0.89799524281115939</v>
      </c>
      <c r="T32" s="296">
        <f t="shared" si="18"/>
        <v>1</v>
      </c>
      <c r="U32" s="296">
        <f t="shared" si="12"/>
        <v>1</v>
      </c>
      <c r="V32" s="296">
        <f t="shared" si="12"/>
        <v>0.99794461769382981</v>
      </c>
      <c r="W32" s="296">
        <f t="shared" si="12"/>
        <v>0.99722026160718202</v>
      </c>
      <c r="X32" s="328">
        <f t="shared" si="12"/>
        <v>0.99570484709427265</v>
      </c>
      <c r="Y32" s="296">
        <f t="shared" si="19"/>
        <v>1</v>
      </c>
      <c r="Z32" s="296">
        <f t="shared" si="13"/>
        <v>1</v>
      </c>
      <c r="AA32" s="296">
        <f t="shared" si="13"/>
        <v>0.96015768880506669</v>
      </c>
      <c r="AB32" s="296">
        <f t="shared" si="13"/>
        <v>0.94252240704481383</v>
      </c>
      <c r="AC32" s="328">
        <f t="shared" si="13"/>
        <v>0.90583580378386386</v>
      </c>
      <c r="AD32" s="371">
        <f t="shared" si="20"/>
        <v>1.8260547209431265E-3</v>
      </c>
      <c r="AE32" s="336">
        <f t="shared" si="21"/>
        <v>0.9981739452790569</v>
      </c>
      <c r="AF32" s="424">
        <f>AE32*GBDUS!K134/(Y32+Z32+AA32+AB32+AC32)</f>
        <v>0</v>
      </c>
      <c r="AG32" s="214">
        <f t="shared" si="22"/>
        <v>0</v>
      </c>
      <c r="AH32" s="214">
        <f t="shared" si="14"/>
        <v>0</v>
      </c>
      <c r="AI32" s="214">
        <f t="shared" si="14"/>
        <v>0</v>
      </c>
      <c r="AJ32" s="292">
        <f t="shared" si="14"/>
        <v>0</v>
      </c>
      <c r="AK32" s="422">
        <f>AE32*GBDUS!L134/(Y32+Z32+AA32+AB32+AC32)</f>
        <v>0</v>
      </c>
      <c r="AL32" s="301">
        <f t="shared" si="23"/>
        <v>0</v>
      </c>
      <c r="AM32" s="301">
        <f t="shared" si="15"/>
        <v>0</v>
      </c>
      <c r="AN32" s="301">
        <f t="shared" si="15"/>
        <v>0</v>
      </c>
      <c r="AO32" s="303">
        <f t="shared" si="15"/>
        <v>0</v>
      </c>
      <c r="AP32" s="422">
        <f>AE32*GBDUS!M134/(Y32+Z32+AA32+AB32+AC32)</f>
        <v>7.4308188943894779E-2</v>
      </c>
      <c r="AQ32" s="301">
        <f t="shared" si="24"/>
        <v>7.4308188943894779E-2</v>
      </c>
      <c r="AR32" s="301">
        <f t="shared" si="16"/>
        <v>7.1347578955660226E-2</v>
      </c>
      <c r="AS32" s="301">
        <f t="shared" si="16"/>
        <v>7.0037133106540528E-2</v>
      </c>
      <c r="AT32" s="303">
        <f t="shared" si="16"/>
        <v>6.7311018059716149E-2</v>
      </c>
      <c r="AU32" s="376">
        <f t="shared" si="25"/>
        <v>0</v>
      </c>
      <c r="AV32" s="376">
        <f t="shared" si="26"/>
        <v>0</v>
      </c>
      <c r="AW32" s="376">
        <f t="shared" si="27"/>
        <v>-6.5366508990460925E-4</v>
      </c>
      <c r="AX32" s="376">
        <f t="shared" si="28"/>
        <v>-6.5366508990460925E-4</v>
      </c>
    </row>
    <row r="33" spans="2:50" x14ac:dyDescent="0.2">
      <c r="B33" s="212">
        <v>2</v>
      </c>
      <c r="C33" s="325" t="s">
        <v>10</v>
      </c>
      <c r="D33" s="215">
        <f>Scenario!AL40</f>
        <v>0.49823535606718694</v>
      </c>
      <c r="E33" s="215">
        <f>Scenario!AM40</f>
        <v>1.2513686371218657</v>
      </c>
      <c r="F33" s="215">
        <f>Scenario!AN40</f>
        <v>2.3680448232604823</v>
      </c>
      <c r="G33" s="215">
        <f>Scenario!AO40</f>
        <v>4.4812025158855429</v>
      </c>
      <c r="H33" s="321">
        <f>Scenario!AP40</f>
        <v>11.254994686114927</v>
      </c>
      <c r="I33" s="218">
        <f>IF(D33+'Non-travel METs'!D34&gt;2.5, D33+'Non-travel METs'!D34, 0.1)</f>
        <v>0.1</v>
      </c>
      <c r="J33" s="218">
        <f>IF(E33+'Non-travel METs'!E34&gt;2.5, E33+'Non-travel METs'!E34, 0.1)</f>
        <v>0.1</v>
      </c>
      <c r="K33" s="218">
        <f>IF(F33+'Non-travel METs'!F34&gt;2.5, F33+'Non-travel METs'!F34, 0.1)</f>
        <v>0.1</v>
      </c>
      <c r="L33" s="218">
        <f>IF(G33+'Non-travel METs'!G34&gt;2.5, G33+'Non-travel METs'!G34, 0.1)</f>
        <v>4.4812025158855429</v>
      </c>
      <c r="M33" s="223">
        <f>IF(H33+'Non-travel METs'!H34&gt;2.5, H33+'Non-travel METs'!H34, 0.1)</f>
        <v>11.254994686114927</v>
      </c>
      <c r="N33" s="268">
        <f>'Phy activity RRs'!$F$7</f>
        <v>0.97288384048792509</v>
      </c>
      <c r="O33" s="214">
        <f t="shared" si="17"/>
        <v>0.99134439051762713</v>
      </c>
      <c r="P33" s="214">
        <f t="shared" si="11"/>
        <v>0.99134439051762713</v>
      </c>
      <c r="Q33" s="214">
        <f t="shared" si="11"/>
        <v>0.99134439051762713</v>
      </c>
      <c r="R33" s="214">
        <f t="shared" si="11"/>
        <v>0.9434665070196353</v>
      </c>
      <c r="S33" s="292">
        <f t="shared" si="11"/>
        <v>0.91189840114171428</v>
      </c>
      <c r="T33" s="296">
        <f t="shared" si="18"/>
        <v>1</v>
      </c>
      <c r="U33" s="296">
        <f t="shared" si="12"/>
        <v>1</v>
      </c>
      <c r="V33" s="296">
        <f t="shared" si="12"/>
        <v>1</v>
      </c>
      <c r="W33" s="296">
        <f t="shared" si="12"/>
        <v>0.99788925443804277</v>
      </c>
      <c r="X33" s="328">
        <f t="shared" si="12"/>
        <v>0.99674887357202324</v>
      </c>
      <c r="Y33" s="296">
        <f t="shared" si="19"/>
        <v>1</v>
      </c>
      <c r="Z33" s="296">
        <f t="shared" si="13"/>
        <v>1</v>
      </c>
      <c r="AA33" s="296">
        <f t="shared" si="13"/>
        <v>1</v>
      </c>
      <c r="AB33" s="296">
        <f t="shared" si="13"/>
        <v>0.95170408593022593</v>
      </c>
      <c r="AC33" s="328">
        <f t="shared" si="13"/>
        <v>0.91986035313678394</v>
      </c>
      <c r="AD33" s="371">
        <f t="shared" si="20"/>
        <v>1.0723743979868417E-3</v>
      </c>
      <c r="AE33" s="334">
        <f t="shared" si="21"/>
        <v>0.9989276256020132</v>
      </c>
      <c r="AF33" s="214">
        <f>AE33*GBDUS!K135/(Y33+Z33+AA33+AB33+AC33)</f>
        <v>0</v>
      </c>
      <c r="AG33" s="214">
        <f t="shared" si="22"/>
        <v>0</v>
      </c>
      <c r="AH33" s="214">
        <f t="shared" si="14"/>
        <v>0</v>
      </c>
      <c r="AI33" s="214">
        <f t="shared" si="14"/>
        <v>0</v>
      </c>
      <c r="AJ33" s="292">
        <f t="shared" si="14"/>
        <v>0</v>
      </c>
      <c r="AK33" s="301">
        <f>AE33*GBDUS!L135/(Y33+Z33+AA33+AB33+AC33)</f>
        <v>0</v>
      </c>
      <c r="AL33" s="301">
        <f t="shared" si="23"/>
        <v>0</v>
      </c>
      <c r="AM33" s="301">
        <f t="shared" si="15"/>
        <v>0</v>
      </c>
      <c r="AN33" s="301">
        <f t="shared" si="15"/>
        <v>0</v>
      </c>
      <c r="AO33" s="303">
        <f t="shared" si="15"/>
        <v>0</v>
      </c>
      <c r="AP33" s="301">
        <f>AE33*GBDUS!M135/(Y33+Z33+AA33+AB33+AC33)</f>
        <v>117.23079128768106</v>
      </c>
      <c r="AQ33" s="301">
        <f t="shared" si="24"/>
        <v>117.23079128768106</v>
      </c>
      <c r="AR33" s="301">
        <f t="shared" si="16"/>
        <v>117.23079128768106</v>
      </c>
      <c r="AS33" s="301">
        <f t="shared" si="16"/>
        <v>111.5690230653196</v>
      </c>
      <c r="AT33" s="303">
        <f t="shared" si="16"/>
        <v>107.83595707239091</v>
      </c>
      <c r="AU33" s="376">
        <f t="shared" si="25"/>
        <v>0</v>
      </c>
      <c r="AV33" s="376">
        <f t="shared" si="26"/>
        <v>0</v>
      </c>
      <c r="AW33" s="376">
        <f t="shared" si="27"/>
        <v>-0.61308764067791799</v>
      </c>
      <c r="AX33" s="376">
        <f t="shared" si="28"/>
        <v>-0.61308764067791799</v>
      </c>
    </row>
    <row r="34" spans="2:50" x14ac:dyDescent="0.2">
      <c r="B34" s="212">
        <v>2</v>
      </c>
      <c r="C34" s="325" t="s">
        <v>11</v>
      </c>
      <c r="D34" s="215">
        <f>Scenario!AL41</f>
        <v>0.48774232762808944</v>
      </c>
      <c r="E34" s="215">
        <f>Scenario!AM41</f>
        <v>1.225014331797649</v>
      </c>
      <c r="F34" s="215">
        <f>Scenario!AN41</f>
        <v>2.318172887491678</v>
      </c>
      <c r="G34" s="215">
        <f>Scenario!AO41</f>
        <v>4.3868266654607444</v>
      </c>
      <c r="H34" s="321">
        <f>Scenario!AP41</f>
        <v>11.017960164407139</v>
      </c>
      <c r="I34" s="218">
        <f>IF(D34+'Non-travel METs'!D35&gt;2.5, D34+'Non-travel METs'!D35, 0.1)</f>
        <v>37.987742327628091</v>
      </c>
      <c r="J34" s="218">
        <f>IF(E34+'Non-travel METs'!E35&gt;2.5, E34+'Non-travel METs'!E35, 0.1)</f>
        <v>38.725014331797652</v>
      </c>
      <c r="K34" s="218">
        <f>IF(F34+'Non-travel METs'!F35&gt;2.5, F34+'Non-travel METs'!F35, 0.1)</f>
        <v>39.818172887491677</v>
      </c>
      <c r="L34" s="218">
        <f>IF(G34+'Non-travel METs'!G35&gt;2.5, G34+'Non-travel METs'!G35, 0.1)</f>
        <v>41.886826665460745</v>
      </c>
      <c r="M34" s="223">
        <f>IF(H34+'Non-travel METs'!H35&gt;2.5, H34+'Non-travel METs'!H35, 0.1)</f>
        <v>48.517960164407143</v>
      </c>
      <c r="N34" s="268">
        <f>'Phy activity RRs'!$F$7</f>
        <v>0.97288384048792509</v>
      </c>
      <c r="O34" s="214">
        <f t="shared" si="17"/>
        <v>0.84414075757262075</v>
      </c>
      <c r="P34" s="214">
        <f t="shared" si="11"/>
        <v>0.84276060350115434</v>
      </c>
      <c r="Q34" s="214">
        <f t="shared" si="11"/>
        <v>0.8407422739188668</v>
      </c>
      <c r="R34" s="214">
        <f t="shared" si="11"/>
        <v>0.8370100777851619</v>
      </c>
      <c r="S34" s="292">
        <f t="shared" si="11"/>
        <v>0.82573182262634659</v>
      </c>
      <c r="T34" s="296">
        <f t="shared" si="18"/>
        <v>0.99990653129161822</v>
      </c>
      <c r="U34" s="296">
        <f t="shared" si="12"/>
        <v>0.99977255312347491</v>
      </c>
      <c r="V34" s="296">
        <f t="shared" si="12"/>
        <v>0.99958200456747148</v>
      </c>
      <c r="W34" s="296">
        <f t="shared" si="12"/>
        <v>0.99924050199406755</v>
      </c>
      <c r="X34" s="328">
        <f t="shared" si="12"/>
        <v>0.99826581228306488</v>
      </c>
      <c r="Y34" s="296">
        <f t="shared" si="19"/>
        <v>1</v>
      </c>
      <c r="Z34" s="296">
        <f t="shared" si="13"/>
        <v>0.99836501903375086</v>
      </c>
      <c r="AA34" s="296">
        <f t="shared" si="13"/>
        <v>0.99597403202811041</v>
      </c>
      <c r="AB34" s="296">
        <f t="shared" si="13"/>
        <v>0.99155273605321037</v>
      </c>
      <c r="AC34" s="328">
        <f t="shared" si="13"/>
        <v>0.9781921027019117</v>
      </c>
      <c r="AD34" s="371">
        <f t="shared" si="20"/>
        <v>6.4651934806061464E-4</v>
      </c>
      <c r="AE34" s="334">
        <f t="shared" si="21"/>
        <v>0.99935348065193941</v>
      </c>
      <c r="AF34" s="214">
        <f>AE34*GBDUS!K136/(Y34+Z34+AA34+AB34+AC34)</f>
        <v>0</v>
      </c>
      <c r="AG34" s="214">
        <f t="shared" si="22"/>
        <v>0</v>
      </c>
      <c r="AH34" s="214">
        <f t="shared" si="14"/>
        <v>0</v>
      </c>
      <c r="AI34" s="214">
        <f t="shared" si="14"/>
        <v>0</v>
      </c>
      <c r="AJ34" s="292">
        <f t="shared" si="14"/>
        <v>0</v>
      </c>
      <c r="AK34" s="301">
        <f>AE34*GBDUS!L136/(Y34+Z34+AA34+AB34+AC34)</f>
        <v>0</v>
      </c>
      <c r="AL34" s="301">
        <f t="shared" si="23"/>
        <v>0</v>
      </c>
      <c r="AM34" s="301">
        <f t="shared" si="15"/>
        <v>0</v>
      </c>
      <c r="AN34" s="301">
        <f t="shared" si="15"/>
        <v>0</v>
      </c>
      <c r="AO34" s="303">
        <f t="shared" si="15"/>
        <v>0</v>
      </c>
      <c r="AP34" s="301">
        <f>AE34*GBDUS!M136/(Y34+Z34+AA34+AB34+AC34)</f>
        <v>334.16935661543818</v>
      </c>
      <c r="AQ34" s="301">
        <f t="shared" si="24"/>
        <v>333.62299607786821</v>
      </c>
      <c r="AR34" s="301">
        <f t="shared" si="16"/>
        <v>332.82400148851747</v>
      </c>
      <c r="AS34" s="301">
        <f t="shared" si="16"/>
        <v>331.3465398571787</v>
      </c>
      <c r="AT34" s="303">
        <f t="shared" si="16"/>
        <v>326.88182560620044</v>
      </c>
      <c r="AU34" s="376">
        <f t="shared" si="25"/>
        <v>0</v>
      </c>
      <c r="AV34" s="376">
        <f t="shared" si="26"/>
        <v>0</v>
      </c>
      <c r="AW34" s="376">
        <f t="shared" si="27"/>
        <v>-1.0731690312213686</v>
      </c>
      <c r="AX34" s="376">
        <f t="shared" si="28"/>
        <v>-1.0731690312213686</v>
      </c>
    </row>
    <row r="35" spans="2:50" x14ac:dyDescent="0.2">
      <c r="B35" s="212">
        <v>2</v>
      </c>
      <c r="C35" s="325" t="s">
        <v>12</v>
      </c>
      <c r="D35" s="215">
        <f>Scenario!AL42</f>
        <v>0.41128119423541215</v>
      </c>
      <c r="E35" s="215">
        <f>Scenario!AM42</f>
        <v>1.032974439162079</v>
      </c>
      <c r="F35" s="215">
        <f>Scenario!AN42</f>
        <v>1.9547635290302883</v>
      </c>
      <c r="G35" s="215">
        <f>Scenario!AO42</f>
        <v>3.6991239178449766</v>
      </c>
      <c r="H35" s="321">
        <f>Scenario!AP42</f>
        <v>9.2907249540804369</v>
      </c>
      <c r="I35" s="218">
        <f>IF(D35+'Non-travel METs'!D36&gt;2.5, D35+'Non-travel METs'!D36, 0.1)</f>
        <v>37.974614527568711</v>
      </c>
      <c r="J35" s="218">
        <f>IF(E35+'Non-travel METs'!E36&gt;2.5, E35+'Non-travel METs'!E36, 0.1)</f>
        <v>38.596307772495379</v>
      </c>
      <c r="K35" s="218">
        <f>IF(F35+'Non-travel METs'!F36&gt;2.5, F35+'Non-travel METs'!F36, 0.1)</f>
        <v>39.518096862363585</v>
      </c>
      <c r="L35" s="218">
        <f>IF(G35+'Non-travel METs'!G36&gt;2.5, G35+'Non-travel METs'!G36, 0.1)</f>
        <v>41.262457251178276</v>
      </c>
      <c r="M35" s="223">
        <f>IF(H35+'Non-travel METs'!H36&gt;2.5, H35+'Non-travel METs'!H36, 0.1)</f>
        <v>46.854058287413736</v>
      </c>
      <c r="N35" s="268">
        <f>'Phy activity RRs'!$F$7</f>
        <v>0.97288384048792509</v>
      </c>
      <c r="O35" s="214">
        <f t="shared" si="17"/>
        <v>0.84416547384538776</v>
      </c>
      <c r="P35" s="214">
        <f t="shared" si="11"/>
        <v>0.84300042395353603</v>
      </c>
      <c r="Q35" s="214">
        <f t="shared" si="11"/>
        <v>0.84129304394582305</v>
      </c>
      <c r="R35" s="214">
        <f t="shared" si="11"/>
        <v>0.83812489632570364</v>
      </c>
      <c r="S35" s="292">
        <f t="shared" si="11"/>
        <v>0.82847125885477713</v>
      </c>
      <c r="T35" s="296">
        <f t="shared" si="18"/>
        <v>0.99992053817242255</v>
      </c>
      <c r="U35" s="296">
        <f t="shared" si="12"/>
        <v>0.99980631961410538</v>
      </c>
      <c r="V35" s="296">
        <f t="shared" si="12"/>
        <v>0.99964327620288906</v>
      </c>
      <c r="W35" s="296">
        <f t="shared" si="12"/>
        <v>0.9993493793775684</v>
      </c>
      <c r="X35" s="328">
        <f t="shared" si="12"/>
        <v>0.99849952832038014</v>
      </c>
      <c r="Y35" s="296">
        <f t="shared" si="19"/>
        <v>1</v>
      </c>
      <c r="Z35" s="296">
        <f t="shared" si="13"/>
        <v>0.99861987971796018</v>
      </c>
      <c r="AA35" s="296">
        <f t="shared" si="13"/>
        <v>0.99659731416581154</v>
      </c>
      <c r="AB35" s="296">
        <f t="shared" si="13"/>
        <v>0.99284432056647876</v>
      </c>
      <c r="AC35" s="328">
        <f t="shared" si="13"/>
        <v>0.98140860355361426</v>
      </c>
      <c r="AD35" s="371">
        <f t="shared" si="20"/>
        <v>5.5619166252682815E-4</v>
      </c>
      <c r="AE35" s="334">
        <f t="shared" si="21"/>
        <v>0.99944380833747315</v>
      </c>
      <c r="AF35" s="214">
        <f>AE35*GBDUS!K137/(Y35+Z35+AA35+AB35+AC35)</f>
        <v>0</v>
      </c>
      <c r="AG35" s="214">
        <f t="shared" si="22"/>
        <v>0</v>
      </c>
      <c r="AH35" s="214">
        <f t="shared" si="14"/>
        <v>0</v>
      </c>
      <c r="AI35" s="214">
        <f t="shared" si="14"/>
        <v>0</v>
      </c>
      <c r="AJ35" s="292">
        <f t="shared" si="14"/>
        <v>0</v>
      </c>
      <c r="AK35" s="301">
        <f>AE35*GBDUS!L137/(Y35+Z35+AA35+AB35+AC35)</f>
        <v>0</v>
      </c>
      <c r="AL35" s="301">
        <f t="shared" si="23"/>
        <v>0</v>
      </c>
      <c r="AM35" s="301">
        <f t="shared" si="15"/>
        <v>0</v>
      </c>
      <c r="AN35" s="301">
        <f t="shared" si="15"/>
        <v>0</v>
      </c>
      <c r="AO35" s="303">
        <f t="shared" si="15"/>
        <v>0</v>
      </c>
      <c r="AP35" s="301">
        <f>AE35*GBDUS!M137/(Y35+Z35+AA35+AB35+AC35)</f>
        <v>321.94131551380485</v>
      </c>
      <c r="AQ35" s="301">
        <f t="shared" si="24"/>
        <v>321.49699777463769</v>
      </c>
      <c r="AR35" s="301">
        <f t="shared" si="16"/>
        <v>320.84585036006604</v>
      </c>
      <c r="AS35" s="301">
        <f t="shared" si="16"/>
        <v>319.63760666358195</v>
      </c>
      <c r="AT35" s="303">
        <f t="shared" si="16"/>
        <v>315.95597688461675</v>
      </c>
      <c r="AU35" s="376">
        <f t="shared" si="25"/>
        <v>0</v>
      </c>
      <c r="AV35" s="376">
        <f t="shared" si="26"/>
        <v>0</v>
      </c>
      <c r="AW35" s="376">
        <f t="shared" si="27"/>
        <v>-0.89033386032269846</v>
      </c>
      <c r="AX35" s="376">
        <f t="shared" si="28"/>
        <v>-0.89033386032269846</v>
      </c>
    </row>
    <row r="36" spans="2:50" x14ac:dyDescent="0.2">
      <c r="B36" s="212">
        <v>2</v>
      </c>
      <c r="C36" s="325" t="s">
        <v>13</v>
      </c>
      <c r="D36" s="215">
        <f>Scenario!AL43</f>
        <v>0.30322026939990843</v>
      </c>
      <c r="E36" s="215">
        <f>Scenario!AM43</f>
        <v>0.76156846487530472</v>
      </c>
      <c r="F36" s="215">
        <f>Scenario!AN43</f>
        <v>1.4411646634793909</v>
      </c>
      <c r="G36" s="215">
        <f>Scenario!AO43</f>
        <v>2.727207970200991</v>
      </c>
      <c r="H36" s="321">
        <f>Scenario!AP43</f>
        <v>6.8496594616583133</v>
      </c>
      <c r="I36" s="218">
        <f>IF(D36+'Non-travel METs'!D37&gt;2.5, D36+'Non-travel METs'!D37, 0.1)</f>
        <v>38.05655360273321</v>
      </c>
      <c r="J36" s="218">
        <f>IF(E36+'Non-travel METs'!E37&gt;2.5, E36+'Non-travel METs'!E37, 0.1)</f>
        <v>38.514901798208605</v>
      </c>
      <c r="K36" s="218">
        <f>IF(F36+'Non-travel METs'!F37&gt;2.5, F36+'Non-travel METs'!F37, 0.1)</f>
        <v>39.194497996812693</v>
      </c>
      <c r="L36" s="218">
        <f>IF(G36+'Non-travel METs'!G37&gt;2.5, G36+'Non-travel METs'!G37, 0.1)</f>
        <v>40.480541303534295</v>
      </c>
      <c r="M36" s="223">
        <f>IF(H36+'Non-travel METs'!H37&gt;2.5, H36+'Non-travel METs'!H37, 0.1)</f>
        <v>44.602992794991614</v>
      </c>
      <c r="N36" s="268">
        <f>'Phy activity RRs'!$F$7</f>
        <v>0.97288384048792509</v>
      </c>
      <c r="O36" s="214">
        <f t="shared" si="17"/>
        <v>0.84401128526088154</v>
      </c>
      <c r="P36" s="214">
        <f t="shared" si="11"/>
        <v>0.84315235044819692</v>
      </c>
      <c r="Q36" s="214">
        <f t="shared" si="11"/>
        <v>0.84188974399356686</v>
      </c>
      <c r="R36" s="214">
        <f t="shared" si="11"/>
        <v>0.83953510252480767</v>
      </c>
      <c r="S36" s="292">
        <f t="shared" si="11"/>
        <v>0.83227099046321196</v>
      </c>
      <c r="T36" s="296">
        <f t="shared" si="18"/>
        <v>0.99995115690344261</v>
      </c>
      <c r="U36" s="296">
        <f t="shared" si="12"/>
        <v>0.99988128737089843</v>
      </c>
      <c r="V36" s="296">
        <f t="shared" si="12"/>
        <v>0.99978148703689418</v>
      </c>
      <c r="W36" s="296">
        <f t="shared" si="12"/>
        <v>0.99960083935489896</v>
      </c>
      <c r="X36" s="328">
        <f t="shared" si="12"/>
        <v>0.99907119174760028</v>
      </c>
      <c r="Y36" s="296">
        <f t="shared" si="19"/>
        <v>1</v>
      </c>
      <c r="Z36" s="296">
        <f t="shared" si="13"/>
        <v>0.99898231833189399</v>
      </c>
      <c r="AA36" s="296">
        <f t="shared" si="13"/>
        <v>0.99748635912296013</v>
      </c>
      <c r="AB36" s="296">
        <f t="shared" si="13"/>
        <v>0.9946965368659848</v>
      </c>
      <c r="AC36" s="328">
        <f t="shared" si="13"/>
        <v>0.98608988410144216</v>
      </c>
      <c r="AD36" s="371">
        <f t="shared" si="20"/>
        <v>3.4280751725308535E-4</v>
      </c>
      <c r="AE36" s="334">
        <f t="shared" si="21"/>
        <v>0.99965719248274687</v>
      </c>
      <c r="AF36" s="214">
        <f>AE36*GBDUS!K138/(Y36+Z36+AA36+AB36+AC36)</f>
        <v>0</v>
      </c>
      <c r="AG36" s="214">
        <f t="shared" si="22"/>
        <v>0</v>
      </c>
      <c r="AH36" s="214">
        <f t="shared" si="14"/>
        <v>0</v>
      </c>
      <c r="AI36" s="214">
        <f t="shared" si="14"/>
        <v>0</v>
      </c>
      <c r="AJ36" s="292">
        <f t="shared" si="14"/>
        <v>0</v>
      </c>
      <c r="AK36" s="301">
        <f>AE36*GBDUS!L138/(Y36+Z36+AA36+AB36+AC36)</f>
        <v>0</v>
      </c>
      <c r="AL36" s="301">
        <f t="shared" si="23"/>
        <v>0</v>
      </c>
      <c r="AM36" s="301">
        <f t="shared" si="15"/>
        <v>0</v>
      </c>
      <c r="AN36" s="301">
        <f t="shared" si="15"/>
        <v>0</v>
      </c>
      <c r="AO36" s="303">
        <f t="shared" si="15"/>
        <v>0</v>
      </c>
      <c r="AP36" s="301">
        <f>AE36*GBDUS!M138/(Y36+Z36+AA36+AB36+AC36)</f>
        <v>315.98562649762016</v>
      </c>
      <c r="AQ36" s="301">
        <f t="shared" si="24"/>
        <v>315.66405371814852</v>
      </c>
      <c r="AR36" s="301">
        <f t="shared" si="16"/>
        <v>315.19135211029868</v>
      </c>
      <c r="AS36" s="301">
        <f t="shared" si="16"/>
        <v>314.30980837661133</v>
      </c>
      <c r="AT36" s="303">
        <f t="shared" si="16"/>
        <v>311.59022981075987</v>
      </c>
      <c r="AU36" s="376">
        <f t="shared" si="25"/>
        <v>0</v>
      </c>
      <c r="AV36" s="376">
        <f t="shared" si="26"/>
        <v>0</v>
      </c>
      <c r="AW36" s="376">
        <f t="shared" si="27"/>
        <v>-0.53933234884789272</v>
      </c>
      <c r="AX36" s="376">
        <f t="shared" si="28"/>
        <v>-0.53933234884789272</v>
      </c>
    </row>
    <row r="37" spans="2:50" x14ac:dyDescent="0.2">
      <c r="B37" s="212">
        <v>2</v>
      </c>
      <c r="C37" s="325" t="s">
        <v>14</v>
      </c>
      <c r="D37" s="215">
        <f>Scenario!AL44</f>
        <v>0.20305771607435033</v>
      </c>
      <c r="E37" s="215">
        <f>Scenario!AM44</f>
        <v>0.51000005183649222</v>
      </c>
      <c r="F37" s="215">
        <f>Scenario!AN44</f>
        <v>0.96510568252028972</v>
      </c>
      <c r="G37" s="215">
        <f>Scenario!AO44</f>
        <v>1.8263311446320658</v>
      </c>
      <c r="H37" s="321">
        <f>Scenario!AP44</f>
        <v>4.5870159304456486</v>
      </c>
      <c r="I37" s="218">
        <f>IF(D37+'Non-travel METs'!D38&gt;2.5, D37+'Non-travel METs'!D38, 0.1)</f>
        <v>9.2030577160743512</v>
      </c>
      <c r="J37" s="218">
        <f>IF(E37+'Non-travel METs'!E38&gt;2.5, E37+'Non-travel METs'!E38, 0.1)</f>
        <v>9.5100000518364922</v>
      </c>
      <c r="K37" s="218">
        <f>IF(F37+'Non-travel METs'!F38&gt;2.5, F37+'Non-travel METs'!F38, 0.1)</f>
        <v>9.9651056825202904</v>
      </c>
      <c r="L37" s="218">
        <f>IF(G37+'Non-travel METs'!G38&gt;2.5, G37+'Non-travel METs'!G38, 0.1)</f>
        <v>10.826331144632066</v>
      </c>
      <c r="M37" s="223">
        <f>IF(H37+'Non-travel METs'!H38&gt;2.5, H37+'Non-travel METs'!H38, 0.1)</f>
        <v>13.587015930445649</v>
      </c>
      <c r="N37" s="268">
        <f>'Phy activity RRs'!$F$7</f>
        <v>0.97288384048792509</v>
      </c>
      <c r="O37" s="214">
        <f t="shared" si="17"/>
        <v>0.91998590140422043</v>
      </c>
      <c r="P37" s="214">
        <f t="shared" si="11"/>
        <v>0.91871781244238182</v>
      </c>
      <c r="Q37" s="214">
        <f t="shared" si="11"/>
        <v>0.9168778124005954</v>
      </c>
      <c r="R37" s="214">
        <f t="shared" si="11"/>
        <v>0.91351694710252285</v>
      </c>
      <c r="S37" s="292">
        <f t="shared" si="11"/>
        <v>0.90363309551275661</v>
      </c>
      <c r="T37" s="296">
        <f t="shared" si="18"/>
        <v>0.99991957656333119</v>
      </c>
      <c r="U37" s="296">
        <f t="shared" si="12"/>
        <v>0.99980548617976306</v>
      </c>
      <c r="V37" s="296">
        <f t="shared" si="12"/>
        <v>0.9996456546196214</v>
      </c>
      <c r="W37" s="296">
        <f t="shared" si="12"/>
        <v>0.99936589575644164</v>
      </c>
      <c r="X37" s="328">
        <f t="shared" si="12"/>
        <v>0.99860685088623669</v>
      </c>
      <c r="Y37" s="296">
        <f t="shared" si="19"/>
        <v>1</v>
      </c>
      <c r="Z37" s="296">
        <f t="shared" si="13"/>
        <v>0.99862162130973631</v>
      </c>
      <c r="AA37" s="296">
        <f t="shared" si="13"/>
        <v>0.99662159061472466</v>
      </c>
      <c r="AB37" s="296">
        <f t="shared" si="13"/>
        <v>0.9929684201770661</v>
      </c>
      <c r="AC37" s="328">
        <f t="shared" si="13"/>
        <v>0.98222493859253313</v>
      </c>
      <c r="AD37" s="371">
        <f t="shared" si="20"/>
        <v>5.3130719892120477E-4</v>
      </c>
      <c r="AE37" s="334">
        <f t="shared" si="21"/>
        <v>0.99946869280107875</v>
      </c>
      <c r="AF37" s="214">
        <f>AE37*GBDUS!K139/(Y37+Z37+AA37+AB37+AC37)</f>
        <v>0</v>
      </c>
      <c r="AG37" s="214">
        <f t="shared" si="22"/>
        <v>0</v>
      </c>
      <c r="AH37" s="214">
        <f t="shared" si="14"/>
        <v>0</v>
      </c>
      <c r="AI37" s="214">
        <f t="shared" si="14"/>
        <v>0</v>
      </c>
      <c r="AJ37" s="292">
        <f t="shared" si="14"/>
        <v>0</v>
      </c>
      <c r="AK37" s="301">
        <f>AE37*GBDUS!L139/(Y37+Z37+AA37+AB37+AC37)</f>
        <v>0</v>
      </c>
      <c r="AL37" s="301">
        <f t="shared" si="23"/>
        <v>0</v>
      </c>
      <c r="AM37" s="301">
        <f t="shared" si="15"/>
        <v>0</v>
      </c>
      <c r="AN37" s="301">
        <f t="shared" si="15"/>
        <v>0</v>
      </c>
      <c r="AO37" s="303">
        <f t="shared" si="15"/>
        <v>0</v>
      </c>
      <c r="AP37" s="301">
        <f>AE37*GBDUS!M139/(Y37+Z37+AA37+AB37+AC37)</f>
        <v>116.53227389214145</v>
      </c>
      <c r="AQ37" s="301">
        <f t="shared" si="24"/>
        <v>116.37164828908055</v>
      </c>
      <c r="AR37" s="301">
        <f t="shared" si="16"/>
        <v>116.13858016433676</v>
      </c>
      <c r="AS37" s="301">
        <f t="shared" si="16"/>
        <v>115.71286790632085</v>
      </c>
      <c r="AT37" s="303">
        <f t="shared" si="16"/>
        <v>114.46090556775688</v>
      </c>
      <c r="AU37" s="376">
        <f t="shared" si="25"/>
        <v>0</v>
      </c>
      <c r="AV37" s="376">
        <f t="shared" si="26"/>
        <v>0</v>
      </c>
      <c r="AW37" s="376">
        <f t="shared" si="27"/>
        <v>-0.30790536941469782</v>
      </c>
      <c r="AX37" s="376">
        <f t="shared" si="28"/>
        <v>-0.30790536941469782</v>
      </c>
    </row>
    <row r="38" spans="2:50" x14ac:dyDescent="0.2">
      <c r="B38" s="212">
        <v>2</v>
      </c>
      <c r="C38" s="325" t="s">
        <v>15</v>
      </c>
      <c r="D38" s="215">
        <f>Scenario!AL45</f>
        <v>0.12940048412537145</v>
      </c>
      <c r="E38" s="215">
        <f>Scenario!AM45</f>
        <v>0.32500244210095713</v>
      </c>
      <c r="F38" s="215">
        <f>Scenario!AN45</f>
        <v>0.61502288592936483</v>
      </c>
      <c r="G38" s="215">
        <f>Scenario!AO45</f>
        <v>1.163847101491581</v>
      </c>
      <c r="H38" s="321">
        <f>Scenario!AP45</f>
        <v>2.9231200545618421</v>
      </c>
      <c r="I38" s="218">
        <f>IF(D38+'Non-travel METs'!D39&gt;2.5, D38+'Non-travel METs'!D39, 0.1)</f>
        <v>0.1</v>
      </c>
      <c r="J38" s="218">
        <f>IF(E38+'Non-travel METs'!E39&gt;2.5, E38+'Non-travel METs'!E39, 0.1)</f>
        <v>0.1</v>
      </c>
      <c r="K38" s="218">
        <f>IF(F38+'Non-travel METs'!F39&gt;2.5, F38+'Non-travel METs'!F39, 0.1)</f>
        <v>0.1</v>
      </c>
      <c r="L38" s="218">
        <f>IF(G38+'Non-travel METs'!G39&gt;2.5, G38+'Non-travel METs'!G39, 0.1)</f>
        <v>0.1</v>
      </c>
      <c r="M38" s="223">
        <f>IF(H38+'Non-travel METs'!H39&gt;2.5, H38+'Non-travel METs'!H39, 0.1)</f>
        <v>3.4231200545618421</v>
      </c>
      <c r="N38" s="268">
        <f>'Phy activity RRs'!$F$7</f>
        <v>0.97288384048792509</v>
      </c>
      <c r="O38" s="214">
        <f t="shared" si="17"/>
        <v>0.99134439051762713</v>
      </c>
      <c r="P38" s="214">
        <f t="shared" si="11"/>
        <v>0.99134439051762713</v>
      </c>
      <c r="Q38" s="214">
        <f t="shared" si="11"/>
        <v>0.99134439051762713</v>
      </c>
      <c r="R38" s="214">
        <f t="shared" si="11"/>
        <v>0.99134439051762713</v>
      </c>
      <c r="S38" s="292">
        <f t="shared" si="11"/>
        <v>0.95040963531653921</v>
      </c>
      <c r="T38" s="296">
        <f t="shared" si="18"/>
        <v>1</v>
      </c>
      <c r="U38" s="296">
        <f t="shared" si="12"/>
        <v>1</v>
      </c>
      <c r="V38" s="296">
        <f t="shared" si="12"/>
        <v>1</v>
      </c>
      <c r="W38" s="296">
        <f t="shared" si="12"/>
        <v>1</v>
      </c>
      <c r="X38" s="328">
        <f t="shared" si="12"/>
        <v>0.99804342860612183</v>
      </c>
      <c r="Y38" s="296">
        <f t="shared" si="19"/>
        <v>1</v>
      </c>
      <c r="Z38" s="296">
        <f t="shared" si="13"/>
        <v>1</v>
      </c>
      <c r="AA38" s="296">
        <f t="shared" si="13"/>
        <v>1</v>
      </c>
      <c r="AB38" s="296">
        <f t="shared" si="13"/>
        <v>1</v>
      </c>
      <c r="AC38" s="328">
        <f t="shared" si="13"/>
        <v>0.95870783595223252</v>
      </c>
      <c r="AD38" s="371">
        <f t="shared" si="20"/>
        <v>3.9131427877556744E-4</v>
      </c>
      <c r="AE38" s="334">
        <f t="shared" si="21"/>
        <v>0.99960868572122441</v>
      </c>
      <c r="AF38" s="214">
        <f>AE38*GBDUS!K140/(Y38+Z38+AA38+AB38+AC38)</f>
        <v>0</v>
      </c>
      <c r="AG38" s="214">
        <f t="shared" si="22"/>
        <v>0</v>
      </c>
      <c r="AH38" s="214">
        <f t="shared" si="14"/>
        <v>0</v>
      </c>
      <c r="AI38" s="214">
        <f t="shared" si="14"/>
        <v>0</v>
      </c>
      <c r="AJ38" s="292">
        <f t="shared" si="14"/>
        <v>0</v>
      </c>
      <c r="AK38" s="301">
        <f>AE38*GBDUS!L140/(Y38+Z38+AA38+AB38+AC38)</f>
        <v>0</v>
      </c>
      <c r="AL38" s="301">
        <f t="shared" si="23"/>
        <v>0</v>
      </c>
      <c r="AM38" s="301">
        <f t="shared" si="15"/>
        <v>0</v>
      </c>
      <c r="AN38" s="301">
        <f t="shared" si="15"/>
        <v>0</v>
      </c>
      <c r="AO38" s="303">
        <f t="shared" si="15"/>
        <v>0</v>
      </c>
      <c r="AP38" s="301">
        <f>AE38*GBDUS!M140/(Y38+Z38+AA38+AB38+AC38)</f>
        <v>58.677967550353777</v>
      </c>
      <c r="AQ38" s="301">
        <f t="shared" si="24"/>
        <v>58.677967550353777</v>
      </c>
      <c r="AR38" s="301">
        <f t="shared" si="16"/>
        <v>58.677967550353777</v>
      </c>
      <c r="AS38" s="301">
        <f t="shared" si="16"/>
        <v>58.677967550353777</v>
      </c>
      <c r="AT38" s="303">
        <f t="shared" si="16"/>
        <v>56.255027288274995</v>
      </c>
      <c r="AU38" s="376">
        <f t="shared" si="25"/>
        <v>0</v>
      </c>
      <c r="AV38" s="376">
        <f t="shared" si="26"/>
        <v>0</v>
      </c>
      <c r="AW38" s="376">
        <f t="shared" si="27"/>
        <v>-0.11390407392929092</v>
      </c>
      <c r="AX38" s="376">
        <f t="shared" si="28"/>
        <v>-0.11390407392929092</v>
      </c>
    </row>
    <row r="39" spans="2:50" x14ac:dyDescent="0.2">
      <c r="B39" s="319">
        <v>2</v>
      </c>
      <c r="C39" s="326" t="s">
        <v>16</v>
      </c>
      <c r="D39" s="320">
        <f>Scenario!AL46</f>
        <v>0.16226655238866916</v>
      </c>
      <c r="E39" s="320">
        <f>Scenario!AM46</f>
        <v>0.40754890643628044</v>
      </c>
      <c r="F39" s="320">
        <f>Scenario!AN46</f>
        <v>0.7712308343699662</v>
      </c>
      <c r="G39" s="320">
        <f>Scenario!AO46</f>
        <v>1.4594493826129056</v>
      </c>
      <c r="H39" s="322">
        <f>Scenario!AP46</f>
        <v>3.6655551691164661</v>
      </c>
      <c r="I39" s="228">
        <f>IF(D39+'Non-travel METs'!D40&gt;2.5, D39+'Non-travel METs'!D40, 0.1)</f>
        <v>0.1</v>
      </c>
      <c r="J39" s="228">
        <f>IF(E39+'Non-travel METs'!E40&gt;2.5, E39+'Non-travel METs'!E40, 0.1)</f>
        <v>0.1</v>
      </c>
      <c r="K39" s="228">
        <f>IF(F39+'Non-travel METs'!F40&gt;2.5, F39+'Non-travel METs'!F40, 0.1)</f>
        <v>0.1</v>
      </c>
      <c r="L39" s="228">
        <f>IF(G39+'Non-travel METs'!G40&gt;2.5, G39+'Non-travel METs'!G40, 0.1)</f>
        <v>0.1</v>
      </c>
      <c r="M39" s="229">
        <f>IF(H39+'Non-travel METs'!H40&gt;2.5, H39+'Non-travel METs'!H40, 0.1)</f>
        <v>3.7488885024497995</v>
      </c>
      <c r="N39" s="268">
        <f>'Phy activity RRs'!$F$7</f>
        <v>0.97288384048792509</v>
      </c>
      <c r="O39" s="293">
        <f t="shared" si="17"/>
        <v>0.99134439051762713</v>
      </c>
      <c r="P39" s="294">
        <f t="shared" si="11"/>
        <v>0.99134439051762713</v>
      </c>
      <c r="Q39" s="294">
        <f t="shared" si="11"/>
        <v>0.99134439051762713</v>
      </c>
      <c r="R39" s="294">
        <f t="shared" si="11"/>
        <v>0.99134439051762713</v>
      </c>
      <c r="S39" s="295">
        <f t="shared" si="11"/>
        <v>0.94816437317260194</v>
      </c>
      <c r="T39" s="329">
        <f t="shared" si="18"/>
        <v>1</v>
      </c>
      <c r="U39" s="330">
        <f t="shared" si="12"/>
        <v>1</v>
      </c>
      <c r="V39" s="330">
        <f t="shared" si="12"/>
        <v>1</v>
      </c>
      <c r="W39" s="330">
        <f t="shared" si="12"/>
        <v>1</v>
      </c>
      <c r="X39" s="331">
        <f t="shared" si="12"/>
        <v>0.99764912485473423</v>
      </c>
      <c r="Y39" s="329">
        <f t="shared" si="19"/>
        <v>1</v>
      </c>
      <c r="Z39" s="330">
        <f t="shared" si="13"/>
        <v>1</v>
      </c>
      <c r="AA39" s="330">
        <f t="shared" si="13"/>
        <v>1</v>
      </c>
      <c r="AB39" s="330">
        <f t="shared" si="13"/>
        <v>1</v>
      </c>
      <c r="AC39" s="331">
        <f t="shared" si="13"/>
        <v>0.956442970013197</v>
      </c>
      <c r="AD39" s="371">
        <f t="shared" si="20"/>
        <v>4.7017502905308815E-4</v>
      </c>
      <c r="AE39" s="335">
        <f t="shared" si="21"/>
        <v>0.99952982497094689</v>
      </c>
      <c r="AF39" s="293">
        <f>AE39*GBDUS!K141/(Y39+Z39+AA39+AB39+AC39)</f>
        <v>0.40332546183550078</v>
      </c>
      <c r="AG39" s="294">
        <f t="shared" si="22"/>
        <v>0.40332546183550078</v>
      </c>
      <c r="AH39" s="294">
        <f t="shared" si="14"/>
        <v>0.40332546183550078</v>
      </c>
      <c r="AI39" s="294">
        <f t="shared" si="14"/>
        <v>0.40332546183550078</v>
      </c>
      <c r="AJ39" s="295">
        <f t="shared" si="14"/>
        <v>0.38575780259989068</v>
      </c>
      <c r="AK39" s="304">
        <f>AE39*GBDUS!L141/(Y39+Z39+AA39+AB39+AC39)</f>
        <v>0</v>
      </c>
      <c r="AL39" s="305">
        <f t="shared" si="23"/>
        <v>0</v>
      </c>
      <c r="AM39" s="305">
        <f t="shared" si="15"/>
        <v>0</v>
      </c>
      <c r="AN39" s="305">
        <f t="shared" si="15"/>
        <v>0</v>
      </c>
      <c r="AO39" s="306">
        <f t="shared" si="15"/>
        <v>0</v>
      </c>
      <c r="AP39" s="304">
        <f>AE39*GBDUS!M141/(Y39+Z39+AA39+AB39+AC39)</f>
        <v>53.428848944816068</v>
      </c>
      <c r="AQ39" s="305">
        <f t="shared" si="24"/>
        <v>53.428848944816068</v>
      </c>
      <c r="AR39" s="305">
        <f t="shared" si="16"/>
        <v>53.428848944816068</v>
      </c>
      <c r="AS39" s="305">
        <f t="shared" si="16"/>
        <v>53.428848944816068</v>
      </c>
      <c r="AT39" s="306">
        <f t="shared" si="16"/>
        <v>51.101646969166346</v>
      </c>
      <c r="AU39" s="377">
        <f t="shared" si="25"/>
        <v>-9.4035005810622074E-4</v>
      </c>
      <c r="AV39" s="378">
        <f t="shared" si="26"/>
        <v>0</v>
      </c>
      <c r="AW39" s="378">
        <f t="shared" si="27"/>
        <v>-0.12456892996829083</v>
      </c>
      <c r="AX39" s="378">
        <f t="shared" si="28"/>
        <v>-0.12456892996829083</v>
      </c>
    </row>
    <row r="40" spans="2:50" x14ac:dyDescent="0.2">
      <c r="N40" s="288"/>
      <c r="AD40" s="288"/>
      <c r="AT40" s="337" t="s">
        <v>74</v>
      </c>
      <c r="AU40" s="376">
        <f>SUM(AU24:AU39)</f>
        <v>-9.4035005810622074E-4</v>
      </c>
      <c r="AV40" s="376">
        <f>SUM(AV24:AV39)</f>
        <v>0</v>
      </c>
      <c r="AW40" s="376">
        <f>SUM(AW24:AW39)</f>
        <v>-6.3733865846539466</v>
      </c>
      <c r="AX40" s="376">
        <f>SUM(AX24:AX39)</f>
        <v>-6.3733865846539466</v>
      </c>
    </row>
    <row r="41" spans="2:50" x14ac:dyDescent="0.2">
      <c r="AD41" s="370"/>
      <c r="AT41" s="337" t="s">
        <v>83</v>
      </c>
      <c r="AU41" s="368">
        <f>AU40/GBDUS!K142</f>
        <v>-4.7017502905311037E-4</v>
      </c>
      <c r="AV41" s="368" t="e">
        <f>AV40/GBDUS!L142</f>
        <v>#DIV/0!</v>
      </c>
      <c r="AW41" s="368">
        <f>AW40/GBDUS!M142</f>
        <v>-5.8837749165950104E-4</v>
      </c>
      <c r="AX41" s="368">
        <f>AX40/GBDUS!N142</f>
        <v>-5.8837749165950104E-4</v>
      </c>
    </row>
    <row r="42" spans="2:50" x14ac:dyDescent="0.2">
      <c r="O42" s="214"/>
      <c r="P42" s="214"/>
      <c r="Q42" s="214"/>
      <c r="R42" s="214"/>
      <c r="S42" s="214"/>
      <c r="U42" s="373"/>
      <c r="AD42" s="370"/>
    </row>
    <row r="43" spans="2:50" x14ac:dyDescent="0.2">
      <c r="AD43" s="370"/>
    </row>
    <row r="44" spans="2:50" x14ac:dyDescent="0.2">
      <c r="O44" s="214"/>
      <c r="P44" s="214"/>
      <c r="Q44" s="214"/>
      <c r="R44" s="214"/>
      <c r="S44" s="214"/>
      <c r="U44" s="214"/>
      <c r="V44" s="372"/>
      <c r="W44" s="372"/>
      <c r="X44" s="372"/>
      <c r="Y44" s="372"/>
      <c r="AD44" s="370"/>
    </row>
    <row r="45" spans="2:50" x14ac:dyDescent="0.2">
      <c r="U45" s="373"/>
      <c r="AD45" s="370"/>
    </row>
    <row r="46" spans="2:50" x14ac:dyDescent="0.2">
      <c r="AD46" s="370"/>
    </row>
    <row r="47" spans="2:50" x14ac:dyDescent="0.2">
      <c r="AD47" s="370"/>
    </row>
    <row r="48" spans="2:50" x14ac:dyDescent="0.2">
      <c r="AD48" s="370"/>
    </row>
  </sheetData>
  <mergeCells count="12">
    <mergeCell ref="AU4:AX4"/>
    <mergeCell ref="T3:X4"/>
    <mergeCell ref="Y3:AC4"/>
    <mergeCell ref="D4:H4"/>
    <mergeCell ref="I4:M4"/>
    <mergeCell ref="N4:N5"/>
    <mergeCell ref="O4:S4"/>
    <mergeCell ref="AD4:AD5"/>
    <mergeCell ref="AE4:AE5"/>
    <mergeCell ref="AF4:AJ4"/>
    <mergeCell ref="AK4:AO4"/>
    <mergeCell ref="AP4:AT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2:AI226"/>
  <sheetViews>
    <sheetView showGridLines="0" workbookViewId="0"/>
  </sheetViews>
  <sheetFormatPr defaultRowHeight="12.75" x14ac:dyDescent="0.2"/>
  <cols>
    <col min="1" max="1" width="3.85546875" customWidth="1"/>
    <col min="2" max="2" width="18.85546875" hidden="1" customWidth="1"/>
    <col min="3" max="3" width="0" hidden="1" customWidth="1"/>
    <col min="4" max="5" width="11.5703125" hidden="1" customWidth="1"/>
    <col min="6" max="6" width="13.5703125" hidden="1" customWidth="1"/>
    <col min="7" max="7" width="11.42578125" hidden="1" customWidth="1"/>
    <col min="8" max="8" width="17.28515625" hidden="1" customWidth="1"/>
    <col min="9" max="9" width="12.140625" hidden="1" customWidth="1"/>
    <col min="10" max="10" width="11.5703125" hidden="1" customWidth="1"/>
    <col min="11" max="11" width="14.42578125" hidden="1" customWidth="1"/>
    <col min="12" max="12" width="12.28515625" hidden="1" customWidth="1"/>
    <col min="13" max="13" width="13.5703125" hidden="1" customWidth="1"/>
    <col min="14" max="14" width="4" style="21" hidden="1" customWidth="1"/>
    <col min="15" max="15" width="19.42578125" bestFit="1" customWidth="1"/>
    <col min="17" max="17" width="9.42578125" bestFit="1" customWidth="1"/>
    <col min="18" max="18" width="10.28515625" customWidth="1"/>
    <col min="19" max="19" width="12.7109375" customWidth="1"/>
    <col min="20" max="20" width="9.7109375" customWidth="1"/>
    <col min="21" max="21" width="13.5703125" customWidth="1"/>
    <col min="22" max="22" width="11.7109375" customWidth="1"/>
    <col min="23" max="24" width="9" customWidth="1"/>
    <col min="25" max="25" width="11.85546875" customWidth="1"/>
    <col min="26" max="26" width="13.5703125" customWidth="1"/>
  </cols>
  <sheetData>
    <row r="2" spans="2:26" x14ac:dyDescent="0.2">
      <c r="B2" s="60" t="s">
        <v>118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71"/>
      <c r="O2" s="122" t="s">
        <v>141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2:26" x14ac:dyDescent="0.2">
      <c r="B3" s="60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71"/>
      <c r="O3" s="122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2:26" x14ac:dyDescent="0.2">
      <c r="B4" s="558" t="s">
        <v>102</v>
      </c>
      <c r="C4" s="558" t="s">
        <v>101</v>
      </c>
      <c r="D4" s="593" t="s">
        <v>29</v>
      </c>
      <c r="E4" s="593"/>
      <c r="F4" s="593" t="s">
        <v>114</v>
      </c>
      <c r="G4" s="593"/>
      <c r="H4" s="593" t="s">
        <v>116</v>
      </c>
      <c r="I4" s="593"/>
      <c r="J4" s="593" t="s">
        <v>115</v>
      </c>
      <c r="K4" s="593"/>
      <c r="L4" s="593" t="s">
        <v>117</v>
      </c>
      <c r="M4" s="593"/>
      <c r="N4" s="72"/>
      <c r="O4" s="558" t="s">
        <v>102</v>
      </c>
      <c r="P4" s="558" t="s">
        <v>101</v>
      </c>
      <c r="Q4" s="561" t="s">
        <v>29</v>
      </c>
      <c r="R4" s="561"/>
      <c r="S4" s="561" t="s">
        <v>114</v>
      </c>
      <c r="T4" s="561"/>
      <c r="U4" s="561" t="s">
        <v>116</v>
      </c>
      <c r="V4" s="561"/>
      <c r="W4" s="561" t="s">
        <v>115</v>
      </c>
      <c r="X4" s="561"/>
      <c r="Y4" s="561" t="s">
        <v>117</v>
      </c>
      <c r="Z4" s="561"/>
    </row>
    <row r="5" spans="2:26" x14ac:dyDescent="0.2">
      <c r="B5" s="561"/>
      <c r="C5" s="561"/>
      <c r="D5" s="61" t="s">
        <v>72</v>
      </c>
      <c r="E5" s="61" t="s">
        <v>73</v>
      </c>
      <c r="F5" s="61" t="s">
        <v>72</v>
      </c>
      <c r="G5" s="61" t="s">
        <v>73</v>
      </c>
      <c r="H5" s="61" t="s">
        <v>72</v>
      </c>
      <c r="I5" s="61" t="s">
        <v>73</v>
      </c>
      <c r="J5" s="61" t="s">
        <v>72</v>
      </c>
      <c r="K5" s="61" t="s">
        <v>73</v>
      </c>
      <c r="L5" s="61" t="s">
        <v>72</v>
      </c>
      <c r="M5" s="61" t="s">
        <v>73</v>
      </c>
      <c r="N5" s="72"/>
      <c r="O5" s="561"/>
      <c r="P5" s="561"/>
      <c r="Q5" s="66" t="s">
        <v>72</v>
      </c>
      <c r="R5" s="66" t="s">
        <v>73</v>
      </c>
      <c r="S5" s="66" t="s">
        <v>72</v>
      </c>
      <c r="T5" s="66" t="s">
        <v>73</v>
      </c>
      <c r="U5" s="66" t="s">
        <v>72</v>
      </c>
      <c r="V5" s="66" t="s">
        <v>73</v>
      </c>
      <c r="W5" s="66" t="s">
        <v>72</v>
      </c>
      <c r="X5" s="66" t="s">
        <v>73</v>
      </c>
      <c r="Y5" s="66" t="s">
        <v>72</v>
      </c>
      <c r="Z5" s="66" t="s">
        <v>73</v>
      </c>
    </row>
    <row r="6" spans="2:26" x14ac:dyDescent="0.2">
      <c r="B6" s="45" t="s">
        <v>103</v>
      </c>
      <c r="C6" s="45">
        <v>1</v>
      </c>
      <c r="D6" s="39"/>
      <c r="E6" s="39"/>
      <c r="F6" s="49"/>
      <c r="G6" s="49"/>
      <c r="H6" s="63"/>
      <c r="I6" s="63"/>
      <c r="J6" s="49"/>
      <c r="K6" s="49"/>
      <c r="L6" s="63"/>
      <c r="M6" s="63"/>
      <c r="N6" s="73"/>
      <c r="O6" s="45" t="s">
        <v>103</v>
      </c>
      <c r="P6" s="45">
        <v>1</v>
      </c>
      <c r="Q6" s="67">
        <v>116162.957276</v>
      </c>
      <c r="R6" s="67">
        <v>120294.763938</v>
      </c>
      <c r="S6" s="74">
        <v>0</v>
      </c>
      <c r="T6" s="74">
        <v>0</v>
      </c>
      <c r="U6" s="68">
        <f>S6/Q6</f>
        <v>0</v>
      </c>
      <c r="V6" s="68">
        <f>T6/R6</f>
        <v>0</v>
      </c>
      <c r="W6" s="74">
        <v>0</v>
      </c>
      <c r="X6" s="74">
        <v>0</v>
      </c>
      <c r="Y6" s="68">
        <f>W6/Q6</f>
        <v>0</v>
      </c>
      <c r="Z6" s="68">
        <f>X6/R6</f>
        <v>0</v>
      </c>
    </row>
    <row r="7" spans="2:26" x14ac:dyDescent="0.2">
      <c r="B7" s="45" t="s">
        <v>103</v>
      </c>
      <c r="C7" s="45">
        <f t="shared" ref="C7:C13" si="0">C6+1</f>
        <v>2</v>
      </c>
      <c r="D7" s="39"/>
      <c r="E7" s="39"/>
      <c r="F7" s="49"/>
      <c r="G7" s="49"/>
      <c r="H7" s="63"/>
      <c r="I7" s="63"/>
      <c r="J7" s="49"/>
      <c r="K7" s="49"/>
      <c r="L7" s="63"/>
      <c r="M7" s="63"/>
      <c r="N7" s="73"/>
      <c r="O7" s="45" t="s">
        <v>103</v>
      </c>
      <c r="P7" s="45">
        <f t="shared" ref="P7:P13" si="1">P6+1</f>
        <v>2</v>
      </c>
      <c r="Q7" s="67">
        <v>310621.088108</v>
      </c>
      <c r="R7" s="67">
        <v>308156.63521400001</v>
      </c>
      <c r="S7" s="67">
        <v>529.39439459784001</v>
      </c>
      <c r="T7" s="67">
        <v>0</v>
      </c>
      <c r="U7" s="68">
        <f t="shared" ref="U7:U70" si="2">S7/Q7</f>
        <v>1.7043092528662273E-3</v>
      </c>
      <c r="V7" s="68">
        <f t="shared" ref="V7:V70" si="3">T7/R7</f>
        <v>0</v>
      </c>
      <c r="W7" s="67">
        <v>7595.98236</v>
      </c>
      <c r="X7" s="67">
        <v>0</v>
      </c>
      <c r="Y7" s="68">
        <f t="shared" ref="Y7:Y70" si="4">W7/Q7</f>
        <v>2.445417471900346E-2</v>
      </c>
      <c r="Z7" s="68">
        <f t="shared" ref="Z7:Z70" si="5">X7/R7</f>
        <v>0</v>
      </c>
    </row>
    <row r="8" spans="2:26" x14ac:dyDescent="0.2">
      <c r="B8" s="45" t="s">
        <v>103</v>
      </c>
      <c r="C8" s="45">
        <f t="shared" si="0"/>
        <v>3</v>
      </c>
      <c r="D8" s="39"/>
      <c r="E8" s="39"/>
      <c r="F8" s="49"/>
      <c r="G8" s="49"/>
      <c r="H8" s="63"/>
      <c r="I8" s="63"/>
      <c r="J8" s="49"/>
      <c r="K8" s="49"/>
      <c r="L8" s="63"/>
      <c r="M8" s="63"/>
      <c r="N8" s="73"/>
      <c r="O8" s="45" t="s">
        <v>103</v>
      </c>
      <c r="P8" s="45">
        <f t="shared" si="1"/>
        <v>3</v>
      </c>
      <c r="Q8" s="67">
        <v>454594.77963499998</v>
      </c>
      <c r="R8" s="67">
        <v>417809.737547</v>
      </c>
      <c r="S8" s="67">
        <v>4891539.0833533397</v>
      </c>
      <c r="T8" s="67">
        <v>3970718.0543127898</v>
      </c>
      <c r="U8" s="68">
        <f t="shared" si="2"/>
        <v>10.760218336164836</v>
      </c>
      <c r="V8" s="68">
        <f t="shared" si="3"/>
        <v>9.5036512974188838</v>
      </c>
      <c r="W8" s="67">
        <v>11197948.023913</v>
      </c>
      <c r="X8" s="67">
        <v>9716052.3877760004</v>
      </c>
      <c r="Y8" s="68">
        <f t="shared" si="4"/>
        <v>24.632812618094682</v>
      </c>
      <c r="Z8" s="68">
        <f t="shared" si="5"/>
        <v>23.254729401042329</v>
      </c>
    </row>
    <row r="9" spans="2:26" x14ac:dyDescent="0.2">
      <c r="B9" s="45" t="s">
        <v>103</v>
      </c>
      <c r="C9" s="45">
        <f t="shared" si="0"/>
        <v>4</v>
      </c>
      <c r="D9" s="39"/>
      <c r="E9" s="39"/>
      <c r="F9" s="49"/>
      <c r="G9" s="49"/>
      <c r="H9" s="63"/>
      <c r="I9" s="63"/>
      <c r="J9" s="49"/>
      <c r="K9" s="49"/>
      <c r="L9" s="63"/>
      <c r="M9" s="63"/>
      <c r="N9" s="73"/>
      <c r="O9" s="45" t="s">
        <v>103</v>
      </c>
      <c r="P9" s="45">
        <f t="shared" si="1"/>
        <v>4</v>
      </c>
      <c r="Q9" s="67">
        <v>348784.43214699998</v>
      </c>
      <c r="R9" s="67">
        <v>390301.24397200003</v>
      </c>
      <c r="S9" s="67">
        <v>8861199.4569420796</v>
      </c>
      <c r="T9" s="67">
        <v>6617883.1373830298</v>
      </c>
      <c r="U9" s="68">
        <f t="shared" si="2"/>
        <v>25.405948890538227</v>
      </c>
      <c r="V9" s="68">
        <f t="shared" si="3"/>
        <v>16.955834088650235</v>
      </c>
      <c r="W9" s="67">
        <v>16539420.935897</v>
      </c>
      <c r="X9" s="67">
        <v>15055495.441253999</v>
      </c>
      <c r="Y9" s="68">
        <f t="shared" si="4"/>
        <v>47.420181096059451</v>
      </c>
      <c r="Z9" s="68">
        <f t="shared" si="5"/>
        <v>38.574039088468986</v>
      </c>
    </row>
    <row r="10" spans="2:26" x14ac:dyDescent="0.2">
      <c r="B10" s="45" t="s">
        <v>103</v>
      </c>
      <c r="C10" s="45">
        <f t="shared" si="0"/>
        <v>5</v>
      </c>
      <c r="D10" s="39"/>
      <c r="E10" s="39"/>
      <c r="F10" s="49"/>
      <c r="G10" s="49"/>
      <c r="H10" s="63"/>
      <c r="I10" s="63"/>
      <c r="J10" s="49"/>
      <c r="K10" s="49"/>
      <c r="L10" s="63"/>
      <c r="M10" s="63"/>
      <c r="N10" s="73"/>
      <c r="O10" s="45" t="s">
        <v>103</v>
      </c>
      <c r="P10" s="45">
        <f t="shared" si="1"/>
        <v>5</v>
      </c>
      <c r="Q10" s="67">
        <v>322237.15209599998</v>
      </c>
      <c r="R10" s="67">
        <v>355162.92462100001</v>
      </c>
      <c r="S10" s="67">
        <v>8639598.4191156998</v>
      </c>
      <c r="T10" s="67">
        <v>5717360.1531621302</v>
      </c>
      <c r="U10" s="68">
        <f t="shared" si="2"/>
        <v>26.811304540519945</v>
      </c>
      <c r="V10" s="68">
        <f t="shared" si="3"/>
        <v>16.097851878157652</v>
      </c>
      <c r="W10" s="67">
        <v>16371754.550835</v>
      </c>
      <c r="X10" s="67">
        <v>13563325.603341</v>
      </c>
      <c r="Y10" s="68">
        <f t="shared" si="4"/>
        <v>50.80653935880607</v>
      </c>
      <c r="Z10" s="68">
        <f t="shared" si="5"/>
        <v>38.189024425380659</v>
      </c>
    </row>
    <row r="11" spans="2:26" x14ac:dyDescent="0.2">
      <c r="B11" s="45" t="s">
        <v>103</v>
      </c>
      <c r="C11" s="45">
        <f t="shared" si="0"/>
        <v>6</v>
      </c>
      <c r="D11" s="39"/>
      <c r="E11" s="39"/>
      <c r="F11" s="49"/>
      <c r="G11" s="49"/>
      <c r="H11" s="63"/>
      <c r="I11" s="63"/>
      <c r="J11" s="49"/>
      <c r="K11" s="49"/>
      <c r="L11" s="63"/>
      <c r="M11" s="63"/>
      <c r="N11" s="73"/>
      <c r="O11" s="45" t="s">
        <v>103</v>
      </c>
      <c r="P11" s="45">
        <f t="shared" si="1"/>
        <v>6</v>
      </c>
      <c r="Q11" s="67">
        <v>195407.73805700001</v>
      </c>
      <c r="R11" s="67">
        <v>203290.90702899999</v>
      </c>
      <c r="S11" s="67">
        <v>3332221.8470649598</v>
      </c>
      <c r="T11" s="67">
        <v>2441924.1985735102</v>
      </c>
      <c r="U11" s="68">
        <f t="shared" si="2"/>
        <v>17.052660658161642</v>
      </c>
      <c r="V11" s="68">
        <f t="shared" si="3"/>
        <v>12.011969616649717</v>
      </c>
      <c r="W11" s="67">
        <v>7247017.2635469995</v>
      </c>
      <c r="X11" s="67">
        <v>5945492.6374570001</v>
      </c>
      <c r="Y11" s="68">
        <f t="shared" si="4"/>
        <v>37.086644242476524</v>
      </c>
      <c r="Z11" s="68">
        <f t="shared" si="5"/>
        <v>29.246230066792211</v>
      </c>
    </row>
    <row r="12" spans="2:26" x14ac:dyDescent="0.2">
      <c r="B12" s="45" t="s">
        <v>103</v>
      </c>
      <c r="C12" s="45">
        <f t="shared" si="0"/>
        <v>7</v>
      </c>
      <c r="D12" s="39"/>
      <c r="E12" s="39"/>
      <c r="F12" s="49"/>
      <c r="G12" s="49"/>
      <c r="H12" s="63"/>
      <c r="I12" s="63"/>
      <c r="J12" s="49"/>
      <c r="K12" s="49"/>
      <c r="L12" s="63"/>
      <c r="M12" s="63"/>
      <c r="N12" s="73"/>
      <c r="O12" s="45" t="s">
        <v>103</v>
      </c>
      <c r="P12" s="45">
        <f t="shared" si="1"/>
        <v>7</v>
      </c>
      <c r="Q12" s="67">
        <v>114344.121744</v>
      </c>
      <c r="R12" s="67">
        <v>146113.36629999999</v>
      </c>
      <c r="S12" s="67">
        <v>1997926.24667478</v>
      </c>
      <c r="T12" s="67">
        <v>1769906.53079894</v>
      </c>
      <c r="U12" s="68">
        <f t="shared" si="2"/>
        <v>17.4729248535211</v>
      </c>
      <c r="V12" s="68">
        <f t="shared" si="3"/>
        <v>12.113241763008645</v>
      </c>
      <c r="W12" s="67">
        <v>4644824.288896</v>
      </c>
      <c r="X12" s="67">
        <v>4066434.0231369999</v>
      </c>
      <c r="Y12" s="68">
        <f t="shared" si="4"/>
        <v>40.621452314751181</v>
      </c>
      <c r="Z12" s="68">
        <f t="shared" si="5"/>
        <v>27.830677823052799</v>
      </c>
    </row>
    <row r="13" spans="2:26" x14ac:dyDescent="0.2">
      <c r="B13" s="45" t="s">
        <v>103</v>
      </c>
      <c r="C13" s="45">
        <f t="shared" si="0"/>
        <v>8</v>
      </c>
      <c r="D13" s="39"/>
      <c r="E13" s="39"/>
      <c r="F13" s="49"/>
      <c r="G13" s="49"/>
      <c r="H13" s="63"/>
      <c r="I13" s="63"/>
      <c r="J13" s="49"/>
      <c r="K13" s="49"/>
      <c r="L13" s="63"/>
      <c r="M13" s="63"/>
      <c r="N13" s="73"/>
      <c r="O13" s="45" t="s">
        <v>103</v>
      </c>
      <c r="P13" s="45">
        <f t="shared" si="1"/>
        <v>8</v>
      </c>
      <c r="Q13" s="67">
        <v>46363.867332000002</v>
      </c>
      <c r="R13" s="67">
        <v>77008.212419999996</v>
      </c>
      <c r="S13" s="67">
        <v>489625.45200723299</v>
      </c>
      <c r="T13" s="67">
        <v>482884.96882105002</v>
      </c>
      <c r="U13" s="68">
        <f t="shared" si="2"/>
        <v>10.560496355947794</v>
      </c>
      <c r="V13" s="68">
        <f t="shared" si="3"/>
        <v>6.2705645754690797</v>
      </c>
      <c r="W13" s="67">
        <v>1041796.20095</v>
      </c>
      <c r="X13" s="67">
        <v>1071366.2301459999</v>
      </c>
      <c r="Y13" s="68">
        <f t="shared" si="4"/>
        <v>22.470002199988176</v>
      </c>
      <c r="Z13" s="68">
        <f t="shared" si="5"/>
        <v>13.912363324353088</v>
      </c>
    </row>
    <row r="14" spans="2:26" x14ac:dyDescent="0.2">
      <c r="B14" s="45" t="s">
        <v>104</v>
      </c>
      <c r="C14" s="45">
        <v>1</v>
      </c>
      <c r="D14" s="39"/>
      <c r="E14" s="39"/>
      <c r="F14" s="49"/>
      <c r="G14" s="49"/>
      <c r="H14" s="63"/>
      <c r="I14" s="63"/>
      <c r="J14" s="49"/>
      <c r="K14" s="49"/>
      <c r="L14" s="63"/>
      <c r="M14" s="63"/>
      <c r="N14" s="73"/>
      <c r="O14" s="45" t="s">
        <v>104</v>
      </c>
      <c r="P14" s="45">
        <v>1</v>
      </c>
      <c r="Q14" s="67">
        <v>116162.957276</v>
      </c>
      <c r="R14" s="67">
        <v>120294.763938</v>
      </c>
      <c r="S14" s="67">
        <v>1734452.9363733099</v>
      </c>
      <c r="T14" s="67">
        <v>1519887.9364843699</v>
      </c>
      <c r="U14" s="68">
        <f t="shared" si="2"/>
        <v>14.931205067828097</v>
      </c>
      <c r="V14" s="68">
        <f t="shared" si="3"/>
        <v>12.634697361123058</v>
      </c>
      <c r="W14" s="67">
        <v>4500018.6190710003</v>
      </c>
      <c r="X14" s="67">
        <v>4043249.2627309998</v>
      </c>
      <c r="Y14" s="68">
        <f t="shared" si="4"/>
        <v>38.738843471237388</v>
      </c>
      <c r="Z14" s="68">
        <f t="shared" si="5"/>
        <v>33.611182485173615</v>
      </c>
    </row>
    <row r="15" spans="2:26" x14ac:dyDescent="0.2">
      <c r="B15" s="45" t="s">
        <v>104</v>
      </c>
      <c r="C15" s="45">
        <f t="shared" ref="C15:C21" si="6">C14+1</f>
        <v>2</v>
      </c>
      <c r="D15" s="39"/>
      <c r="E15" s="39"/>
      <c r="F15" s="49"/>
      <c r="G15" s="49"/>
      <c r="H15" s="63"/>
      <c r="I15" s="63"/>
      <c r="J15" s="49"/>
      <c r="K15" s="49"/>
      <c r="L15" s="63"/>
      <c r="M15" s="63"/>
      <c r="N15" s="73"/>
      <c r="O15" s="45" t="s">
        <v>104</v>
      </c>
      <c r="P15" s="45">
        <f t="shared" ref="P15:P21" si="7">P14+1</f>
        <v>2</v>
      </c>
      <c r="Q15" s="67">
        <v>310621.088108</v>
      </c>
      <c r="R15" s="67">
        <v>308156.63521400001</v>
      </c>
      <c r="S15" s="67">
        <v>4097265.17087219</v>
      </c>
      <c r="T15" s="67">
        <v>5353583.1503575305</v>
      </c>
      <c r="U15" s="68">
        <f t="shared" si="2"/>
        <v>13.190557008954942</v>
      </c>
      <c r="V15" s="68">
        <f t="shared" si="3"/>
        <v>17.372928370144372</v>
      </c>
      <c r="W15" s="67">
        <v>9361528.3386909999</v>
      </c>
      <c r="X15" s="67">
        <v>10797711.549354</v>
      </c>
      <c r="Y15" s="68">
        <f t="shared" si="4"/>
        <v>30.138096533343177</v>
      </c>
      <c r="Z15" s="68">
        <f t="shared" si="5"/>
        <v>35.039685391993935</v>
      </c>
    </row>
    <row r="16" spans="2:26" x14ac:dyDescent="0.2">
      <c r="B16" s="45" t="s">
        <v>104</v>
      </c>
      <c r="C16" s="45">
        <f t="shared" si="6"/>
        <v>3</v>
      </c>
      <c r="D16" s="39"/>
      <c r="E16" s="39"/>
      <c r="F16" s="49"/>
      <c r="G16" s="49"/>
      <c r="H16" s="63"/>
      <c r="I16" s="63"/>
      <c r="J16" s="49"/>
      <c r="K16" s="49"/>
      <c r="L16" s="63"/>
      <c r="M16" s="63"/>
      <c r="N16" s="73"/>
      <c r="O16" s="45" t="s">
        <v>104</v>
      </c>
      <c r="P16" s="45">
        <f t="shared" si="7"/>
        <v>3</v>
      </c>
      <c r="Q16" s="67">
        <v>454594.77963499998</v>
      </c>
      <c r="R16" s="67">
        <v>417809.737547</v>
      </c>
      <c r="S16" s="67">
        <v>4314753.8962496202</v>
      </c>
      <c r="T16" s="67">
        <v>3731787.48373939</v>
      </c>
      <c r="U16" s="68">
        <f t="shared" si="2"/>
        <v>9.4914286075040106</v>
      </c>
      <c r="V16" s="68">
        <f t="shared" si="3"/>
        <v>8.931786764111969</v>
      </c>
      <c r="W16" s="67">
        <v>8572509.3839510009</v>
      </c>
      <c r="X16" s="67">
        <v>8040847.0394489998</v>
      </c>
      <c r="Y16" s="68">
        <f t="shared" si="4"/>
        <v>18.857474322151212</v>
      </c>
      <c r="Z16" s="68">
        <f t="shared" si="5"/>
        <v>19.245236089176771</v>
      </c>
    </row>
    <row r="17" spans="2:28" x14ac:dyDescent="0.2">
      <c r="B17" s="45" t="s">
        <v>104</v>
      </c>
      <c r="C17" s="45">
        <f t="shared" si="6"/>
        <v>4</v>
      </c>
      <c r="D17" s="39"/>
      <c r="E17" s="39"/>
      <c r="F17" s="49"/>
      <c r="G17" s="49"/>
      <c r="H17" s="63"/>
      <c r="I17" s="63"/>
      <c r="J17" s="49"/>
      <c r="K17" s="49"/>
      <c r="L17" s="63"/>
      <c r="M17" s="63"/>
      <c r="N17" s="73"/>
      <c r="O17" s="45" t="s">
        <v>104</v>
      </c>
      <c r="P17" s="45">
        <f t="shared" si="7"/>
        <v>4</v>
      </c>
      <c r="Q17" s="67">
        <v>348784.43214699998</v>
      </c>
      <c r="R17" s="67">
        <v>390301.24397200003</v>
      </c>
      <c r="S17" s="67">
        <v>1583011.0115998001</v>
      </c>
      <c r="T17" s="67">
        <v>3139933.6683483501</v>
      </c>
      <c r="U17" s="68">
        <f t="shared" si="2"/>
        <v>4.5386515729939987</v>
      </c>
      <c r="V17" s="68">
        <f t="shared" si="3"/>
        <v>8.0448979265195657</v>
      </c>
      <c r="W17" s="67">
        <v>3269911.5046629999</v>
      </c>
      <c r="X17" s="67">
        <v>6962652.3652860001</v>
      </c>
      <c r="Y17" s="68">
        <f t="shared" si="4"/>
        <v>9.3751647243385303</v>
      </c>
      <c r="Z17" s="68">
        <f t="shared" si="5"/>
        <v>17.839175439024469</v>
      </c>
    </row>
    <row r="18" spans="2:28" x14ac:dyDescent="0.2">
      <c r="B18" s="45" t="s">
        <v>104</v>
      </c>
      <c r="C18" s="45">
        <f t="shared" si="6"/>
        <v>5</v>
      </c>
      <c r="D18" s="39"/>
      <c r="E18" s="39"/>
      <c r="F18" s="49"/>
      <c r="G18" s="49"/>
      <c r="H18" s="63"/>
      <c r="I18" s="63"/>
      <c r="J18" s="49"/>
      <c r="K18" s="49"/>
      <c r="L18" s="63"/>
      <c r="M18" s="63"/>
      <c r="N18" s="73"/>
      <c r="O18" s="45" t="s">
        <v>104</v>
      </c>
      <c r="P18" s="45">
        <f t="shared" si="7"/>
        <v>5</v>
      </c>
      <c r="Q18" s="67">
        <v>322237.15209599998</v>
      </c>
      <c r="R18" s="67">
        <v>355162.92462100001</v>
      </c>
      <c r="S18" s="67">
        <v>1277823.1153476799</v>
      </c>
      <c r="T18" s="67">
        <v>2504842.6971758902</v>
      </c>
      <c r="U18" s="68">
        <f t="shared" si="2"/>
        <v>3.9654742075395282</v>
      </c>
      <c r="V18" s="68">
        <f t="shared" si="3"/>
        <v>7.0526581563907538</v>
      </c>
      <c r="W18" s="67">
        <v>2582875.7703979998</v>
      </c>
      <c r="X18" s="67">
        <v>4954987.053053</v>
      </c>
      <c r="Y18" s="68">
        <f t="shared" si="4"/>
        <v>8.0154499678190945</v>
      </c>
      <c r="Z18" s="68">
        <f t="shared" si="5"/>
        <v>13.95130715949742</v>
      </c>
    </row>
    <row r="19" spans="2:28" x14ac:dyDescent="0.2">
      <c r="B19" s="45" t="s">
        <v>104</v>
      </c>
      <c r="C19" s="45">
        <f t="shared" si="6"/>
        <v>6</v>
      </c>
      <c r="D19" s="39"/>
      <c r="E19" s="39"/>
      <c r="F19" s="49"/>
      <c r="G19" s="49"/>
      <c r="H19" s="63"/>
      <c r="I19" s="63"/>
      <c r="J19" s="49"/>
      <c r="K19" s="49"/>
      <c r="L19" s="63"/>
      <c r="M19" s="63"/>
      <c r="N19" s="73"/>
      <c r="O19" s="45" t="s">
        <v>104</v>
      </c>
      <c r="P19" s="45">
        <f t="shared" si="7"/>
        <v>6</v>
      </c>
      <c r="Q19" s="67">
        <v>195407.73805700001</v>
      </c>
      <c r="R19" s="67">
        <v>203290.90702899999</v>
      </c>
      <c r="S19" s="67">
        <v>706331.69096539298</v>
      </c>
      <c r="T19" s="67">
        <v>1533822.2131029801</v>
      </c>
      <c r="U19" s="68">
        <f t="shared" si="2"/>
        <v>3.6146556834886323</v>
      </c>
      <c r="V19" s="68">
        <f t="shared" si="3"/>
        <v>7.5449622195063366</v>
      </c>
      <c r="W19" s="67">
        <v>1384383.590692</v>
      </c>
      <c r="X19" s="67">
        <v>2846163.3867629999</v>
      </c>
      <c r="Y19" s="68">
        <f t="shared" si="4"/>
        <v>7.08458940499162</v>
      </c>
      <c r="Z19" s="68">
        <f t="shared" si="5"/>
        <v>14.000446101393935</v>
      </c>
    </row>
    <row r="20" spans="2:28" x14ac:dyDescent="0.2">
      <c r="B20" s="45" t="s">
        <v>104</v>
      </c>
      <c r="C20" s="45">
        <f t="shared" si="6"/>
        <v>7</v>
      </c>
      <c r="D20" s="39"/>
      <c r="E20" s="39"/>
      <c r="F20" s="49"/>
      <c r="G20" s="49"/>
      <c r="H20" s="63"/>
      <c r="I20" s="63"/>
      <c r="J20" s="49"/>
      <c r="K20" s="49"/>
      <c r="L20" s="63"/>
      <c r="M20" s="63"/>
      <c r="N20" s="73"/>
      <c r="O20" s="45" t="s">
        <v>104</v>
      </c>
      <c r="P20" s="45">
        <f t="shared" si="7"/>
        <v>7</v>
      </c>
      <c r="Q20" s="67">
        <v>114344.121744</v>
      </c>
      <c r="R20" s="67">
        <v>146113.36629999999</v>
      </c>
      <c r="S20" s="67">
        <v>549734.81037037796</v>
      </c>
      <c r="T20" s="67">
        <v>1080692.5656905901</v>
      </c>
      <c r="U20" s="68">
        <f t="shared" si="2"/>
        <v>4.8077225307756084</v>
      </c>
      <c r="V20" s="68">
        <f t="shared" si="3"/>
        <v>7.3962608148505176</v>
      </c>
      <c r="W20" s="67">
        <v>982829.85352300003</v>
      </c>
      <c r="X20" s="67">
        <v>2041837.9346660001</v>
      </c>
      <c r="Y20" s="68">
        <f t="shared" si="4"/>
        <v>8.595368424127777</v>
      </c>
      <c r="Z20" s="68">
        <f t="shared" si="5"/>
        <v>13.974340516347409</v>
      </c>
    </row>
    <row r="21" spans="2:28" x14ac:dyDescent="0.2">
      <c r="B21" s="45" t="s">
        <v>104</v>
      </c>
      <c r="C21" s="45">
        <f t="shared" si="6"/>
        <v>8</v>
      </c>
      <c r="D21" s="39"/>
      <c r="E21" s="39"/>
      <c r="F21" s="49"/>
      <c r="G21" s="49"/>
      <c r="H21" s="63"/>
      <c r="I21" s="63"/>
      <c r="J21" s="49"/>
      <c r="K21" s="49"/>
      <c r="L21" s="63"/>
      <c r="M21" s="63"/>
      <c r="N21" s="73"/>
      <c r="O21" s="45" t="s">
        <v>104</v>
      </c>
      <c r="P21" s="45">
        <f t="shared" si="7"/>
        <v>8</v>
      </c>
      <c r="Q21" s="67">
        <v>46363.867332000002</v>
      </c>
      <c r="R21" s="67">
        <v>77008.212419999996</v>
      </c>
      <c r="S21" s="67">
        <v>97990.730014306901</v>
      </c>
      <c r="T21" s="67">
        <v>468878.40550598601</v>
      </c>
      <c r="U21" s="68">
        <f t="shared" si="2"/>
        <v>2.1135150204925726</v>
      </c>
      <c r="V21" s="68">
        <f t="shared" si="3"/>
        <v>6.0886805545977385</v>
      </c>
      <c r="W21" s="67">
        <v>272909.64126300003</v>
      </c>
      <c r="X21" s="67">
        <v>883272.76703999995</v>
      </c>
      <c r="Y21" s="68">
        <f t="shared" si="4"/>
        <v>5.8862570567886987</v>
      </c>
      <c r="Z21" s="68">
        <f t="shared" si="5"/>
        <v>11.469851581837302</v>
      </c>
    </row>
    <row r="22" spans="2:28" x14ac:dyDescent="0.2">
      <c r="B22" s="45" t="s">
        <v>105</v>
      </c>
      <c r="C22" s="45">
        <v>1</v>
      </c>
      <c r="D22" s="39"/>
      <c r="E22" s="39"/>
      <c r="F22" s="49"/>
      <c r="G22" s="49"/>
      <c r="H22" s="63"/>
      <c r="I22" s="63"/>
      <c r="J22" s="49"/>
      <c r="K22" s="49"/>
      <c r="L22" s="63"/>
      <c r="M22" s="63"/>
      <c r="N22" s="73"/>
      <c r="O22" s="45" t="s">
        <v>105</v>
      </c>
      <c r="P22" s="45">
        <v>1</v>
      </c>
      <c r="Q22" s="67">
        <v>116162.957276</v>
      </c>
      <c r="R22" s="67">
        <v>120294.763938</v>
      </c>
      <c r="S22" s="75">
        <v>363.92741695809701</v>
      </c>
      <c r="T22" s="75">
        <v>2349.5844112121299</v>
      </c>
      <c r="U22" s="68">
        <f t="shared" si="2"/>
        <v>3.132904201925709E-3</v>
      </c>
      <c r="V22" s="68">
        <f t="shared" si="3"/>
        <v>1.9531892613573E-2</v>
      </c>
      <c r="W22" s="75">
        <v>6286.9774859999998</v>
      </c>
      <c r="X22" s="75">
        <v>41997.478065000003</v>
      </c>
      <c r="Y22" s="68">
        <f t="shared" si="4"/>
        <v>5.4122050896675378E-2</v>
      </c>
      <c r="Z22" s="68">
        <f t="shared" si="5"/>
        <v>0.34912141385177436</v>
      </c>
    </row>
    <row r="23" spans="2:28" x14ac:dyDescent="0.2">
      <c r="B23" s="45" t="s">
        <v>105</v>
      </c>
      <c r="C23" s="45">
        <v>2</v>
      </c>
      <c r="D23" s="39"/>
      <c r="E23" s="39"/>
      <c r="F23" s="49"/>
      <c r="G23" s="49"/>
      <c r="H23" s="63"/>
      <c r="I23" s="63"/>
      <c r="J23" s="49"/>
      <c r="K23" s="49"/>
      <c r="L23" s="63"/>
      <c r="M23" s="63"/>
      <c r="N23" s="73"/>
      <c r="O23" s="45" t="s">
        <v>105</v>
      </c>
      <c r="P23" s="45">
        <v>2</v>
      </c>
      <c r="Q23" s="67">
        <v>310621.088108</v>
      </c>
      <c r="R23" s="67">
        <v>308156.63521400001</v>
      </c>
      <c r="S23" s="75">
        <v>27964.9831675069</v>
      </c>
      <c r="T23" s="75">
        <v>4251.7013075269297</v>
      </c>
      <c r="U23" s="68">
        <f t="shared" si="2"/>
        <v>9.0029248618766475E-2</v>
      </c>
      <c r="V23" s="68">
        <f t="shared" si="3"/>
        <v>1.3797208372859884E-2</v>
      </c>
      <c r="W23" s="75">
        <v>323204.98005499999</v>
      </c>
      <c r="X23" s="75">
        <v>150295.28700899999</v>
      </c>
      <c r="Y23" s="68">
        <f t="shared" si="4"/>
        <v>1.0405120335636218</v>
      </c>
      <c r="Z23" s="68">
        <f t="shared" si="5"/>
        <v>0.48772367632008679</v>
      </c>
    </row>
    <row r="24" spans="2:28" x14ac:dyDescent="0.2">
      <c r="B24" s="45" t="s">
        <v>105</v>
      </c>
      <c r="C24" s="45">
        <v>3</v>
      </c>
      <c r="D24" s="39"/>
      <c r="E24" s="39"/>
      <c r="F24" s="49"/>
      <c r="G24" s="49"/>
      <c r="H24" s="63"/>
      <c r="I24" s="63"/>
      <c r="J24" s="49"/>
      <c r="K24" s="49"/>
      <c r="L24" s="63"/>
      <c r="M24" s="63"/>
      <c r="N24" s="73"/>
      <c r="O24" s="45" t="s">
        <v>105</v>
      </c>
      <c r="P24" s="45">
        <v>3</v>
      </c>
      <c r="Q24" s="67">
        <v>454594.77963499998</v>
      </c>
      <c r="R24" s="67">
        <v>417809.737547</v>
      </c>
      <c r="S24" s="75">
        <v>39818.593030899297</v>
      </c>
      <c r="T24" s="75">
        <v>9161.7308314343099</v>
      </c>
      <c r="U24" s="68">
        <f t="shared" si="2"/>
        <v>8.759139966998776E-2</v>
      </c>
      <c r="V24" s="68">
        <f t="shared" si="3"/>
        <v>2.1927997382788843E-2</v>
      </c>
      <c r="W24" s="75">
        <v>434925.34503000003</v>
      </c>
      <c r="X24" s="75">
        <v>93895.118256999995</v>
      </c>
      <c r="Y24" s="68">
        <f t="shared" si="4"/>
        <v>0.95673193911115129</v>
      </c>
      <c r="Z24" s="68">
        <f t="shared" si="5"/>
        <v>0.22473176141912585</v>
      </c>
    </row>
    <row r="25" spans="2:28" x14ac:dyDescent="0.2">
      <c r="B25" s="45" t="s">
        <v>105</v>
      </c>
      <c r="C25" s="45">
        <v>4</v>
      </c>
      <c r="D25" s="39"/>
      <c r="E25" s="39"/>
      <c r="F25" s="49"/>
      <c r="G25" s="49"/>
      <c r="H25" s="63"/>
      <c r="I25" s="63"/>
      <c r="J25" s="49"/>
      <c r="K25" s="49"/>
      <c r="L25" s="63"/>
      <c r="M25" s="63"/>
      <c r="N25" s="73"/>
      <c r="O25" s="45" t="s">
        <v>105</v>
      </c>
      <c r="P25" s="45">
        <v>4</v>
      </c>
      <c r="Q25" s="67">
        <v>348784.43214699998</v>
      </c>
      <c r="R25" s="67">
        <v>390301.24397200003</v>
      </c>
      <c r="S25" s="75">
        <v>26562.9002012571</v>
      </c>
      <c r="T25" s="75">
        <v>5752.5458117738999</v>
      </c>
      <c r="U25" s="68">
        <f t="shared" si="2"/>
        <v>7.615850294046897E-2</v>
      </c>
      <c r="V25" s="68">
        <f t="shared" si="3"/>
        <v>1.473873296746803E-2</v>
      </c>
      <c r="W25" s="75">
        <v>283688.622997</v>
      </c>
      <c r="X25" s="75">
        <v>68223.301007000002</v>
      </c>
      <c r="Y25" s="68">
        <f t="shared" si="4"/>
        <v>0.81336377673369187</v>
      </c>
      <c r="Z25" s="68">
        <f t="shared" si="5"/>
        <v>0.17479652463494147</v>
      </c>
    </row>
    <row r="26" spans="2:28" x14ac:dyDescent="0.2">
      <c r="B26" s="45" t="s">
        <v>105</v>
      </c>
      <c r="C26" s="45">
        <v>5</v>
      </c>
      <c r="D26" s="39"/>
      <c r="E26" s="39"/>
      <c r="F26" s="49"/>
      <c r="G26" s="49"/>
      <c r="H26" s="63"/>
      <c r="I26" s="63"/>
      <c r="J26" s="49"/>
      <c r="K26" s="49"/>
      <c r="L26" s="63"/>
      <c r="M26" s="63"/>
      <c r="N26" s="73"/>
      <c r="O26" s="45" t="s">
        <v>105</v>
      </c>
      <c r="P26" s="45">
        <v>5</v>
      </c>
      <c r="Q26" s="67">
        <v>322237.15209599998</v>
      </c>
      <c r="R26" s="67">
        <v>355162.92462100001</v>
      </c>
      <c r="S26" s="75">
        <v>28305.2252989113</v>
      </c>
      <c r="T26" s="75">
        <v>12071.976972641</v>
      </c>
      <c r="U26" s="68">
        <f t="shared" si="2"/>
        <v>8.7839732677623364E-2</v>
      </c>
      <c r="V26" s="68">
        <f t="shared" si="3"/>
        <v>3.3989969492235705E-2</v>
      </c>
      <c r="W26" s="75">
        <v>292095.57053999999</v>
      </c>
      <c r="X26" s="75">
        <v>125438.59695599999</v>
      </c>
      <c r="Y26" s="68">
        <f t="shared" si="4"/>
        <v>0.90646149470989523</v>
      </c>
      <c r="Z26" s="68">
        <f t="shared" si="5"/>
        <v>0.35318606830895288</v>
      </c>
    </row>
    <row r="27" spans="2:28" x14ac:dyDescent="0.2">
      <c r="B27" s="45" t="s">
        <v>105</v>
      </c>
      <c r="C27" s="45">
        <v>6</v>
      </c>
      <c r="D27" s="39"/>
      <c r="E27" s="39"/>
      <c r="F27" s="49"/>
      <c r="G27" s="49"/>
      <c r="H27" s="63"/>
      <c r="I27" s="63"/>
      <c r="J27" s="49"/>
      <c r="K27" s="49"/>
      <c r="L27" s="63"/>
      <c r="M27" s="63"/>
      <c r="N27" s="73"/>
      <c r="O27" s="45" t="s">
        <v>105</v>
      </c>
      <c r="P27" s="45">
        <v>6</v>
      </c>
      <c r="Q27" s="67">
        <v>195407.73805700001</v>
      </c>
      <c r="R27" s="67">
        <v>203290.90702899999</v>
      </c>
      <c r="S27" s="75">
        <v>17849.458219781402</v>
      </c>
      <c r="T27" s="75">
        <v>2527.7591853142098</v>
      </c>
      <c r="U27" s="68">
        <f t="shared" si="2"/>
        <v>9.1344684695008102E-2</v>
      </c>
      <c r="V27" s="68">
        <f t="shared" si="3"/>
        <v>1.2434196995115075E-2</v>
      </c>
      <c r="W27" s="75">
        <v>118583.941655</v>
      </c>
      <c r="X27" s="75">
        <v>15896.851295</v>
      </c>
      <c r="Y27" s="68">
        <f t="shared" si="4"/>
        <v>0.60685386788730611</v>
      </c>
      <c r="Z27" s="68">
        <f t="shared" si="5"/>
        <v>7.8197552105625026E-2</v>
      </c>
    </row>
    <row r="28" spans="2:28" x14ac:dyDescent="0.2">
      <c r="B28" s="45" t="s">
        <v>105</v>
      </c>
      <c r="C28" s="45">
        <v>7</v>
      </c>
      <c r="D28" s="39"/>
      <c r="E28" s="39"/>
      <c r="F28" s="49"/>
      <c r="G28" s="49"/>
      <c r="H28" s="63"/>
      <c r="I28" s="63"/>
      <c r="J28" s="49"/>
      <c r="K28" s="49"/>
      <c r="L28" s="63"/>
      <c r="M28" s="63"/>
      <c r="N28" s="73"/>
      <c r="O28" s="45" t="s">
        <v>105</v>
      </c>
      <c r="P28" s="45">
        <v>7</v>
      </c>
      <c r="Q28" s="67">
        <v>114344.121744</v>
      </c>
      <c r="R28" s="67">
        <v>146113.36629999999</v>
      </c>
      <c r="S28" s="75">
        <v>5641.23172871929</v>
      </c>
      <c r="T28" s="75">
        <v>0</v>
      </c>
      <c r="U28" s="68">
        <f t="shared" si="2"/>
        <v>4.9335563933484872E-2</v>
      </c>
      <c r="V28" s="68">
        <f t="shared" si="3"/>
        <v>0</v>
      </c>
      <c r="W28" s="75">
        <v>41652.039172999997</v>
      </c>
      <c r="X28" s="75">
        <v>0</v>
      </c>
      <c r="Y28" s="68">
        <f t="shared" si="4"/>
        <v>0.36426917744187065</v>
      </c>
      <c r="Z28" s="68">
        <f t="shared" si="5"/>
        <v>0</v>
      </c>
    </row>
    <row r="29" spans="2:28" x14ac:dyDescent="0.2">
      <c r="B29" s="45" t="s">
        <v>105</v>
      </c>
      <c r="C29" s="45">
        <v>8</v>
      </c>
      <c r="D29" s="39"/>
      <c r="E29" s="39"/>
      <c r="F29" s="49"/>
      <c r="G29" s="49"/>
      <c r="H29" s="63"/>
      <c r="I29" s="63"/>
      <c r="J29" s="49"/>
      <c r="K29" s="49"/>
      <c r="L29" s="63"/>
      <c r="M29" s="63"/>
      <c r="N29" s="73"/>
      <c r="O29" s="45" t="s">
        <v>105</v>
      </c>
      <c r="P29" s="45">
        <v>8</v>
      </c>
      <c r="Q29" s="67">
        <v>46363.867332000002</v>
      </c>
      <c r="R29" s="67">
        <v>77008.212419999996</v>
      </c>
      <c r="S29" s="75">
        <v>139.683666649104</v>
      </c>
      <c r="T29" s="75">
        <v>0</v>
      </c>
      <c r="U29" s="68">
        <f t="shared" si="2"/>
        <v>3.0127699583139683E-3</v>
      </c>
      <c r="V29" s="68">
        <f t="shared" si="3"/>
        <v>0</v>
      </c>
      <c r="W29" s="75">
        <v>2074.1166400000002</v>
      </c>
      <c r="X29" s="75">
        <v>0</v>
      </c>
      <c r="Y29" s="68">
        <f t="shared" si="4"/>
        <v>4.473562623988573E-2</v>
      </c>
      <c r="Z29" s="68">
        <f t="shared" si="5"/>
        <v>0</v>
      </c>
    </row>
    <row r="30" spans="2:28" x14ac:dyDescent="0.2">
      <c r="B30" s="45" t="s">
        <v>106</v>
      </c>
      <c r="C30" s="45">
        <v>1</v>
      </c>
      <c r="D30" s="39"/>
      <c r="E30" s="39"/>
      <c r="F30" s="49"/>
      <c r="G30" s="49"/>
      <c r="H30" s="63"/>
      <c r="I30" s="63"/>
      <c r="J30" s="49"/>
      <c r="K30" s="49"/>
      <c r="L30" s="63"/>
      <c r="M30" s="63"/>
      <c r="N30" s="73"/>
      <c r="O30" s="45" t="s">
        <v>106</v>
      </c>
      <c r="P30" s="45">
        <v>1</v>
      </c>
      <c r="Q30" s="67">
        <v>116162.957276</v>
      </c>
      <c r="R30" s="67">
        <v>120294.763938</v>
      </c>
      <c r="S30" s="67">
        <v>127524.813946984</v>
      </c>
      <c r="T30" s="67">
        <v>15767.455145333901</v>
      </c>
      <c r="U30" s="68">
        <f t="shared" si="2"/>
        <v>1.0978096368878465</v>
      </c>
      <c r="V30" s="68">
        <f t="shared" si="3"/>
        <v>0.13107349504805094</v>
      </c>
      <c r="W30" s="67">
        <v>202875.60350299999</v>
      </c>
      <c r="X30" s="67">
        <v>379414.93638899998</v>
      </c>
      <c r="Y30" s="68">
        <f t="shared" si="4"/>
        <v>1.7464741623353572</v>
      </c>
      <c r="Z30" s="68">
        <f t="shared" si="5"/>
        <v>3.154043650516249</v>
      </c>
      <c r="AA30" s="64"/>
      <c r="AB30" s="64"/>
    </row>
    <row r="31" spans="2:28" x14ac:dyDescent="0.2">
      <c r="B31" s="45" t="s">
        <v>106</v>
      </c>
      <c r="C31" s="45">
        <v>2</v>
      </c>
      <c r="D31" s="39"/>
      <c r="E31" s="39"/>
      <c r="F31" s="49"/>
      <c r="G31" s="49"/>
      <c r="H31" s="63"/>
      <c r="I31" s="63"/>
      <c r="J31" s="49"/>
      <c r="K31" s="49"/>
      <c r="L31" s="63"/>
      <c r="M31" s="63"/>
      <c r="N31" s="73"/>
      <c r="O31" s="45" t="s">
        <v>106</v>
      </c>
      <c r="P31" s="45">
        <v>2</v>
      </c>
      <c r="Q31" s="67">
        <v>310621.088108</v>
      </c>
      <c r="R31" s="67">
        <v>308156.63521400001</v>
      </c>
      <c r="S31" s="67">
        <v>747933.88939809403</v>
      </c>
      <c r="T31" s="67">
        <v>480159.71424896101</v>
      </c>
      <c r="U31" s="68">
        <f t="shared" si="2"/>
        <v>2.4078657825641399</v>
      </c>
      <c r="V31" s="68">
        <f t="shared" si="3"/>
        <v>1.5581676958392057</v>
      </c>
      <c r="W31" s="67">
        <v>2108019.7808539998</v>
      </c>
      <c r="X31" s="67">
        <v>1860189.0964530001</v>
      </c>
      <c r="Y31" s="68">
        <f t="shared" si="4"/>
        <v>6.7864670544231087</v>
      </c>
      <c r="Z31" s="68">
        <f t="shared" si="5"/>
        <v>6.0365050882684645</v>
      </c>
    </row>
    <row r="32" spans="2:28" x14ac:dyDescent="0.2">
      <c r="B32" s="45" t="s">
        <v>106</v>
      </c>
      <c r="C32" s="45">
        <v>3</v>
      </c>
      <c r="D32" s="39"/>
      <c r="E32" s="39"/>
      <c r="F32" s="49"/>
      <c r="G32" s="49"/>
      <c r="H32" s="63"/>
      <c r="I32" s="63"/>
      <c r="J32" s="49"/>
      <c r="K32" s="49"/>
      <c r="L32" s="63"/>
      <c r="M32" s="63"/>
      <c r="N32" s="73"/>
      <c r="O32" s="45" t="s">
        <v>106</v>
      </c>
      <c r="P32" s="45">
        <v>3</v>
      </c>
      <c r="Q32" s="67">
        <v>454594.77963499998</v>
      </c>
      <c r="R32" s="67">
        <v>417809.737547</v>
      </c>
      <c r="S32" s="67">
        <v>276701.77130857401</v>
      </c>
      <c r="T32" s="67">
        <v>476987.65099219303</v>
      </c>
      <c r="U32" s="68">
        <f t="shared" si="2"/>
        <v>0.60867784608248565</v>
      </c>
      <c r="V32" s="68">
        <f t="shared" si="3"/>
        <v>1.1416384256447254</v>
      </c>
      <c r="W32" s="67">
        <v>1022263.779926</v>
      </c>
      <c r="X32" s="67">
        <v>1462480.2708399999</v>
      </c>
      <c r="Y32" s="68">
        <f t="shared" si="4"/>
        <v>2.2487362937752802</v>
      </c>
      <c r="Z32" s="68">
        <f t="shared" si="5"/>
        <v>3.5003498947304537</v>
      </c>
    </row>
    <row r="33" spans="2:26" x14ac:dyDescent="0.2">
      <c r="B33" s="45" t="s">
        <v>106</v>
      </c>
      <c r="C33" s="45">
        <v>4</v>
      </c>
      <c r="D33" s="39"/>
      <c r="E33" s="39"/>
      <c r="F33" s="49"/>
      <c r="G33" s="49"/>
      <c r="H33" s="63"/>
      <c r="I33" s="63"/>
      <c r="J33" s="49"/>
      <c r="K33" s="49"/>
      <c r="L33" s="63"/>
      <c r="M33" s="63"/>
      <c r="N33" s="73"/>
      <c r="O33" s="45" t="s">
        <v>106</v>
      </c>
      <c r="P33" s="45">
        <v>4</v>
      </c>
      <c r="Q33" s="67">
        <v>348784.43214699998</v>
      </c>
      <c r="R33" s="67">
        <v>390301.24397200003</v>
      </c>
      <c r="S33" s="67">
        <v>115910.48788001599</v>
      </c>
      <c r="T33" s="67">
        <v>432806.76452834997</v>
      </c>
      <c r="U33" s="68">
        <f t="shared" si="2"/>
        <v>0.33232701117567059</v>
      </c>
      <c r="V33" s="68">
        <f t="shared" si="3"/>
        <v>1.108904394266802</v>
      </c>
      <c r="W33" s="67">
        <v>491241.366867</v>
      </c>
      <c r="X33" s="67">
        <v>1270210.0942510001</v>
      </c>
      <c r="Y33" s="68">
        <f t="shared" si="4"/>
        <v>1.4084383406767409</v>
      </c>
      <c r="Z33" s="68">
        <f t="shared" si="5"/>
        <v>3.2544351673706791</v>
      </c>
    </row>
    <row r="34" spans="2:26" x14ac:dyDescent="0.2">
      <c r="B34" s="45" t="s">
        <v>106</v>
      </c>
      <c r="C34" s="45">
        <v>5</v>
      </c>
      <c r="D34" s="39"/>
      <c r="E34" s="39"/>
      <c r="F34" s="49"/>
      <c r="G34" s="49"/>
      <c r="H34" s="63"/>
      <c r="I34" s="63"/>
      <c r="J34" s="49"/>
      <c r="K34" s="49"/>
      <c r="L34" s="63"/>
      <c r="M34" s="63"/>
      <c r="N34" s="73"/>
      <c r="O34" s="45" t="s">
        <v>106</v>
      </c>
      <c r="P34" s="45">
        <v>5</v>
      </c>
      <c r="Q34" s="67">
        <v>322237.15209599998</v>
      </c>
      <c r="R34" s="67">
        <v>355162.92462100001</v>
      </c>
      <c r="S34" s="67">
        <v>69689.376765403998</v>
      </c>
      <c r="T34" s="67">
        <v>152273.447789022</v>
      </c>
      <c r="U34" s="68">
        <f t="shared" si="2"/>
        <v>0.21626735561715224</v>
      </c>
      <c r="V34" s="68">
        <f t="shared" si="3"/>
        <v>0.42874252134148128</v>
      </c>
      <c r="W34" s="67">
        <v>248497.44096599999</v>
      </c>
      <c r="X34" s="67">
        <v>490279.69056800002</v>
      </c>
      <c r="Y34" s="68">
        <f t="shared" si="4"/>
        <v>0.77116322357506539</v>
      </c>
      <c r="Z34" s="68">
        <f t="shared" si="5"/>
        <v>1.3804360100119832</v>
      </c>
    </row>
    <row r="35" spans="2:26" x14ac:dyDescent="0.2">
      <c r="B35" s="45" t="s">
        <v>106</v>
      </c>
      <c r="C35" s="45">
        <v>6</v>
      </c>
      <c r="D35" s="39"/>
      <c r="E35" s="39"/>
      <c r="F35" s="49"/>
      <c r="G35" s="49"/>
      <c r="H35" s="63"/>
      <c r="I35" s="63"/>
      <c r="J35" s="49"/>
      <c r="K35" s="49"/>
      <c r="L35" s="63"/>
      <c r="M35" s="63"/>
      <c r="N35" s="73"/>
      <c r="O35" s="45" t="s">
        <v>106</v>
      </c>
      <c r="P35" s="45">
        <v>6</v>
      </c>
      <c r="Q35" s="67">
        <v>195407.73805700001</v>
      </c>
      <c r="R35" s="67">
        <v>203290.90702899999</v>
      </c>
      <c r="S35" s="67">
        <v>51580.5491017975</v>
      </c>
      <c r="T35" s="67">
        <v>63367.7646497889</v>
      </c>
      <c r="U35" s="68">
        <f t="shared" si="2"/>
        <v>0.2639636977259906</v>
      </c>
      <c r="V35" s="68">
        <f t="shared" si="3"/>
        <v>0.31170978365869223</v>
      </c>
      <c r="W35" s="67">
        <v>276635.81188300002</v>
      </c>
      <c r="X35" s="67">
        <v>308538.81251399999</v>
      </c>
      <c r="Y35" s="68">
        <f t="shared" si="4"/>
        <v>1.4156850421261513</v>
      </c>
      <c r="Z35" s="68">
        <f t="shared" si="5"/>
        <v>1.5177206743929088</v>
      </c>
    </row>
    <row r="36" spans="2:26" x14ac:dyDescent="0.2">
      <c r="B36" s="45" t="s">
        <v>106</v>
      </c>
      <c r="C36" s="45">
        <v>7</v>
      </c>
      <c r="D36" s="39"/>
      <c r="E36" s="39"/>
      <c r="F36" s="49"/>
      <c r="G36" s="49"/>
      <c r="H36" s="63"/>
      <c r="I36" s="63"/>
      <c r="J36" s="49"/>
      <c r="K36" s="49"/>
      <c r="L36" s="63"/>
      <c r="M36" s="63"/>
      <c r="N36" s="73"/>
      <c r="O36" s="45" t="s">
        <v>106</v>
      </c>
      <c r="P36" s="45">
        <v>7</v>
      </c>
      <c r="Q36" s="67">
        <v>114344.121744</v>
      </c>
      <c r="R36" s="67">
        <v>146113.36629999999</v>
      </c>
      <c r="S36" s="67">
        <v>2447.94349812776</v>
      </c>
      <c r="T36" s="67">
        <v>20539.844614062898</v>
      </c>
      <c r="U36" s="68">
        <f t="shared" si="2"/>
        <v>2.1408564435068663E-2</v>
      </c>
      <c r="V36" s="68">
        <f t="shared" si="3"/>
        <v>0.14057471355420342</v>
      </c>
      <c r="W36" s="67">
        <v>19052.479449999999</v>
      </c>
      <c r="X36" s="67">
        <v>138877.28914499999</v>
      </c>
      <c r="Y36" s="68">
        <f t="shared" si="4"/>
        <v>0.16662403942946671</v>
      </c>
      <c r="Z36" s="68">
        <f t="shared" si="5"/>
        <v>0.95047628195669043</v>
      </c>
    </row>
    <row r="37" spans="2:26" x14ac:dyDescent="0.2">
      <c r="B37" s="45" t="s">
        <v>106</v>
      </c>
      <c r="C37" s="45">
        <v>8</v>
      </c>
      <c r="D37" s="39"/>
      <c r="E37" s="39"/>
      <c r="F37" s="49"/>
      <c r="G37" s="49"/>
      <c r="H37" s="63"/>
      <c r="I37" s="63"/>
      <c r="J37" s="49"/>
      <c r="K37" s="49"/>
      <c r="L37" s="63"/>
      <c r="M37" s="63"/>
      <c r="N37" s="73"/>
      <c r="O37" s="45" t="s">
        <v>106</v>
      </c>
      <c r="P37" s="45">
        <v>8</v>
      </c>
      <c r="Q37" s="67">
        <v>46363.867332000002</v>
      </c>
      <c r="R37" s="67">
        <v>77008.212419999996</v>
      </c>
      <c r="S37" s="67">
        <v>0</v>
      </c>
      <c r="T37" s="67">
        <v>16416.194868274299</v>
      </c>
      <c r="U37" s="68">
        <f t="shared" si="2"/>
        <v>0</v>
      </c>
      <c r="V37" s="68">
        <f t="shared" si="3"/>
        <v>0.21317459985619414</v>
      </c>
      <c r="W37" s="67">
        <v>0</v>
      </c>
      <c r="X37" s="67">
        <v>69620.757951000007</v>
      </c>
      <c r="Y37" s="68">
        <f t="shared" si="4"/>
        <v>0</v>
      </c>
      <c r="Z37" s="68">
        <f t="shared" si="5"/>
        <v>0.90406926434405355</v>
      </c>
    </row>
    <row r="38" spans="2:26" x14ac:dyDescent="0.2">
      <c r="B38" s="45" t="s">
        <v>107</v>
      </c>
      <c r="C38" s="45">
        <v>1</v>
      </c>
      <c r="D38" s="39"/>
      <c r="E38" s="39"/>
      <c r="F38" s="49"/>
      <c r="G38" s="49"/>
      <c r="H38" s="63"/>
      <c r="I38" s="63"/>
      <c r="J38" s="49"/>
      <c r="K38" s="49"/>
      <c r="L38" s="63"/>
      <c r="M38" s="63"/>
      <c r="N38" s="73"/>
      <c r="O38" s="45" t="s">
        <v>107</v>
      </c>
      <c r="P38" s="45">
        <v>1</v>
      </c>
      <c r="Q38" s="67">
        <v>116162.957276</v>
      </c>
      <c r="R38" s="67">
        <v>120294.763938</v>
      </c>
      <c r="S38" s="67">
        <v>0</v>
      </c>
      <c r="T38" s="67">
        <v>0</v>
      </c>
      <c r="U38" s="68">
        <f t="shared" si="2"/>
        <v>0</v>
      </c>
      <c r="V38" s="68">
        <f t="shared" si="3"/>
        <v>0</v>
      </c>
      <c r="W38" s="67">
        <v>0</v>
      </c>
      <c r="X38" s="67">
        <v>0</v>
      </c>
      <c r="Y38" s="68">
        <f t="shared" si="4"/>
        <v>0</v>
      </c>
      <c r="Z38" s="68">
        <f t="shared" si="5"/>
        <v>0</v>
      </c>
    </row>
    <row r="39" spans="2:26" x14ac:dyDescent="0.2">
      <c r="B39" s="45" t="s">
        <v>107</v>
      </c>
      <c r="C39" s="45">
        <v>2</v>
      </c>
      <c r="D39" s="39"/>
      <c r="E39" s="39"/>
      <c r="F39" s="49"/>
      <c r="G39" s="49"/>
      <c r="H39" s="63"/>
      <c r="I39" s="63"/>
      <c r="J39" s="49"/>
      <c r="K39" s="49"/>
      <c r="L39" s="63"/>
      <c r="M39" s="63"/>
      <c r="N39" s="73"/>
      <c r="O39" s="45" t="s">
        <v>107</v>
      </c>
      <c r="P39" s="45">
        <v>2</v>
      </c>
      <c r="Q39" s="67">
        <v>310621.088108</v>
      </c>
      <c r="R39" s="67">
        <v>308156.63521400001</v>
      </c>
      <c r="S39" s="67">
        <v>0</v>
      </c>
      <c r="T39" s="67">
        <v>0</v>
      </c>
      <c r="U39" s="68">
        <f t="shared" si="2"/>
        <v>0</v>
      </c>
      <c r="V39" s="68">
        <f t="shared" si="3"/>
        <v>0</v>
      </c>
      <c r="W39" s="67">
        <v>0</v>
      </c>
      <c r="X39" s="67">
        <v>0</v>
      </c>
      <c r="Y39" s="68">
        <f t="shared" si="4"/>
        <v>0</v>
      </c>
      <c r="Z39" s="68">
        <f t="shared" si="5"/>
        <v>0</v>
      </c>
    </row>
    <row r="40" spans="2:26" x14ac:dyDescent="0.2">
      <c r="B40" s="45" t="s">
        <v>107</v>
      </c>
      <c r="C40" s="45">
        <v>3</v>
      </c>
      <c r="D40" s="39"/>
      <c r="E40" s="39"/>
      <c r="F40" s="49"/>
      <c r="G40" s="49"/>
      <c r="H40" s="63"/>
      <c r="I40" s="63"/>
      <c r="J40" s="49"/>
      <c r="K40" s="49"/>
      <c r="L40" s="63"/>
      <c r="M40" s="63"/>
      <c r="N40" s="73"/>
      <c r="O40" s="45" t="s">
        <v>107</v>
      </c>
      <c r="P40" s="45">
        <v>3</v>
      </c>
      <c r="Q40" s="67">
        <v>454594.77963499998</v>
      </c>
      <c r="R40" s="67">
        <v>417809.737547</v>
      </c>
      <c r="S40" s="67">
        <v>0</v>
      </c>
      <c r="T40" s="67">
        <v>0</v>
      </c>
      <c r="U40" s="68">
        <f t="shared" si="2"/>
        <v>0</v>
      </c>
      <c r="V40" s="68">
        <f t="shared" si="3"/>
        <v>0</v>
      </c>
      <c r="W40" s="67">
        <v>0</v>
      </c>
      <c r="X40" s="67">
        <v>0</v>
      </c>
      <c r="Y40" s="68">
        <f t="shared" si="4"/>
        <v>0</v>
      </c>
      <c r="Z40" s="68">
        <f t="shared" si="5"/>
        <v>0</v>
      </c>
    </row>
    <row r="41" spans="2:26" x14ac:dyDescent="0.2">
      <c r="B41" s="45" t="s">
        <v>107</v>
      </c>
      <c r="C41" s="45">
        <v>4</v>
      </c>
      <c r="D41" s="39"/>
      <c r="E41" s="39"/>
      <c r="F41" s="49"/>
      <c r="G41" s="49"/>
      <c r="H41" s="63"/>
      <c r="I41" s="63"/>
      <c r="J41" s="49"/>
      <c r="K41" s="49"/>
      <c r="L41" s="63"/>
      <c r="M41" s="63"/>
      <c r="N41" s="73"/>
      <c r="O41" s="45" t="s">
        <v>107</v>
      </c>
      <c r="P41" s="45">
        <v>4</v>
      </c>
      <c r="Q41" s="67">
        <v>348784.43214699998</v>
      </c>
      <c r="R41" s="67">
        <v>390301.24397200003</v>
      </c>
      <c r="S41" s="67">
        <v>0</v>
      </c>
      <c r="T41" s="67">
        <v>39442.945753355198</v>
      </c>
      <c r="U41" s="68">
        <f t="shared" si="2"/>
        <v>0</v>
      </c>
      <c r="V41" s="68">
        <f t="shared" si="3"/>
        <v>0.10105769930926689</v>
      </c>
      <c r="W41" s="67">
        <v>0</v>
      </c>
      <c r="X41" s="67">
        <v>67920.747728999995</v>
      </c>
      <c r="Y41" s="68">
        <f t="shared" si="4"/>
        <v>0</v>
      </c>
      <c r="Z41" s="68">
        <f t="shared" si="5"/>
        <v>0.17402134576305012</v>
      </c>
    </row>
    <row r="42" spans="2:26" x14ac:dyDescent="0.2">
      <c r="B42" s="45" t="s">
        <v>107</v>
      </c>
      <c r="C42" s="45">
        <v>5</v>
      </c>
      <c r="D42" s="39"/>
      <c r="E42" s="39"/>
      <c r="F42" s="49"/>
      <c r="G42" s="49"/>
      <c r="H42" s="63"/>
      <c r="I42" s="63"/>
      <c r="J42" s="49"/>
      <c r="K42" s="49"/>
      <c r="L42" s="63"/>
      <c r="M42" s="63"/>
      <c r="N42" s="73"/>
      <c r="O42" s="45" t="s">
        <v>107</v>
      </c>
      <c r="P42" s="45">
        <v>5</v>
      </c>
      <c r="Q42" s="67">
        <v>322237.15209599998</v>
      </c>
      <c r="R42" s="67">
        <v>355162.92462100001</v>
      </c>
      <c r="S42" s="67">
        <v>23076.864397795001</v>
      </c>
      <c r="T42" s="67">
        <v>32708.0297281075</v>
      </c>
      <c r="U42" s="68">
        <f t="shared" si="2"/>
        <v>7.161453683317065E-2</v>
      </c>
      <c r="V42" s="68">
        <f t="shared" si="3"/>
        <v>9.2093029594828221E-2</v>
      </c>
      <c r="W42" s="67">
        <v>30136.903602999999</v>
      </c>
      <c r="X42" s="67">
        <v>51815.932076999998</v>
      </c>
      <c r="Y42" s="68">
        <f t="shared" si="4"/>
        <v>9.35239881775696E-2</v>
      </c>
      <c r="Z42" s="68">
        <f t="shared" si="5"/>
        <v>0.14589341534534778</v>
      </c>
    </row>
    <row r="43" spans="2:26" x14ac:dyDescent="0.2">
      <c r="B43" s="45" t="s">
        <v>107</v>
      </c>
      <c r="C43" s="45">
        <v>6</v>
      </c>
      <c r="D43" s="39"/>
      <c r="E43" s="39"/>
      <c r="F43" s="49"/>
      <c r="G43" s="49"/>
      <c r="H43" s="63"/>
      <c r="I43" s="63"/>
      <c r="J43" s="49"/>
      <c r="K43" s="49"/>
      <c r="L43" s="63"/>
      <c r="M43" s="63"/>
      <c r="N43" s="73"/>
      <c r="O43" s="45" t="s">
        <v>107</v>
      </c>
      <c r="P43" s="45">
        <v>6</v>
      </c>
      <c r="Q43" s="67">
        <v>195407.73805700001</v>
      </c>
      <c r="R43" s="67">
        <v>203290.90702899999</v>
      </c>
      <c r="S43" s="67">
        <v>11434.279791582099</v>
      </c>
      <c r="T43" s="67">
        <v>42574.277776339703</v>
      </c>
      <c r="U43" s="68">
        <f t="shared" si="2"/>
        <v>5.8514979525768548E-2</v>
      </c>
      <c r="V43" s="68">
        <f t="shared" si="3"/>
        <v>0.2094253914183499</v>
      </c>
      <c r="W43" s="67">
        <v>17520.825799999999</v>
      </c>
      <c r="X43" s="67">
        <v>75414.865349999993</v>
      </c>
      <c r="Y43" s="68">
        <f t="shared" si="4"/>
        <v>8.966290677234702E-2</v>
      </c>
      <c r="Z43" s="68">
        <f t="shared" si="5"/>
        <v>0.37097018480635663</v>
      </c>
    </row>
    <row r="44" spans="2:26" x14ac:dyDescent="0.2">
      <c r="B44" s="45" t="s">
        <v>107</v>
      </c>
      <c r="C44" s="45">
        <v>7</v>
      </c>
      <c r="D44" s="39"/>
      <c r="E44" s="39"/>
      <c r="F44" s="49"/>
      <c r="G44" s="49"/>
      <c r="H44" s="63"/>
      <c r="I44" s="63"/>
      <c r="J44" s="49"/>
      <c r="K44" s="49"/>
      <c r="L44" s="63"/>
      <c r="M44" s="63"/>
      <c r="N44" s="73"/>
      <c r="O44" s="45" t="s">
        <v>107</v>
      </c>
      <c r="P44" s="45">
        <v>7</v>
      </c>
      <c r="Q44" s="67">
        <v>114344.121744</v>
      </c>
      <c r="R44" s="67">
        <v>146113.36629999999</v>
      </c>
      <c r="S44" s="67">
        <v>0</v>
      </c>
      <c r="T44" s="67">
        <v>0</v>
      </c>
      <c r="U44" s="68">
        <f t="shared" si="2"/>
        <v>0</v>
      </c>
      <c r="V44" s="68">
        <f t="shared" si="3"/>
        <v>0</v>
      </c>
      <c r="W44" s="67">
        <v>0</v>
      </c>
      <c r="X44" s="67">
        <v>0</v>
      </c>
      <c r="Y44" s="68">
        <f t="shared" si="4"/>
        <v>0</v>
      </c>
      <c r="Z44" s="68">
        <f t="shared" si="5"/>
        <v>0</v>
      </c>
    </row>
    <row r="45" spans="2:26" x14ac:dyDescent="0.2">
      <c r="B45" s="45" t="s">
        <v>107</v>
      </c>
      <c r="C45" s="45">
        <v>8</v>
      </c>
      <c r="D45" s="39"/>
      <c r="E45" s="39"/>
      <c r="F45" s="49"/>
      <c r="G45" s="49"/>
      <c r="H45" s="63"/>
      <c r="I45" s="63"/>
      <c r="J45" s="49"/>
      <c r="K45" s="49"/>
      <c r="L45" s="63"/>
      <c r="M45" s="63"/>
      <c r="N45" s="73"/>
      <c r="O45" s="45" t="s">
        <v>107</v>
      </c>
      <c r="P45" s="45">
        <v>8</v>
      </c>
      <c r="Q45" s="67">
        <v>46363.867332000002</v>
      </c>
      <c r="R45" s="67">
        <v>77008.212419999996</v>
      </c>
      <c r="S45" s="67">
        <v>0</v>
      </c>
      <c r="T45" s="67">
        <v>12704.0781960358</v>
      </c>
      <c r="U45" s="68">
        <f t="shared" si="2"/>
        <v>0</v>
      </c>
      <c r="V45" s="68">
        <f t="shared" si="3"/>
        <v>0.16497043363048369</v>
      </c>
      <c r="W45" s="67">
        <v>0</v>
      </c>
      <c r="X45" s="67">
        <v>14519.557205999999</v>
      </c>
      <c r="Y45" s="68">
        <f t="shared" si="4"/>
        <v>0</v>
      </c>
      <c r="Z45" s="68">
        <f t="shared" si="5"/>
        <v>0.188545568709099</v>
      </c>
    </row>
    <row r="46" spans="2:26" x14ac:dyDescent="0.2">
      <c r="B46" s="45" t="s">
        <v>108</v>
      </c>
      <c r="C46" s="45">
        <v>1</v>
      </c>
      <c r="D46" s="39"/>
      <c r="E46" s="39"/>
      <c r="F46" s="49"/>
      <c r="G46" s="49"/>
      <c r="H46" s="63"/>
      <c r="I46" s="63"/>
      <c r="J46" s="49"/>
      <c r="K46" s="49"/>
      <c r="L46" s="63"/>
      <c r="M46" s="63"/>
      <c r="N46" s="73"/>
      <c r="O46" s="45" t="s">
        <v>108</v>
      </c>
      <c r="P46" s="45">
        <v>1</v>
      </c>
      <c r="Q46" s="67">
        <v>116162.957276</v>
      </c>
      <c r="R46" s="67">
        <v>120294.763938</v>
      </c>
      <c r="S46" s="67">
        <v>0</v>
      </c>
      <c r="T46" s="67">
        <v>0</v>
      </c>
      <c r="U46" s="68">
        <f t="shared" si="2"/>
        <v>0</v>
      </c>
      <c r="V46" s="68">
        <f t="shared" si="3"/>
        <v>0</v>
      </c>
      <c r="W46" s="67">
        <v>0</v>
      </c>
      <c r="X46" s="67">
        <v>0</v>
      </c>
      <c r="Y46" s="68">
        <f t="shared" si="4"/>
        <v>0</v>
      </c>
      <c r="Z46" s="68">
        <f t="shared" si="5"/>
        <v>0</v>
      </c>
    </row>
    <row r="47" spans="2:26" x14ac:dyDescent="0.2">
      <c r="B47" s="45" t="s">
        <v>108</v>
      </c>
      <c r="C47" s="45">
        <v>2</v>
      </c>
      <c r="D47" s="39"/>
      <c r="E47" s="39"/>
      <c r="F47" s="49"/>
      <c r="G47" s="49"/>
      <c r="H47" s="63"/>
      <c r="I47" s="63"/>
      <c r="J47" s="49"/>
      <c r="K47" s="49"/>
      <c r="L47" s="63"/>
      <c r="M47" s="63"/>
      <c r="N47" s="73"/>
      <c r="O47" s="45" t="s">
        <v>108</v>
      </c>
      <c r="P47" s="45">
        <v>2</v>
      </c>
      <c r="Q47" s="67">
        <v>310621.088108</v>
      </c>
      <c r="R47" s="67">
        <v>308156.63521400001</v>
      </c>
      <c r="S47" s="67">
        <v>0</v>
      </c>
      <c r="T47" s="67">
        <v>0</v>
      </c>
      <c r="U47" s="68">
        <f t="shared" si="2"/>
        <v>0</v>
      </c>
      <c r="V47" s="68">
        <f t="shared" si="3"/>
        <v>0</v>
      </c>
      <c r="W47" s="67">
        <v>0</v>
      </c>
      <c r="X47" s="67">
        <v>0</v>
      </c>
      <c r="Y47" s="68">
        <f t="shared" si="4"/>
        <v>0</v>
      </c>
      <c r="Z47" s="68">
        <f t="shared" si="5"/>
        <v>0</v>
      </c>
    </row>
    <row r="48" spans="2:26" x14ac:dyDescent="0.2">
      <c r="B48" s="45" t="s">
        <v>108</v>
      </c>
      <c r="C48" s="45">
        <v>3</v>
      </c>
      <c r="D48" s="39"/>
      <c r="E48" s="39"/>
      <c r="F48" s="49"/>
      <c r="G48" s="49"/>
      <c r="H48" s="63"/>
      <c r="I48" s="63"/>
      <c r="J48" s="49"/>
      <c r="K48" s="49"/>
      <c r="L48" s="63"/>
      <c r="M48" s="63"/>
      <c r="N48" s="73"/>
      <c r="O48" s="45" t="s">
        <v>108</v>
      </c>
      <c r="P48" s="45">
        <v>3</v>
      </c>
      <c r="Q48" s="67">
        <v>454594.77963499998</v>
      </c>
      <c r="R48" s="67">
        <v>417809.737547</v>
      </c>
      <c r="S48" s="67">
        <v>0</v>
      </c>
      <c r="T48" s="67">
        <v>0</v>
      </c>
      <c r="U48" s="68">
        <f t="shared" si="2"/>
        <v>0</v>
      </c>
      <c r="V48" s="68">
        <f t="shared" si="3"/>
        <v>0</v>
      </c>
      <c r="W48" s="67">
        <v>0</v>
      </c>
      <c r="X48" s="67">
        <v>0</v>
      </c>
      <c r="Y48" s="68">
        <f t="shared" si="4"/>
        <v>0</v>
      </c>
      <c r="Z48" s="68">
        <f t="shared" si="5"/>
        <v>0</v>
      </c>
    </row>
    <row r="49" spans="2:26" x14ac:dyDescent="0.2">
      <c r="B49" s="45" t="s">
        <v>108</v>
      </c>
      <c r="C49" s="45">
        <v>4</v>
      </c>
      <c r="D49" s="39"/>
      <c r="E49" s="39"/>
      <c r="F49" s="49"/>
      <c r="G49" s="49"/>
      <c r="H49" s="63"/>
      <c r="I49" s="63"/>
      <c r="J49" s="49"/>
      <c r="K49" s="49"/>
      <c r="L49" s="63"/>
      <c r="M49" s="63"/>
      <c r="N49" s="73"/>
      <c r="O49" s="45" t="s">
        <v>108</v>
      </c>
      <c r="P49" s="45">
        <v>4</v>
      </c>
      <c r="Q49" s="67">
        <v>348784.43214699998</v>
      </c>
      <c r="R49" s="67">
        <v>390301.24397200003</v>
      </c>
      <c r="S49" s="67">
        <v>0</v>
      </c>
      <c r="T49" s="67">
        <v>0</v>
      </c>
      <c r="U49" s="68">
        <f t="shared" si="2"/>
        <v>0</v>
      </c>
      <c r="V49" s="68">
        <f t="shared" si="3"/>
        <v>0</v>
      </c>
      <c r="W49" s="67">
        <v>0</v>
      </c>
      <c r="X49" s="67">
        <v>0</v>
      </c>
      <c r="Y49" s="68">
        <f t="shared" si="4"/>
        <v>0</v>
      </c>
      <c r="Z49" s="68">
        <f t="shared" si="5"/>
        <v>0</v>
      </c>
    </row>
    <row r="50" spans="2:26" x14ac:dyDescent="0.2">
      <c r="B50" s="45" t="s">
        <v>108</v>
      </c>
      <c r="C50" s="45">
        <v>5</v>
      </c>
      <c r="D50" s="39"/>
      <c r="E50" s="39"/>
      <c r="F50" s="49"/>
      <c r="G50" s="49"/>
      <c r="H50" s="63"/>
      <c r="I50" s="63"/>
      <c r="J50" s="49"/>
      <c r="K50" s="49"/>
      <c r="L50" s="63"/>
      <c r="M50" s="63"/>
      <c r="N50" s="73"/>
      <c r="O50" s="45" t="s">
        <v>108</v>
      </c>
      <c r="P50" s="45">
        <v>5</v>
      </c>
      <c r="Q50" s="67">
        <v>322237.15209599998</v>
      </c>
      <c r="R50" s="67">
        <v>355162.92462100001</v>
      </c>
      <c r="S50" s="67">
        <v>0</v>
      </c>
      <c r="T50" s="67">
        <v>341.51834928259598</v>
      </c>
      <c r="U50" s="68">
        <f t="shared" si="2"/>
        <v>0</v>
      </c>
      <c r="V50" s="68">
        <f t="shared" si="3"/>
        <v>9.6158220807263486E-4</v>
      </c>
      <c r="W50" s="67">
        <v>0</v>
      </c>
      <c r="X50" s="67">
        <v>1596.7493320000001</v>
      </c>
      <c r="Y50" s="68">
        <f t="shared" si="4"/>
        <v>0</v>
      </c>
      <c r="Z50" s="68">
        <f t="shared" si="5"/>
        <v>4.4958221179868833E-3</v>
      </c>
    </row>
    <row r="51" spans="2:26" x14ac:dyDescent="0.2">
      <c r="B51" s="45" t="s">
        <v>108</v>
      </c>
      <c r="C51" s="45">
        <v>6</v>
      </c>
      <c r="D51" s="39"/>
      <c r="E51" s="39"/>
      <c r="F51" s="49"/>
      <c r="G51" s="49"/>
      <c r="H51" s="63"/>
      <c r="I51" s="63"/>
      <c r="J51" s="49"/>
      <c r="K51" s="49"/>
      <c r="L51" s="63"/>
      <c r="M51" s="63"/>
      <c r="N51" s="73"/>
      <c r="O51" s="45" t="s">
        <v>108</v>
      </c>
      <c r="P51" s="45">
        <v>6</v>
      </c>
      <c r="Q51" s="67">
        <v>195407.73805700001</v>
      </c>
      <c r="R51" s="67">
        <v>203290.90702899999</v>
      </c>
      <c r="S51" s="67">
        <v>336.72617270871098</v>
      </c>
      <c r="T51" s="67">
        <v>0</v>
      </c>
      <c r="U51" s="68">
        <f t="shared" si="2"/>
        <v>1.7231977405648526E-3</v>
      </c>
      <c r="V51" s="68">
        <f t="shared" si="3"/>
        <v>0</v>
      </c>
      <c r="W51" s="67">
        <v>1574.343787</v>
      </c>
      <c r="X51" s="67">
        <v>0</v>
      </c>
      <c r="Y51" s="68">
        <f t="shared" si="4"/>
        <v>8.0567115849873219E-3</v>
      </c>
      <c r="Z51" s="68">
        <f t="shared" si="5"/>
        <v>0</v>
      </c>
    </row>
    <row r="52" spans="2:26" x14ac:dyDescent="0.2">
      <c r="B52" s="45" t="s">
        <v>108</v>
      </c>
      <c r="C52" s="45">
        <v>7</v>
      </c>
      <c r="D52" s="39"/>
      <c r="E52" s="39"/>
      <c r="F52" s="49"/>
      <c r="G52" s="49"/>
      <c r="H52" s="63"/>
      <c r="I52" s="63"/>
      <c r="J52" s="49"/>
      <c r="K52" s="49"/>
      <c r="L52" s="63"/>
      <c r="M52" s="63"/>
      <c r="N52" s="73"/>
      <c r="O52" s="45" t="s">
        <v>108</v>
      </c>
      <c r="P52" s="45">
        <v>7</v>
      </c>
      <c r="Q52" s="67">
        <v>114344.121744</v>
      </c>
      <c r="R52" s="67">
        <v>146113.36629999999</v>
      </c>
      <c r="S52" s="67">
        <v>0</v>
      </c>
      <c r="T52" s="67">
        <v>0</v>
      </c>
      <c r="U52" s="68">
        <f t="shared" si="2"/>
        <v>0</v>
      </c>
      <c r="V52" s="68">
        <f t="shared" si="3"/>
        <v>0</v>
      </c>
      <c r="W52" s="67">
        <v>0</v>
      </c>
      <c r="X52" s="67">
        <v>0</v>
      </c>
      <c r="Y52" s="68">
        <f t="shared" si="4"/>
        <v>0</v>
      </c>
      <c r="Z52" s="68">
        <f t="shared" si="5"/>
        <v>0</v>
      </c>
    </row>
    <row r="53" spans="2:26" x14ac:dyDescent="0.2">
      <c r="B53" s="45" t="s">
        <v>108</v>
      </c>
      <c r="C53" s="45">
        <v>8</v>
      </c>
      <c r="D53" s="39"/>
      <c r="E53" s="39"/>
      <c r="F53" s="49"/>
      <c r="G53" s="49"/>
      <c r="H53" s="63"/>
      <c r="I53" s="63"/>
      <c r="J53" s="49"/>
      <c r="K53" s="49"/>
      <c r="L53" s="63"/>
      <c r="M53" s="63"/>
      <c r="N53" s="73"/>
      <c r="O53" s="45" t="s">
        <v>108</v>
      </c>
      <c r="P53" s="45">
        <v>8</v>
      </c>
      <c r="Q53" s="67">
        <v>46363.867332000002</v>
      </c>
      <c r="R53" s="67">
        <v>77008.212419999996</v>
      </c>
      <c r="S53" s="67">
        <v>0</v>
      </c>
      <c r="T53" s="67">
        <v>0</v>
      </c>
      <c r="U53" s="68">
        <f t="shared" si="2"/>
        <v>0</v>
      </c>
      <c r="V53" s="68">
        <f t="shared" si="3"/>
        <v>0</v>
      </c>
      <c r="W53" s="67">
        <v>0</v>
      </c>
      <c r="X53" s="67">
        <v>0</v>
      </c>
      <c r="Y53" s="68">
        <f t="shared" si="4"/>
        <v>0</v>
      </c>
      <c r="Z53" s="68">
        <f t="shared" si="5"/>
        <v>0</v>
      </c>
    </row>
    <row r="54" spans="2:26" x14ac:dyDescent="0.2">
      <c r="B54" s="45" t="s">
        <v>109</v>
      </c>
      <c r="C54" s="45">
        <v>1</v>
      </c>
      <c r="D54" s="39"/>
      <c r="E54" s="39"/>
      <c r="F54" s="49"/>
      <c r="G54" s="49"/>
      <c r="H54" s="63"/>
      <c r="I54" s="63"/>
      <c r="J54" s="49"/>
      <c r="K54" s="49"/>
      <c r="L54" s="63"/>
      <c r="M54" s="63"/>
      <c r="N54" s="73"/>
      <c r="O54" s="45" t="s">
        <v>109</v>
      </c>
      <c r="P54" s="45">
        <v>1</v>
      </c>
      <c r="Q54" s="67">
        <v>116162.957276</v>
      </c>
      <c r="R54" s="67">
        <v>120294.763938</v>
      </c>
      <c r="S54" s="67">
        <v>0</v>
      </c>
      <c r="T54" s="67">
        <v>0</v>
      </c>
      <c r="U54" s="68">
        <f t="shared" si="2"/>
        <v>0</v>
      </c>
      <c r="V54" s="68">
        <f t="shared" si="3"/>
        <v>0</v>
      </c>
      <c r="W54" s="67">
        <v>0</v>
      </c>
      <c r="X54" s="67">
        <v>0</v>
      </c>
      <c r="Y54" s="68">
        <f t="shared" si="4"/>
        <v>0</v>
      </c>
      <c r="Z54" s="68">
        <f t="shared" si="5"/>
        <v>0</v>
      </c>
    </row>
    <row r="55" spans="2:26" x14ac:dyDescent="0.2">
      <c r="B55" s="45" t="s">
        <v>109</v>
      </c>
      <c r="C55" s="45">
        <v>2</v>
      </c>
      <c r="D55" s="39"/>
      <c r="E55" s="39"/>
      <c r="F55" s="49"/>
      <c r="G55" s="49"/>
      <c r="H55" s="63"/>
      <c r="I55" s="63"/>
      <c r="J55" s="49"/>
      <c r="K55" s="49"/>
      <c r="L55" s="63"/>
      <c r="M55" s="63"/>
      <c r="N55" s="73"/>
      <c r="O55" s="45" t="s">
        <v>109</v>
      </c>
      <c r="P55" s="45">
        <v>2</v>
      </c>
      <c r="Q55" s="67">
        <v>310621.088108</v>
      </c>
      <c r="R55" s="67">
        <v>308156.63521400001</v>
      </c>
      <c r="S55" s="67">
        <v>0</v>
      </c>
      <c r="T55" s="67">
        <v>0</v>
      </c>
      <c r="U55" s="68">
        <f t="shared" si="2"/>
        <v>0</v>
      </c>
      <c r="V55" s="68">
        <f t="shared" si="3"/>
        <v>0</v>
      </c>
      <c r="W55" s="67">
        <v>0</v>
      </c>
      <c r="X55" s="67">
        <v>0</v>
      </c>
      <c r="Y55" s="68">
        <f t="shared" si="4"/>
        <v>0</v>
      </c>
      <c r="Z55" s="68">
        <f t="shared" si="5"/>
        <v>0</v>
      </c>
    </row>
    <row r="56" spans="2:26" x14ac:dyDescent="0.2">
      <c r="B56" s="45" t="s">
        <v>109</v>
      </c>
      <c r="C56" s="45">
        <v>3</v>
      </c>
      <c r="D56" s="39"/>
      <c r="E56" s="39"/>
      <c r="F56" s="49"/>
      <c r="G56" s="49"/>
      <c r="H56" s="63"/>
      <c r="I56" s="63"/>
      <c r="J56" s="49"/>
      <c r="K56" s="49"/>
      <c r="L56" s="63"/>
      <c r="M56" s="63"/>
      <c r="N56" s="73"/>
      <c r="O56" s="45" t="s">
        <v>109</v>
      </c>
      <c r="P56" s="45">
        <v>3</v>
      </c>
      <c r="Q56" s="67">
        <v>454594.77963499998</v>
      </c>
      <c r="R56" s="67">
        <v>417809.737547</v>
      </c>
      <c r="S56" s="67">
        <v>0</v>
      </c>
      <c r="T56" s="67">
        <v>45703.042833967498</v>
      </c>
      <c r="U56" s="68">
        <f t="shared" si="2"/>
        <v>0</v>
      </c>
      <c r="V56" s="68">
        <f t="shared" si="3"/>
        <v>0.1093872131901337</v>
      </c>
      <c r="W56" s="67">
        <v>0</v>
      </c>
      <c r="X56" s="67">
        <v>64300.866915999999</v>
      </c>
      <c r="Y56" s="68">
        <f t="shared" si="4"/>
        <v>0</v>
      </c>
      <c r="Z56" s="68">
        <f t="shared" si="5"/>
        <v>0.1538998762774568</v>
      </c>
    </row>
    <row r="57" spans="2:26" x14ac:dyDescent="0.2">
      <c r="B57" s="45" t="s">
        <v>109</v>
      </c>
      <c r="C57" s="45">
        <v>4</v>
      </c>
      <c r="D57" s="39"/>
      <c r="E57" s="39"/>
      <c r="F57" s="49"/>
      <c r="G57" s="49"/>
      <c r="H57" s="63"/>
      <c r="I57" s="63"/>
      <c r="J57" s="49"/>
      <c r="K57" s="49"/>
      <c r="L57" s="63"/>
      <c r="M57" s="63"/>
      <c r="N57" s="73"/>
      <c r="O57" s="45" t="s">
        <v>109</v>
      </c>
      <c r="P57" s="45">
        <v>4</v>
      </c>
      <c r="Q57" s="67">
        <v>348784.43214699998</v>
      </c>
      <c r="R57" s="67">
        <v>390301.24397200003</v>
      </c>
      <c r="S57" s="67">
        <v>0</v>
      </c>
      <c r="T57" s="67">
        <v>75282.050093405298</v>
      </c>
      <c r="U57" s="68">
        <f t="shared" si="2"/>
        <v>0</v>
      </c>
      <c r="V57" s="68">
        <f t="shared" si="3"/>
        <v>0.19288191174406297</v>
      </c>
      <c r="W57" s="67">
        <v>0</v>
      </c>
      <c r="X57" s="67">
        <v>112043.223713</v>
      </c>
      <c r="Y57" s="68">
        <f t="shared" si="4"/>
        <v>0</v>
      </c>
      <c r="Z57" s="68">
        <f t="shared" si="5"/>
        <v>0.28706857957398135</v>
      </c>
    </row>
    <row r="58" spans="2:26" x14ac:dyDescent="0.2">
      <c r="B58" s="45" t="s">
        <v>109</v>
      </c>
      <c r="C58" s="45">
        <v>5</v>
      </c>
      <c r="D58" s="39"/>
      <c r="E58" s="39"/>
      <c r="F58" s="49"/>
      <c r="G58" s="49"/>
      <c r="H58" s="63"/>
      <c r="I58" s="63"/>
      <c r="J58" s="49"/>
      <c r="K58" s="49"/>
      <c r="L58" s="63"/>
      <c r="M58" s="63"/>
      <c r="N58" s="73"/>
      <c r="O58" s="45" t="s">
        <v>109</v>
      </c>
      <c r="P58" s="45">
        <v>5</v>
      </c>
      <c r="Q58" s="67">
        <v>322237.15209599998</v>
      </c>
      <c r="R58" s="67">
        <v>355162.92462100001</v>
      </c>
      <c r="S58" s="67">
        <v>0</v>
      </c>
      <c r="T58" s="67">
        <v>12502.079541953301</v>
      </c>
      <c r="U58" s="68">
        <f t="shared" si="2"/>
        <v>0</v>
      </c>
      <c r="V58" s="68">
        <f t="shared" si="3"/>
        <v>3.5200970245682223E-2</v>
      </c>
      <c r="W58" s="67">
        <v>0</v>
      </c>
      <c r="X58" s="67">
        <v>17106.995175</v>
      </c>
      <c r="Y58" s="68">
        <f t="shared" si="4"/>
        <v>0</v>
      </c>
      <c r="Z58" s="68">
        <f t="shared" si="5"/>
        <v>4.8166613092442419E-2</v>
      </c>
    </row>
    <row r="59" spans="2:26" x14ac:dyDescent="0.2">
      <c r="B59" s="45" t="s">
        <v>109</v>
      </c>
      <c r="C59" s="45">
        <v>6</v>
      </c>
      <c r="D59" s="39"/>
      <c r="E59" s="39"/>
      <c r="F59" s="49"/>
      <c r="G59" s="49"/>
      <c r="H59" s="63"/>
      <c r="I59" s="63"/>
      <c r="J59" s="49"/>
      <c r="K59" s="49"/>
      <c r="L59" s="63"/>
      <c r="M59" s="63"/>
      <c r="N59" s="73"/>
      <c r="O59" s="45" t="s">
        <v>109</v>
      </c>
      <c r="P59" s="45">
        <v>6</v>
      </c>
      <c r="Q59" s="67">
        <v>195407.73805700001</v>
      </c>
      <c r="R59" s="67">
        <v>203290.90702899999</v>
      </c>
      <c r="S59" s="67">
        <v>6188.2134764638904</v>
      </c>
      <c r="T59" s="67">
        <v>0</v>
      </c>
      <c r="U59" s="68">
        <f t="shared" si="2"/>
        <v>3.1668210982815852E-2</v>
      </c>
      <c r="V59" s="68">
        <f t="shared" si="3"/>
        <v>0</v>
      </c>
      <c r="W59" s="67">
        <v>10802.673497</v>
      </c>
      <c r="X59" s="67">
        <v>0</v>
      </c>
      <c r="Y59" s="68">
        <f t="shared" si="4"/>
        <v>5.5282731402626871E-2</v>
      </c>
      <c r="Z59" s="68">
        <f t="shared" si="5"/>
        <v>0</v>
      </c>
    </row>
    <row r="60" spans="2:26" x14ac:dyDescent="0.2">
      <c r="B60" s="45" t="s">
        <v>109</v>
      </c>
      <c r="C60" s="45">
        <v>7</v>
      </c>
      <c r="D60" s="39"/>
      <c r="E60" s="39"/>
      <c r="F60" s="49"/>
      <c r="G60" s="49"/>
      <c r="H60" s="63"/>
      <c r="I60" s="63"/>
      <c r="J60" s="49"/>
      <c r="K60" s="49"/>
      <c r="L60" s="63"/>
      <c r="M60" s="63"/>
      <c r="N60" s="73"/>
      <c r="O60" s="45" t="s">
        <v>109</v>
      </c>
      <c r="P60" s="45">
        <v>7</v>
      </c>
      <c r="Q60" s="67">
        <v>114344.121744</v>
      </c>
      <c r="R60" s="67">
        <v>146113.36629999999</v>
      </c>
      <c r="S60" s="67">
        <v>2329.0461423156198</v>
      </c>
      <c r="T60" s="67">
        <v>0</v>
      </c>
      <c r="U60" s="68">
        <f t="shared" si="2"/>
        <v>2.0368743987819665E-2</v>
      </c>
      <c r="V60" s="68">
        <f t="shared" si="3"/>
        <v>0</v>
      </c>
      <c r="W60" s="67">
        <v>3360.8044049999999</v>
      </c>
      <c r="X60" s="67">
        <v>0</v>
      </c>
      <c r="Y60" s="68">
        <f t="shared" si="4"/>
        <v>2.9392017304784204E-2</v>
      </c>
      <c r="Z60" s="68">
        <f t="shared" si="5"/>
        <v>0</v>
      </c>
    </row>
    <row r="61" spans="2:26" x14ac:dyDescent="0.2">
      <c r="B61" s="45" t="s">
        <v>109</v>
      </c>
      <c r="C61" s="45">
        <v>8</v>
      </c>
      <c r="D61" s="39"/>
      <c r="E61" s="39"/>
      <c r="F61" s="49"/>
      <c r="G61" s="49"/>
      <c r="H61" s="63"/>
      <c r="I61" s="63"/>
      <c r="J61" s="49"/>
      <c r="K61" s="49"/>
      <c r="L61" s="63"/>
      <c r="M61" s="63"/>
      <c r="N61" s="73"/>
      <c r="O61" s="45" t="s">
        <v>109</v>
      </c>
      <c r="P61" s="45">
        <v>8</v>
      </c>
      <c r="Q61" s="67">
        <v>46363.867332000002</v>
      </c>
      <c r="R61" s="67">
        <v>77008.212419999996</v>
      </c>
      <c r="S61" s="67">
        <v>0</v>
      </c>
      <c r="T61" s="67">
        <v>0</v>
      </c>
      <c r="U61" s="68">
        <f t="shared" si="2"/>
        <v>0</v>
      </c>
      <c r="V61" s="68">
        <f t="shared" si="3"/>
        <v>0</v>
      </c>
      <c r="W61" s="67">
        <v>0</v>
      </c>
      <c r="X61" s="67">
        <v>0</v>
      </c>
      <c r="Y61" s="68">
        <f t="shared" si="4"/>
        <v>0</v>
      </c>
      <c r="Z61" s="68">
        <f t="shared" si="5"/>
        <v>0</v>
      </c>
    </row>
    <row r="62" spans="2:26" x14ac:dyDescent="0.2">
      <c r="B62" s="45" t="s">
        <v>110</v>
      </c>
      <c r="C62" s="45">
        <v>1</v>
      </c>
      <c r="D62" s="39"/>
      <c r="E62" s="39"/>
      <c r="F62" s="49"/>
      <c r="G62" s="49"/>
      <c r="H62" s="63"/>
      <c r="I62" s="63"/>
      <c r="J62" s="49"/>
      <c r="K62" s="49"/>
      <c r="L62" s="63"/>
      <c r="M62" s="63"/>
      <c r="N62" s="73"/>
      <c r="O62" s="45" t="s">
        <v>110</v>
      </c>
      <c r="P62" s="45">
        <v>1</v>
      </c>
      <c r="Q62" s="67">
        <v>116162.957276</v>
      </c>
      <c r="R62" s="67">
        <v>120294.763938</v>
      </c>
      <c r="S62" s="67">
        <v>0</v>
      </c>
      <c r="T62" s="67">
        <v>0</v>
      </c>
      <c r="U62" s="68">
        <f t="shared" si="2"/>
        <v>0</v>
      </c>
      <c r="V62" s="68">
        <f t="shared" si="3"/>
        <v>0</v>
      </c>
      <c r="W62" s="67">
        <v>0</v>
      </c>
      <c r="X62" s="67">
        <v>0</v>
      </c>
      <c r="Y62" s="68">
        <f t="shared" si="4"/>
        <v>0</v>
      </c>
      <c r="Z62" s="68">
        <f t="shared" si="5"/>
        <v>0</v>
      </c>
    </row>
    <row r="63" spans="2:26" x14ac:dyDescent="0.2">
      <c r="B63" s="45" t="s">
        <v>110</v>
      </c>
      <c r="C63" s="45">
        <v>2</v>
      </c>
      <c r="D63" s="39"/>
      <c r="E63" s="39"/>
      <c r="F63" s="49"/>
      <c r="G63" s="49"/>
      <c r="H63" s="63"/>
      <c r="I63" s="63"/>
      <c r="J63" s="49"/>
      <c r="K63" s="49"/>
      <c r="L63" s="63"/>
      <c r="M63" s="63"/>
      <c r="N63" s="73"/>
      <c r="O63" s="45" t="s">
        <v>110</v>
      </c>
      <c r="P63" s="45">
        <v>2</v>
      </c>
      <c r="Q63" s="67">
        <v>310621.088108</v>
      </c>
      <c r="R63" s="67">
        <v>308156.63521400001</v>
      </c>
      <c r="S63" s="67">
        <v>0</v>
      </c>
      <c r="T63" s="67">
        <v>0</v>
      </c>
      <c r="U63" s="68">
        <f t="shared" si="2"/>
        <v>0</v>
      </c>
      <c r="V63" s="68">
        <f t="shared" si="3"/>
        <v>0</v>
      </c>
      <c r="W63" s="67">
        <v>0</v>
      </c>
      <c r="X63" s="67">
        <v>0</v>
      </c>
      <c r="Y63" s="68">
        <f t="shared" si="4"/>
        <v>0</v>
      </c>
      <c r="Z63" s="68">
        <f t="shared" si="5"/>
        <v>0</v>
      </c>
    </row>
    <row r="64" spans="2:26" x14ac:dyDescent="0.2">
      <c r="B64" s="45" t="s">
        <v>110</v>
      </c>
      <c r="C64" s="45">
        <v>3</v>
      </c>
      <c r="D64" s="39"/>
      <c r="E64" s="39"/>
      <c r="F64" s="49"/>
      <c r="G64" s="49"/>
      <c r="H64" s="63"/>
      <c r="I64" s="63"/>
      <c r="J64" s="49"/>
      <c r="K64" s="49"/>
      <c r="L64" s="63"/>
      <c r="M64" s="63"/>
      <c r="N64" s="73"/>
      <c r="O64" s="45" t="s">
        <v>110</v>
      </c>
      <c r="P64" s="45">
        <v>3</v>
      </c>
      <c r="Q64" s="67">
        <v>454594.77963499998</v>
      </c>
      <c r="R64" s="67">
        <v>417809.737547</v>
      </c>
      <c r="S64" s="67">
        <v>0</v>
      </c>
      <c r="T64" s="67">
        <v>15444.0595943016</v>
      </c>
      <c r="U64" s="68">
        <f t="shared" si="2"/>
        <v>0</v>
      </c>
      <c r="V64" s="68">
        <f t="shared" si="3"/>
        <v>3.6964336171232189E-2</v>
      </c>
      <c r="W64" s="67">
        <v>0</v>
      </c>
      <c r="X64" s="67">
        <v>24589.559088999998</v>
      </c>
      <c r="Y64" s="68">
        <f t="shared" si="4"/>
        <v>0</v>
      </c>
      <c r="Z64" s="68">
        <f t="shared" si="5"/>
        <v>5.8853484922030769E-2</v>
      </c>
    </row>
    <row r="65" spans="2:26" x14ac:dyDescent="0.2">
      <c r="B65" s="45" t="s">
        <v>110</v>
      </c>
      <c r="C65" s="45">
        <v>4</v>
      </c>
      <c r="D65" s="39"/>
      <c r="E65" s="39"/>
      <c r="F65" s="49"/>
      <c r="G65" s="49"/>
      <c r="H65" s="63"/>
      <c r="I65" s="63"/>
      <c r="J65" s="49"/>
      <c r="K65" s="49"/>
      <c r="L65" s="63"/>
      <c r="M65" s="63"/>
      <c r="N65" s="73"/>
      <c r="O65" s="45" t="s">
        <v>110</v>
      </c>
      <c r="P65" s="45">
        <v>4</v>
      </c>
      <c r="Q65" s="67">
        <v>348784.43214699998</v>
      </c>
      <c r="R65" s="67">
        <v>390301.24397200003</v>
      </c>
      <c r="S65" s="67">
        <v>0</v>
      </c>
      <c r="T65" s="67">
        <v>1692.8542848054699</v>
      </c>
      <c r="U65" s="68">
        <f t="shared" si="2"/>
        <v>0</v>
      </c>
      <c r="V65" s="68">
        <f t="shared" si="3"/>
        <v>4.3373017917588659E-3</v>
      </c>
      <c r="W65" s="67">
        <v>0</v>
      </c>
      <c r="X65" s="67">
        <v>50021.515811999998</v>
      </c>
      <c r="Y65" s="68">
        <f t="shared" si="4"/>
        <v>0</v>
      </c>
      <c r="Z65" s="68">
        <f t="shared" si="5"/>
        <v>0.12816130254401267</v>
      </c>
    </row>
    <row r="66" spans="2:26" x14ac:dyDescent="0.2">
      <c r="B66" s="45" t="s">
        <v>110</v>
      </c>
      <c r="C66" s="45">
        <v>5</v>
      </c>
      <c r="D66" s="39"/>
      <c r="E66" s="39"/>
      <c r="F66" s="49"/>
      <c r="G66" s="49"/>
      <c r="H66" s="63"/>
      <c r="I66" s="63"/>
      <c r="J66" s="49"/>
      <c r="K66" s="49"/>
      <c r="L66" s="63"/>
      <c r="M66" s="63"/>
      <c r="N66" s="73"/>
      <c r="O66" s="45" t="s">
        <v>110</v>
      </c>
      <c r="P66" s="45">
        <v>5</v>
      </c>
      <c r="Q66" s="67">
        <v>322237.15209599998</v>
      </c>
      <c r="R66" s="67">
        <v>355162.92462100001</v>
      </c>
      <c r="S66" s="67">
        <v>107.35725377191601</v>
      </c>
      <c r="T66" s="67">
        <v>3825.4590865892001</v>
      </c>
      <c r="U66" s="68">
        <f t="shared" si="2"/>
        <v>3.3316224734984142E-4</v>
      </c>
      <c r="V66" s="68">
        <f t="shared" si="3"/>
        <v>1.0770997819300559E-2</v>
      </c>
      <c r="W66" s="67">
        <v>942.33036500000003</v>
      </c>
      <c r="X66" s="67">
        <v>21718.720587</v>
      </c>
      <c r="Y66" s="68">
        <f t="shared" si="4"/>
        <v>2.9243380500062997E-3</v>
      </c>
      <c r="Z66" s="68">
        <f t="shared" si="5"/>
        <v>6.1151429615510657E-2</v>
      </c>
    </row>
    <row r="67" spans="2:26" x14ac:dyDescent="0.2">
      <c r="B67" s="45" t="s">
        <v>110</v>
      </c>
      <c r="C67" s="45">
        <v>6</v>
      </c>
      <c r="D67" s="39"/>
      <c r="E67" s="39"/>
      <c r="F67" s="49"/>
      <c r="G67" s="49"/>
      <c r="H67" s="63"/>
      <c r="I67" s="63"/>
      <c r="J67" s="49"/>
      <c r="K67" s="49"/>
      <c r="L67" s="63"/>
      <c r="M67" s="63"/>
      <c r="N67" s="73"/>
      <c r="O67" s="45" t="s">
        <v>110</v>
      </c>
      <c r="P67" s="45">
        <v>6</v>
      </c>
      <c r="Q67" s="67">
        <v>195407.73805700001</v>
      </c>
      <c r="R67" s="67">
        <v>203290.90702899999</v>
      </c>
      <c r="S67" s="67">
        <v>107.076348146821</v>
      </c>
      <c r="T67" s="67">
        <v>1287.0239159311</v>
      </c>
      <c r="U67" s="68">
        <f t="shared" si="2"/>
        <v>5.4796370507900294E-4</v>
      </c>
      <c r="V67" s="68">
        <f t="shared" si="3"/>
        <v>6.3309467931465455E-3</v>
      </c>
      <c r="W67" s="67">
        <v>2162.733455</v>
      </c>
      <c r="X67" s="67">
        <v>39850.379886000002</v>
      </c>
      <c r="Y67" s="68">
        <f t="shared" si="4"/>
        <v>1.1067798422440853E-2</v>
      </c>
      <c r="Z67" s="68">
        <f t="shared" si="5"/>
        <v>0.19602637652807187</v>
      </c>
    </row>
    <row r="68" spans="2:26" x14ac:dyDescent="0.2">
      <c r="B68" s="45" t="s">
        <v>110</v>
      </c>
      <c r="C68" s="45">
        <v>7</v>
      </c>
      <c r="D68" s="39"/>
      <c r="E68" s="39"/>
      <c r="F68" s="49"/>
      <c r="G68" s="49"/>
      <c r="H68" s="63"/>
      <c r="I68" s="63"/>
      <c r="J68" s="49"/>
      <c r="K68" s="49"/>
      <c r="L68" s="63"/>
      <c r="M68" s="63"/>
      <c r="N68" s="73"/>
      <c r="O68" s="45" t="s">
        <v>110</v>
      </c>
      <c r="P68" s="45">
        <v>7</v>
      </c>
      <c r="Q68" s="67">
        <v>114344.121744</v>
      </c>
      <c r="R68" s="67">
        <v>146113.36629999999</v>
      </c>
      <c r="S68" s="67">
        <v>0</v>
      </c>
      <c r="T68" s="67">
        <v>0</v>
      </c>
      <c r="U68" s="68">
        <f t="shared" si="2"/>
        <v>0</v>
      </c>
      <c r="V68" s="68">
        <f t="shared" si="3"/>
        <v>0</v>
      </c>
      <c r="W68" s="67">
        <v>0</v>
      </c>
      <c r="X68" s="67">
        <v>0</v>
      </c>
      <c r="Y68" s="68">
        <f t="shared" si="4"/>
        <v>0</v>
      </c>
      <c r="Z68" s="68">
        <f t="shared" si="5"/>
        <v>0</v>
      </c>
    </row>
    <row r="69" spans="2:26" x14ac:dyDescent="0.2">
      <c r="B69" s="45" t="s">
        <v>110</v>
      </c>
      <c r="C69" s="45">
        <v>8</v>
      </c>
      <c r="D69" s="39"/>
      <c r="E69" s="39"/>
      <c r="F69" s="49"/>
      <c r="G69" s="49"/>
      <c r="H69" s="63"/>
      <c r="I69" s="63"/>
      <c r="J69" s="49"/>
      <c r="K69" s="49"/>
      <c r="L69" s="63"/>
      <c r="M69" s="63"/>
      <c r="N69" s="73"/>
      <c r="O69" s="45" t="s">
        <v>110</v>
      </c>
      <c r="P69" s="45">
        <v>8</v>
      </c>
      <c r="Q69" s="67">
        <v>46363.867332000002</v>
      </c>
      <c r="R69" s="67">
        <v>77008.212419999996</v>
      </c>
      <c r="S69" s="67">
        <v>0</v>
      </c>
      <c r="T69" s="67">
        <v>0</v>
      </c>
      <c r="U69" s="68">
        <f t="shared" si="2"/>
        <v>0</v>
      </c>
      <c r="V69" s="68">
        <f t="shared" si="3"/>
        <v>0</v>
      </c>
      <c r="W69" s="67">
        <v>0</v>
      </c>
      <c r="X69" s="67">
        <v>0</v>
      </c>
      <c r="Y69" s="68">
        <f t="shared" si="4"/>
        <v>0</v>
      </c>
      <c r="Z69" s="68">
        <f t="shared" si="5"/>
        <v>0</v>
      </c>
    </row>
    <row r="70" spans="2:26" x14ac:dyDescent="0.2">
      <c r="B70" s="45" t="s">
        <v>111</v>
      </c>
      <c r="C70" s="45">
        <v>1</v>
      </c>
      <c r="D70" s="39"/>
      <c r="E70" s="39"/>
      <c r="F70" s="49"/>
      <c r="G70" s="49"/>
      <c r="H70" s="63"/>
      <c r="I70" s="63"/>
      <c r="J70" s="49"/>
      <c r="K70" s="49"/>
      <c r="L70" s="63"/>
      <c r="M70" s="63"/>
      <c r="N70" s="73"/>
      <c r="O70" s="45" t="s">
        <v>111</v>
      </c>
      <c r="P70" s="45">
        <v>1</v>
      </c>
      <c r="Q70" s="67">
        <v>116162.957276</v>
      </c>
      <c r="R70" s="67">
        <v>120294.763938</v>
      </c>
      <c r="S70" s="67">
        <v>906.93071480045205</v>
      </c>
      <c r="T70" s="67">
        <v>1519.7955629579101</v>
      </c>
      <c r="U70" s="68">
        <f t="shared" si="2"/>
        <v>7.8074003629712138E-3</v>
      </c>
      <c r="V70" s="68">
        <f t="shared" si="3"/>
        <v>1.2633929467962659E-2</v>
      </c>
      <c r="W70" s="67">
        <v>16900.705239999999</v>
      </c>
      <c r="X70" s="67">
        <v>33283.732094999999</v>
      </c>
      <c r="Y70" s="68">
        <f t="shared" si="4"/>
        <v>0.14549134798492075</v>
      </c>
      <c r="Z70" s="68">
        <f t="shared" si="5"/>
        <v>0.27668479496043946</v>
      </c>
    </row>
    <row r="71" spans="2:26" x14ac:dyDescent="0.2">
      <c r="B71" s="45" t="s">
        <v>111</v>
      </c>
      <c r="C71" s="45">
        <v>2</v>
      </c>
      <c r="D71" s="39"/>
      <c r="E71" s="39"/>
      <c r="F71" s="49"/>
      <c r="G71" s="49"/>
      <c r="H71" s="63"/>
      <c r="I71" s="63"/>
      <c r="J71" s="49"/>
      <c r="K71" s="49"/>
      <c r="L71" s="63"/>
      <c r="M71" s="63"/>
      <c r="N71" s="73"/>
      <c r="O71" s="45" t="s">
        <v>111</v>
      </c>
      <c r="P71" s="45">
        <v>2</v>
      </c>
      <c r="Q71" s="67">
        <v>310621.088108</v>
      </c>
      <c r="R71" s="67">
        <v>308156.63521400001</v>
      </c>
      <c r="S71" s="67">
        <v>544.10817810355002</v>
      </c>
      <c r="T71" s="67">
        <v>1840.88374864141</v>
      </c>
      <c r="U71" s="68">
        <f t="shared" ref="U71:U93" si="8">S71/Q71</f>
        <v>1.7516781665331388E-3</v>
      </c>
      <c r="V71" s="68">
        <f t="shared" ref="V71:V93" si="9">T71/R71</f>
        <v>5.9738572475098728E-3</v>
      </c>
      <c r="W71" s="67">
        <v>17353.9853</v>
      </c>
      <c r="X71" s="67">
        <v>50473.790906000002</v>
      </c>
      <c r="Y71" s="68">
        <f t="shared" ref="Y71:Y92" si="10">W71/Q71</f>
        <v>5.586866431285626E-2</v>
      </c>
      <c r="Z71" s="68">
        <f t="shared" ref="Z71:Z92" si="11">X71/R71</f>
        <v>0.16379264678480271</v>
      </c>
    </row>
    <row r="72" spans="2:26" x14ac:dyDescent="0.2">
      <c r="B72" s="45" t="s">
        <v>111</v>
      </c>
      <c r="C72" s="45">
        <v>3</v>
      </c>
      <c r="D72" s="39"/>
      <c r="E72" s="39"/>
      <c r="F72" s="49"/>
      <c r="G72" s="49"/>
      <c r="H72" s="63"/>
      <c r="I72" s="63"/>
      <c r="J72" s="49"/>
      <c r="K72" s="49"/>
      <c r="L72" s="63"/>
      <c r="M72" s="63"/>
      <c r="N72" s="73"/>
      <c r="O72" s="45" t="s">
        <v>111</v>
      </c>
      <c r="P72" s="45">
        <v>3</v>
      </c>
      <c r="Q72" s="67">
        <v>454594.77963499998</v>
      </c>
      <c r="R72" s="67">
        <v>417809.737547</v>
      </c>
      <c r="S72" s="67">
        <v>1010.44844267359</v>
      </c>
      <c r="T72" s="67">
        <v>849.99046676723594</v>
      </c>
      <c r="U72" s="68">
        <f t="shared" si="8"/>
        <v>2.2227453722299495E-3</v>
      </c>
      <c r="V72" s="68">
        <f t="shared" si="9"/>
        <v>2.0343960190052279E-3</v>
      </c>
      <c r="W72" s="67">
        <v>13161.922345000001</v>
      </c>
      <c r="X72" s="67">
        <v>8302.5502799999995</v>
      </c>
      <c r="Y72" s="68">
        <f t="shared" si="10"/>
        <v>2.8953087309026907E-2</v>
      </c>
      <c r="Z72" s="68">
        <f t="shared" si="11"/>
        <v>1.9871605503368705E-2</v>
      </c>
    </row>
    <row r="73" spans="2:26" x14ac:dyDescent="0.2">
      <c r="B73" s="45" t="s">
        <v>111</v>
      </c>
      <c r="C73" s="45">
        <v>4</v>
      </c>
      <c r="D73" s="39"/>
      <c r="E73" s="39"/>
      <c r="F73" s="49"/>
      <c r="G73" s="49"/>
      <c r="H73" s="63"/>
      <c r="I73" s="63"/>
      <c r="J73" s="49"/>
      <c r="K73" s="49"/>
      <c r="L73" s="63"/>
      <c r="M73" s="63"/>
      <c r="N73" s="73"/>
      <c r="O73" s="45" t="s">
        <v>111</v>
      </c>
      <c r="P73" s="45">
        <v>4</v>
      </c>
      <c r="Q73" s="67">
        <v>348784.43214699998</v>
      </c>
      <c r="R73" s="67">
        <v>390301.24397200003</v>
      </c>
      <c r="S73" s="67">
        <v>0</v>
      </c>
      <c r="T73" s="67">
        <v>176.95996913243999</v>
      </c>
      <c r="U73" s="68">
        <f t="shared" si="8"/>
        <v>0</v>
      </c>
      <c r="V73" s="68">
        <f t="shared" si="9"/>
        <v>4.5339330034299094E-4</v>
      </c>
      <c r="W73" s="67">
        <v>0</v>
      </c>
      <c r="X73" s="67">
        <v>6854.1315800000002</v>
      </c>
      <c r="Y73" s="68">
        <f t="shared" si="10"/>
        <v>0</v>
      </c>
      <c r="Z73" s="68">
        <f t="shared" si="11"/>
        <v>1.7561131781818538E-2</v>
      </c>
    </row>
    <row r="74" spans="2:26" x14ac:dyDescent="0.2">
      <c r="B74" s="45" t="s">
        <v>111</v>
      </c>
      <c r="C74" s="45">
        <v>5</v>
      </c>
      <c r="D74" s="39"/>
      <c r="E74" s="39"/>
      <c r="F74" s="49"/>
      <c r="G74" s="49"/>
      <c r="H74" s="63"/>
      <c r="I74" s="63"/>
      <c r="J74" s="49"/>
      <c r="K74" s="49"/>
      <c r="L74" s="63"/>
      <c r="M74" s="63"/>
      <c r="N74" s="73"/>
      <c r="O74" s="45" t="s">
        <v>111</v>
      </c>
      <c r="P74" s="45">
        <v>5</v>
      </c>
      <c r="Q74" s="67">
        <v>322237.15209599998</v>
      </c>
      <c r="R74" s="67">
        <v>355162.92462100001</v>
      </c>
      <c r="S74" s="67">
        <v>9302.4218271037898</v>
      </c>
      <c r="T74" s="67">
        <v>497.82717834240901</v>
      </c>
      <c r="U74" s="68">
        <f t="shared" si="8"/>
        <v>2.8868247396664052E-2</v>
      </c>
      <c r="V74" s="68">
        <f t="shared" si="9"/>
        <v>1.4016867860676852E-3</v>
      </c>
      <c r="W74" s="67">
        <v>27384.737711999998</v>
      </c>
      <c r="X74" s="67">
        <v>15527.072190999999</v>
      </c>
      <c r="Y74" s="68">
        <f t="shared" si="10"/>
        <v>8.4983179418869792E-2</v>
      </c>
      <c r="Z74" s="68">
        <f t="shared" si="11"/>
        <v>4.3718167394778566E-2</v>
      </c>
    </row>
    <row r="75" spans="2:26" x14ac:dyDescent="0.2">
      <c r="B75" s="45" t="s">
        <v>111</v>
      </c>
      <c r="C75" s="45">
        <v>6</v>
      </c>
      <c r="D75" s="39"/>
      <c r="E75" s="39"/>
      <c r="F75" s="49"/>
      <c r="G75" s="49"/>
      <c r="H75" s="63"/>
      <c r="I75" s="63"/>
      <c r="J75" s="49"/>
      <c r="K75" s="49"/>
      <c r="L75" s="63"/>
      <c r="M75" s="63"/>
      <c r="N75" s="73"/>
      <c r="O75" s="45" t="s">
        <v>111</v>
      </c>
      <c r="P75" s="45">
        <v>6</v>
      </c>
      <c r="Q75" s="67">
        <v>195407.73805700001</v>
      </c>
      <c r="R75" s="67">
        <v>203290.90702899999</v>
      </c>
      <c r="S75" s="67">
        <v>1136.5707814797699</v>
      </c>
      <c r="T75" s="67">
        <v>106.58358290483299</v>
      </c>
      <c r="U75" s="68">
        <f t="shared" si="8"/>
        <v>5.8164062118575607E-3</v>
      </c>
      <c r="V75" s="68">
        <f t="shared" si="9"/>
        <v>5.2429095065048114E-4</v>
      </c>
      <c r="W75" s="67">
        <v>29734.844880000001</v>
      </c>
      <c r="X75" s="67">
        <v>13113.68022</v>
      </c>
      <c r="Y75" s="68">
        <f t="shared" si="10"/>
        <v>0.1521682056998501</v>
      </c>
      <c r="Z75" s="68">
        <f t="shared" si="11"/>
        <v>6.4506968912924859E-2</v>
      </c>
    </row>
    <row r="76" spans="2:26" x14ac:dyDescent="0.2">
      <c r="B76" s="45" t="s">
        <v>111</v>
      </c>
      <c r="C76" s="45">
        <v>7</v>
      </c>
      <c r="D76" s="39"/>
      <c r="E76" s="39"/>
      <c r="F76" s="49"/>
      <c r="G76" s="49"/>
      <c r="H76" s="63"/>
      <c r="I76" s="63"/>
      <c r="J76" s="49"/>
      <c r="K76" s="49"/>
      <c r="L76" s="63"/>
      <c r="M76" s="63"/>
      <c r="N76" s="73"/>
      <c r="O76" s="45" t="s">
        <v>111</v>
      </c>
      <c r="P76" s="45">
        <v>7</v>
      </c>
      <c r="Q76" s="67">
        <v>114344.121744</v>
      </c>
      <c r="R76" s="67">
        <v>146113.36629999999</v>
      </c>
      <c r="S76" s="67">
        <v>1184.43782725595</v>
      </c>
      <c r="T76" s="67">
        <v>108.540081050517</v>
      </c>
      <c r="U76" s="68">
        <f t="shared" si="8"/>
        <v>1.0358537100033314E-2</v>
      </c>
      <c r="V76" s="68">
        <f t="shared" si="9"/>
        <v>7.4284840462618927E-4</v>
      </c>
      <c r="W76" s="67">
        <v>18139.716199999999</v>
      </c>
      <c r="X76" s="67">
        <v>2033.271782</v>
      </c>
      <c r="Y76" s="68">
        <f t="shared" si="10"/>
        <v>0.1586414406209023</v>
      </c>
      <c r="Z76" s="68">
        <f t="shared" si="11"/>
        <v>1.3915713760404959E-2</v>
      </c>
    </row>
    <row r="77" spans="2:26" x14ac:dyDescent="0.2">
      <c r="B77" s="45" t="s">
        <v>111</v>
      </c>
      <c r="C77" s="45">
        <v>8</v>
      </c>
      <c r="D77" s="39"/>
      <c r="E77" s="39"/>
      <c r="F77" s="49"/>
      <c r="G77" s="49"/>
      <c r="H77" s="63"/>
      <c r="I77" s="63"/>
      <c r="J77" s="49"/>
      <c r="K77" s="49"/>
      <c r="L77" s="63"/>
      <c r="M77" s="63"/>
      <c r="N77" s="73"/>
      <c r="O77" s="45" t="s">
        <v>111</v>
      </c>
      <c r="P77" s="45">
        <v>8</v>
      </c>
      <c r="Q77" s="67">
        <v>46363.867332000002</v>
      </c>
      <c r="R77" s="67">
        <v>77008.212419999996</v>
      </c>
      <c r="S77" s="67">
        <v>0</v>
      </c>
      <c r="T77" s="67">
        <v>0</v>
      </c>
      <c r="U77" s="68">
        <f t="shared" si="8"/>
        <v>0</v>
      </c>
      <c r="V77" s="68">
        <f t="shared" si="9"/>
        <v>0</v>
      </c>
      <c r="W77" s="67">
        <v>0</v>
      </c>
      <c r="X77" s="67">
        <v>0</v>
      </c>
      <c r="Y77" s="68">
        <f t="shared" si="10"/>
        <v>0</v>
      </c>
      <c r="Z77" s="68">
        <f t="shared" si="11"/>
        <v>0</v>
      </c>
    </row>
    <row r="78" spans="2:26" x14ac:dyDescent="0.2">
      <c r="B78" s="45" t="s">
        <v>112</v>
      </c>
      <c r="C78" s="45">
        <v>1</v>
      </c>
      <c r="D78" s="39"/>
      <c r="E78" s="39"/>
      <c r="F78" s="49"/>
      <c r="G78" s="49"/>
      <c r="H78" s="63"/>
      <c r="I78" s="63"/>
      <c r="J78" s="49"/>
      <c r="K78" s="49"/>
      <c r="L78" s="63"/>
      <c r="M78" s="63"/>
      <c r="N78" s="73"/>
      <c r="O78" s="45" t="s">
        <v>112</v>
      </c>
      <c r="P78" s="45">
        <v>1</v>
      </c>
      <c r="Q78" s="67">
        <v>116162.957276</v>
      </c>
      <c r="R78" s="67">
        <v>120294.763938</v>
      </c>
      <c r="S78" s="67">
        <v>0</v>
      </c>
      <c r="T78" s="67">
        <v>939.54044385871998</v>
      </c>
      <c r="U78" s="68">
        <f t="shared" si="8"/>
        <v>0</v>
      </c>
      <c r="V78" s="68">
        <f t="shared" si="9"/>
        <v>7.8103186963562245E-3</v>
      </c>
      <c r="W78" s="67">
        <v>0</v>
      </c>
      <c r="X78" s="67">
        <v>11647.075263999999</v>
      </c>
      <c r="Y78" s="68">
        <f t="shared" si="10"/>
        <v>0</v>
      </c>
      <c r="Z78" s="68">
        <f t="shared" si="11"/>
        <v>9.6821132381147604E-2</v>
      </c>
    </row>
    <row r="79" spans="2:26" x14ac:dyDescent="0.2">
      <c r="B79" s="45" t="s">
        <v>112</v>
      </c>
      <c r="C79" s="45">
        <v>2</v>
      </c>
      <c r="D79" s="39"/>
      <c r="E79" s="39"/>
      <c r="F79" s="49"/>
      <c r="G79" s="49"/>
      <c r="H79" s="63"/>
      <c r="I79" s="63"/>
      <c r="J79" s="49"/>
      <c r="K79" s="49"/>
      <c r="L79" s="63"/>
      <c r="M79" s="63"/>
      <c r="N79" s="73"/>
      <c r="O79" s="45" t="s">
        <v>112</v>
      </c>
      <c r="P79" s="45">
        <v>2</v>
      </c>
      <c r="Q79" s="67">
        <v>310621.088108</v>
      </c>
      <c r="R79" s="67">
        <v>308156.63521400001</v>
      </c>
      <c r="S79" s="67">
        <v>2080.4546941435101</v>
      </c>
      <c r="T79" s="67">
        <v>51744.121788385601</v>
      </c>
      <c r="U79" s="68">
        <f t="shared" si="8"/>
        <v>6.6977252150380593E-3</v>
      </c>
      <c r="V79" s="68">
        <f t="shared" si="9"/>
        <v>0.16791500125399469</v>
      </c>
      <c r="W79" s="67">
        <v>86260.904844999997</v>
      </c>
      <c r="X79" s="67">
        <v>66003.170723999996</v>
      </c>
      <c r="Y79" s="68">
        <f t="shared" si="10"/>
        <v>0.27770459942181358</v>
      </c>
      <c r="Z79" s="68">
        <f t="shared" si="11"/>
        <v>0.21418708274174905</v>
      </c>
    </row>
    <row r="80" spans="2:26" x14ac:dyDescent="0.2">
      <c r="B80" s="45" t="s">
        <v>112</v>
      </c>
      <c r="C80" s="45">
        <v>3</v>
      </c>
      <c r="D80" s="39"/>
      <c r="E80" s="39"/>
      <c r="F80" s="49"/>
      <c r="G80" s="49"/>
      <c r="H80" s="63"/>
      <c r="I80" s="63"/>
      <c r="J80" s="49"/>
      <c r="K80" s="49"/>
      <c r="L80" s="63"/>
      <c r="M80" s="63"/>
      <c r="N80" s="73"/>
      <c r="O80" s="45" t="s">
        <v>112</v>
      </c>
      <c r="P80" s="45">
        <v>3</v>
      </c>
      <c r="Q80" s="67">
        <v>454594.77963499998</v>
      </c>
      <c r="R80" s="67">
        <v>417809.737547</v>
      </c>
      <c r="S80" s="67">
        <v>144479.04156113201</v>
      </c>
      <c r="T80" s="67">
        <v>662955.44327336899</v>
      </c>
      <c r="U80" s="68">
        <f t="shared" si="8"/>
        <v>0.31781940319934182</v>
      </c>
      <c r="V80" s="68">
        <f t="shared" si="9"/>
        <v>1.5867400486298915</v>
      </c>
      <c r="W80" s="67">
        <v>414904.10856999998</v>
      </c>
      <c r="X80" s="67">
        <v>394289.99100799998</v>
      </c>
      <c r="Y80" s="68">
        <f t="shared" si="10"/>
        <v>0.91268999811905416</v>
      </c>
      <c r="Z80" s="68">
        <f t="shared" si="11"/>
        <v>0.9437070407284267</v>
      </c>
    </row>
    <row r="81" spans="2:26" x14ac:dyDescent="0.2">
      <c r="B81" s="45" t="s">
        <v>112</v>
      </c>
      <c r="C81" s="45">
        <v>4</v>
      </c>
      <c r="D81" s="39"/>
      <c r="E81" s="39"/>
      <c r="F81" s="49"/>
      <c r="G81" s="49"/>
      <c r="H81" s="63"/>
      <c r="I81" s="63"/>
      <c r="J81" s="49"/>
      <c r="K81" s="49"/>
      <c r="L81" s="63"/>
      <c r="M81" s="63"/>
      <c r="N81" s="73"/>
      <c r="O81" s="45" t="s">
        <v>112</v>
      </c>
      <c r="P81" s="45">
        <v>4</v>
      </c>
      <c r="Q81" s="67">
        <v>348784.43214699998</v>
      </c>
      <c r="R81" s="67">
        <v>390301.24397200003</v>
      </c>
      <c r="S81" s="67">
        <v>1899015.93376682</v>
      </c>
      <c r="T81" s="67">
        <v>55532.626126493502</v>
      </c>
      <c r="U81" s="68">
        <f t="shared" si="8"/>
        <v>5.4446694254015719</v>
      </c>
      <c r="V81" s="68">
        <f t="shared" si="9"/>
        <v>0.14228144794352071</v>
      </c>
      <c r="W81" s="67">
        <v>1039899.476047</v>
      </c>
      <c r="X81" s="67">
        <v>133556.70430799999</v>
      </c>
      <c r="Y81" s="68">
        <f t="shared" si="10"/>
        <v>2.9814962486878431</v>
      </c>
      <c r="Z81" s="68">
        <f t="shared" si="11"/>
        <v>0.34218877436522149</v>
      </c>
    </row>
    <row r="82" spans="2:26" x14ac:dyDescent="0.2">
      <c r="B82" s="45" t="s">
        <v>112</v>
      </c>
      <c r="C82" s="45">
        <v>5</v>
      </c>
      <c r="D82" s="39"/>
      <c r="E82" s="39"/>
      <c r="F82" s="49"/>
      <c r="G82" s="49"/>
      <c r="H82" s="63"/>
      <c r="I82" s="63"/>
      <c r="J82" s="49"/>
      <c r="K82" s="49"/>
      <c r="L82" s="63"/>
      <c r="M82" s="63"/>
      <c r="N82" s="73"/>
      <c r="O82" s="45" t="s">
        <v>112</v>
      </c>
      <c r="P82" s="45">
        <v>5</v>
      </c>
      <c r="Q82" s="67">
        <v>322237.15209599998</v>
      </c>
      <c r="R82" s="67">
        <v>355162.92462100001</v>
      </c>
      <c r="S82" s="67">
        <v>321562.351524622</v>
      </c>
      <c r="T82" s="67">
        <v>1269087.0099050801</v>
      </c>
      <c r="U82" s="68">
        <f t="shared" si="8"/>
        <v>0.99790588835896565</v>
      </c>
      <c r="V82" s="68">
        <f t="shared" si="9"/>
        <v>3.5732530676149348</v>
      </c>
      <c r="W82" s="67">
        <v>401128.34218400001</v>
      </c>
      <c r="X82" s="67">
        <v>538564.96378300001</v>
      </c>
      <c r="Y82" s="68">
        <f t="shared" si="10"/>
        <v>1.24482338419034</v>
      </c>
      <c r="Z82" s="68">
        <f t="shared" si="11"/>
        <v>1.5163884697641548</v>
      </c>
    </row>
    <row r="83" spans="2:26" x14ac:dyDescent="0.2">
      <c r="B83" s="45" t="s">
        <v>112</v>
      </c>
      <c r="C83" s="45">
        <v>6</v>
      </c>
      <c r="D83" s="39"/>
      <c r="E83" s="39"/>
      <c r="F83" s="49"/>
      <c r="G83" s="49"/>
      <c r="H83" s="63"/>
      <c r="I83" s="63"/>
      <c r="J83" s="49"/>
      <c r="K83" s="49"/>
      <c r="L83" s="63"/>
      <c r="M83" s="63"/>
      <c r="N83" s="73"/>
      <c r="O83" s="45" t="s">
        <v>112</v>
      </c>
      <c r="P83" s="45">
        <v>6</v>
      </c>
      <c r="Q83" s="67">
        <v>195407.73805700001</v>
      </c>
      <c r="R83" s="67">
        <v>203290.90702899999</v>
      </c>
      <c r="S83" s="67">
        <v>1092446.34593075</v>
      </c>
      <c r="T83" s="67">
        <v>610358.09450456803</v>
      </c>
      <c r="U83" s="68">
        <f t="shared" si="8"/>
        <v>5.5905992095977579</v>
      </c>
      <c r="V83" s="68">
        <f t="shared" si="9"/>
        <v>3.0023875805596107</v>
      </c>
      <c r="W83" s="67">
        <v>459450.29356299998</v>
      </c>
      <c r="X83" s="67">
        <v>217675.27174600001</v>
      </c>
      <c r="Y83" s="68">
        <f t="shared" si="10"/>
        <v>2.3512389945836194</v>
      </c>
      <c r="Z83" s="68">
        <f t="shared" si="11"/>
        <v>1.070757541137578</v>
      </c>
    </row>
    <row r="84" spans="2:26" x14ac:dyDescent="0.2">
      <c r="B84" s="45" t="s">
        <v>112</v>
      </c>
      <c r="C84" s="45">
        <v>7</v>
      </c>
      <c r="D84" s="39"/>
      <c r="E84" s="39"/>
      <c r="F84" s="49"/>
      <c r="G84" s="49"/>
      <c r="H84" s="63"/>
      <c r="I84" s="63"/>
      <c r="J84" s="49"/>
      <c r="K84" s="49"/>
      <c r="L84" s="63"/>
      <c r="M84" s="63"/>
      <c r="N84" s="73"/>
      <c r="O84" s="45" t="s">
        <v>112</v>
      </c>
      <c r="P84" s="45">
        <v>7</v>
      </c>
      <c r="Q84" s="67">
        <v>114344.121744</v>
      </c>
      <c r="R84" s="67">
        <v>146113.36629999999</v>
      </c>
      <c r="S84" s="67">
        <v>64727.497960401</v>
      </c>
      <c r="T84" s="67">
        <v>21308.5158462365</v>
      </c>
      <c r="U84" s="68">
        <f t="shared" si="8"/>
        <v>0.56607630521940189</v>
      </c>
      <c r="V84" s="68">
        <f t="shared" si="9"/>
        <v>0.14583550010397989</v>
      </c>
      <c r="W84" s="67">
        <v>73381.33812</v>
      </c>
      <c r="X84" s="67">
        <v>50980.7618</v>
      </c>
      <c r="Y84" s="68">
        <f t="shared" si="10"/>
        <v>0.64175872795883848</v>
      </c>
      <c r="Z84" s="68">
        <f t="shared" si="11"/>
        <v>0.34891237599253094</v>
      </c>
    </row>
    <row r="85" spans="2:26" x14ac:dyDescent="0.2">
      <c r="B85" s="45" t="s">
        <v>112</v>
      </c>
      <c r="C85" s="45">
        <v>8</v>
      </c>
      <c r="D85" s="39"/>
      <c r="E85" s="39"/>
      <c r="F85" s="49"/>
      <c r="G85" s="49"/>
      <c r="H85" s="63"/>
      <c r="I85" s="63"/>
      <c r="J85" s="49"/>
      <c r="K85" s="49"/>
      <c r="L85" s="63"/>
      <c r="M85" s="63"/>
      <c r="N85" s="73"/>
      <c r="O85" s="45" t="s">
        <v>112</v>
      </c>
      <c r="P85" s="45">
        <v>8</v>
      </c>
      <c r="Q85" s="67">
        <v>46363.867332000002</v>
      </c>
      <c r="R85" s="67">
        <v>77008.212419999996</v>
      </c>
      <c r="S85" s="67">
        <v>220.51842143531201</v>
      </c>
      <c r="T85" s="67">
        <v>1950174.31315728</v>
      </c>
      <c r="U85" s="68">
        <f t="shared" si="8"/>
        <v>4.7562559839159878E-3</v>
      </c>
      <c r="V85" s="68">
        <f t="shared" si="9"/>
        <v>25.32423818022291</v>
      </c>
      <c r="W85" s="67">
        <v>917.14455999999996</v>
      </c>
      <c r="X85" s="67">
        <v>366994.37517200003</v>
      </c>
      <c r="Y85" s="68">
        <f t="shared" si="10"/>
        <v>1.9781450788661746E-2</v>
      </c>
      <c r="Z85" s="68">
        <f t="shared" si="11"/>
        <v>4.7656524367872093</v>
      </c>
    </row>
    <row r="86" spans="2:26" x14ac:dyDescent="0.2">
      <c r="B86" s="45" t="s">
        <v>113</v>
      </c>
      <c r="C86" s="45">
        <v>1</v>
      </c>
      <c r="D86" s="39"/>
      <c r="E86" s="39"/>
      <c r="F86" s="49"/>
      <c r="G86" s="49"/>
      <c r="H86" s="63"/>
      <c r="I86" s="63"/>
      <c r="J86" s="49"/>
      <c r="K86" s="49"/>
      <c r="L86" s="63"/>
      <c r="M86" s="63"/>
      <c r="N86" s="73"/>
      <c r="O86" s="45" t="s">
        <v>113</v>
      </c>
      <c r="P86" s="45">
        <v>1</v>
      </c>
      <c r="Q86" s="67">
        <v>116162.957276</v>
      </c>
      <c r="R86" s="67">
        <v>120294.763938</v>
      </c>
      <c r="S86" s="67">
        <v>23480.962188969101</v>
      </c>
      <c r="T86" s="67">
        <v>46060.456936545001</v>
      </c>
      <c r="U86" s="68">
        <f t="shared" si="8"/>
        <v>0.20213812337076595</v>
      </c>
      <c r="V86" s="68">
        <f t="shared" si="9"/>
        <v>0.38289660687380034</v>
      </c>
      <c r="W86" s="75">
        <v>839476.15565299999</v>
      </c>
      <c r="X86" s="75">
        <v>827814.73728300002</v>
      </c>
      <c r="Y86" s="68">
        <f t="shared" si="10"/>
        <v>7.2267112971170979</v>
      </c>
      <c r="Z86" s="68">
        <f t="shared" si="11"/>
        <v>6.8815525313275998</v>
      </c>
    </row>
    <row r="87" spans="2:26" x14ac:dyDescent="0.2">
      <c r="B87" s="45" t="s">
        <v>113</v>
      </c>
      <c r="C87" s="45">
        <v>2</v>
      </c>
      <c r="D87" s="39"/>
      <c r="E87" s="39"/>
      <c r="F87" s="49"/>
      <c r="G87" s="49"/>
      <c r="H87" s="63"/>
      <c r="I87" s="63"/>
      <c r="J87" s="49"/>
      <c r="K87" s="49"/>
      <c r="L87" s="63"/>
      <c r="M87" s="63"/>
      <c r="N87" s="73"/>
      <c r="O87" s="45" t="s">
        <v>113</v>
      </c>
      <c r="P87" s="45">
        <v>2</v>
      </c>
      <c r="Q87" s="67">
        <v>310621.088108</v>
      </c>
      <c r="R87" s="67">
        <v>308156.63521400001</v>
      </c>
      <c r="S87" s="67">
        <v>92000.291345992198</v>
      </c>
      <c r="T87" s="67">
        <v>71409.403353128902</v>
      </c>
      <c r="U87" s="68">
        <f t="shared" si="8"/>
        <v>0.29618173030803552</v>
      </c>
      <c r="V87" s="68">
        <f t="shared" si="9"/>
        <v>0.23173086408974611</v>
      </c>
      <c r="W87" s="75">
        <v>1888272.956341</v>
      </c>
      <c r="X87" s="75">
        <v>1902788.627695</v>
      </c>
      <c r="Y87" s="68">
        <f t="shared" si="10"/>
        <v>6.0790237000408212</v>
      </c>
      <c r="Z87" s="68">
        <f t="shared" si="11"/>
        <v>6.1747449519417437</v>
      </c>
    </row>
    <row r="88" spans="2:26" x14ac:dyDescent="0.2">
      <c r="B88" s="45" t="s">
        <v>113</v>
      </c>
      <c r="C88" s="45">
        <v>3</v>
      </c>
      <c r="D88" s="39"/>
      <c r="E88" s="39"/>
      <c r="F88" s="49"/>
      <c r="G88" s="49"/>
      <c r="H88" s="63"/>
      <c r="I88" s="63"/>
      <c r="J88" s="49"/>
      <c r="K88" s="49"/>
      <c r="L88" s="63"/>
      <c r="M88" s="63"/>
      <c r="N88" s="73"/>
      <c r="O88" s="45" t="s">
        <v>113</v>
      </c>
      <c r="P88" s="45">
        <v>3</v>
      </c>
      <c r="Q88" s="67">
        <v>454594.77963499998</v>
      </c>
      <c r="R88" s="67">
        <v>417809.737547</v>
      </c>
      <c r="S88" s="67">
        <v>88762.886327610497</v>
      </c>
      <c r="T88" s="67">
        <v>116972.05098864299</v>
      </c>
      <c r="U88" s="68">
        <f t="shared" si="8"/>
        <v>0.19525716155139169</v>
      </c>
      <c r="V88" s="68">
        <f t="shared" si="9"/>
        <v>0.27996487510175527</v>
      </c>
      <c r="W88" s="75">
        <v>1941669.02991</v>
      </c>
      <c r="X88" s="75">
        <v>2426653.2594849998</v>
      </c>
      <c r="Y88" s="68">
        <f t="shared" si="10"/>
        <v>4.2712083747837823</v>
      </c>
      <c r="Z88" s="68">
        <f t="shared" si="11"/>
        <v>5.8080342352289529</v>
      </c>
    </row>
    <row r="89" spans="2:26" x14ac:dyDescent="0.2">
      <c r="B89" s="45" t="s">
        <v>113</v>
      </c>
      <c r="C89" s="45">
        <v>4</v>
      </c>
      <c r="D89" s="39"/>
      <c r="E89" s="39"/>
      <c r="F89" s="49"/>
      <c r="G89" s="49"/>
      <c r="H89" s="63"/>
      <c r="I89" s="63"/>
      <c r="J89" s="49"/>
      <c r="K89" s="49"/>
      <c r="L89" s="63"/>
      <c r="M89" s="63"/>
      <c r="N89" s="73"/>
      <c r="O89" s="45" t="s">
        <v>113</v>
      </c>
      <c r="P89" s="45">
        <v>4</v>
      </c>
      <c r="Q89" s="67">
        <v>348784.43214699998</v>
      </c>
      <c r="R89" s="67">
        <v>390301.24397200003</v>
      </c>
      <c r="S89" s="67">
        <v>59585.215387304102</v>
      </c>
      <c r="T89" s="67">
        <v>92693.351333312996</v>
      </c>
      <c r="U89" s="68">
        <f t="shared" si="8"/>
        <v>0.17083679744682839</v>
      </c>
      <c r="V89" s="68">
        <f t="shared" si="9"/>
        <v>0.23749181629552468</v>
      </c>
      <c r="W89" s="75">
        <v>1282101.8977089999</v>
      </c>
      <c r="X89" s="75">
        <v>2478688.3964260002</v>
      </c>
      <c r="Y89" s="68">
        <f t="shared" si="10"/>
        <v>3.6759149191860732</v>
      </c>
      <c r="Z89" s="68">
        <f t="shared" si="11"/>
        <v>6.350705857867621</v>
      </c>
    </row>
    <row r="90" spans="2:26" x14ac:dyDescent="0.2">
      <c r="B90" s="45" t="s">
        <v>113</v>
      </c>
      <c r="C90" s="45">
        <v>5</v>
      </c>
      <c r="D90" s="39"/>
      <c r="E90" s="39"/>
      <c r="F90" s="49"/>
      <c r="G90" s="49"/>
      <c r="H90" s="63"/>
      <c r="I90" s="63"/>
      <c r="J90" s="49"/>
      <c r="K90" s="49"/>
      <c r="L90" s="63"/>
      <c r="M90" s="63"/>
      <c r="N90" s="73"/>
      <c r="O90" s="45" t="s">
        <v>113</v>
      </c>
      <c r="P90" s="45">
        <v>5</v>
      </c>
      <c r="Q90" s="67">
        <v>322237.15209599998</v>
      </c>
      <c r="R90" s="67">
        <v>355162.92462100001</v>
      </c>
      <c r="S90" s="67">
        <v>31275.1564310963</v>
      </c>
      <c r="T90" s="67">
        <v>45945.627979286299</v>
      </c>
      <c r="U90" s="68">
        <f t="shared" si="8"/>
        <v>9.7056333286420354E-2</v>
      </c>
      <c r="V90" s="68">
        <f t="shared" si="9"/>
        <v>0.12936493308899177</v>
      </c>
      <c r="W90" s="75">
        <v>810776.095997</v>
      </c>
      <c r="X90" s="75">
        <v>1296766.697099</v>
      </c>
      <c r="Y90" s="68">
        <f t="shared" si="10"/>
        <v>2.5160850967161474</v>
      </c>
      <c r="Z90" s="68">
        <f t="shared" si="11"/>
        <v>3.651188249682312</v>
      </c>
    </row>
    <row r="91" spans="2:26" x14ac:dyDescent="0.2">
      <c r="B91" s="45" t="s">
        <v>113</v>
      </c>
      <c r="C91" s="45">
        <v>6</v>
      </c>
      <c r="D91" s="39"/>
      <c r="E91" s="39"/>
      <c r="F91" s="49"/>
      <c r="G91" s="49"/>
      <c r="H91" s="63"/>
      <c r="I91" s="63"/>
      <c r="J91" s="49"/>
      <c r="K91" s="49"/>
      <c r="L91" s="63"/>
      <c r="M91" s="63"/>
      <c r="N91" s="73"/>
      <c r="O91" s="45" t="s">
        <v>113</v>
      </c>
      <c r="P91" s="45">
        <v>6</v>
      </c>
      <c r="Q91" s="67">
        <v>195407.73805700001</v>
      </c>
      <c r="R91" s="67">
        <v>203290.90702899999</v>
      </c>
      <c r="S91" s="67">
        <v>20516.445958950098</v>
      </c>
      <c r="T91" s="67">
        <v>22822.812697144102</v>
      </c>
      <c r="U91" s="68">
        <f t="shared" si="8"/>
        <v>0.1049930067404265</v>
      </c>
      <c r="V91" s="68">
        <f t="shared" si="9"/>
        <v>0.11226676603832736</v>
      </c>
      <c r="W91" s="75">
        <v>626805.80359000002</v>
      </c>
      <c r="X91" s="75">
        <v>731315.20756699995</v>
      </c>
      <c r="Y91" s="68">
        <f t="shared" si="10"/>
        <v>3.207681588367612</v>
      </c>
      <c r="Z91" s="68">
        <f t="shared" si="11"/>
        <v>3.5973827765089164</v>
      </c>
    </row>
    <row r="92" spans="2:26" x14ac:dyDescent="0.2">
      <c r="B92" s="45" t="s">
        <v>113</v>
      </c>
      <c r="C92" s="45">
        <v>7</v>
      </c>
      <c r="D92" s="39"/>
      <c r="E92" s="39"/>
      <c r="F92" s="49"/>
      <c r="G92" s="49"/>
      <c r="H92" s="63"/>
      <c r="I92" s="63"/>
      <c r="J92" s="49"/>
      <c r="K92" s="49"/>
      <c r="L92" s="63"/>
      <c r="M92" s="63"/>
      <c r="N92" s="73"/>
      <c r="O92" s="45" t="s">
        <v>113</v>
      </c>
      <c r="P92" s="45">
        <v>7</v>
      </c>
      <c r="Q92" s="67">
        <v>114344.121744</v>
      </c>
      <c r="R92" s="67">
        <v>146113.36629999999</v>
      </c>
      <c r="S92" s="67">
        <v>6410.30273165569</v>
      </c>
      <c r="T92" s="67">
        <v>9745.9095360246793</v>
      </c>
      <c r="U92" s="68">
        <f t="shared" si="8"/>
        <v>5.6061497818028924E-2</v>
      </c>
      <c r="V92" s="68">
        <f t="shared" si="9"/>
        <v>6.6701012938230275E-2</v>
      </c>
      <c r="W92" s="75">
        <v>201948.13008999999</v>
      </c>
      <c r="X92" s="75">
        <v>379659.84460999997</v>
      </c>
      <c r="Y92" s="68">
        <f t="shared" si="10"/>
        <v>1.7661435236883687</v>
      </c>
      <c r="Z92" s="68">
        <f t="shared" si="11"/>
        <v>2.5983922910275181</v>
      </c>
    </row>
    <row r="93" spans="2:26" x14ac:dyDescent="0.2">
      <c r="B93" s="45" t="s">
        <v>113</v>
      </c>
      <c r="C93" s="45">
        <v>8</v>
      </c>
      <c r="D93" s="39"/>
      <c r="E93" s="39"/>
      <c r="F93" s="49"/>
      <c r="G93" s="49"/>
      <c r="H93" s="63"/>
      <c r="I93" s="63"/>
      <c r="J93" s="49"/>
      <c r="K93" s="49"/>
      <c r="L93" s="63"/>
      <c r="M93" s="63"/>
      <c r="N93" s="73"/>
      <c r="O93" s="45" t="s">
        <v>113</v>
      </c>
      <c r="P93" s="45">
        <v>8</v>
      </c>
      <c r="Q93" s="67">
        <v>46363.867332000002</v>
      </c>
      <c r="R93" s="67">
        <v>77008.212419999996</v>
      </c>
      <c r="S93" s="67">
        <v>3726.24270192718</v>
      </c>
      <c r="T93" s="67">
        <v>8278.1561483457408</v>
      </c>
      <c r="U93" s="68">
        <f t="shared" si="8"/>
        <v>8.0369540255227037E-2</v>
      </c>
      <c r="V93" s="68">
        <f t="shared" si="9"/>
        <v>0.10749705632948571</v>
      </c>
      <c r="W93" s="75">
        <v>165337.988954</v>
      </c>
      <c r="X93" s="75">
        <v>234990.61423199999</v>
      </c>
      <c r="Y93" s="68">
        <f>W93/Q93</f>
        <v>3.5660957221289635</v>
      </c>
      <c r="Z93" s="68">
        <f>X93/R93</f>
        <v>3.0515007016442572</v>
      </c>
    </row>
    <row r="94" spans="2:26" x14ac:dyDescent="0.2">
      <c r="W94" s="67"/>
      <c r="X94" s="67"/>
    </row>
    <row r="95" spans="2:26" x14ac:dyDescent="0.2">
      <c r="W95" s="64"/>
      <c r="Y95" s="64"/>
      <c r="Z95" s="64"/>
    </row>
    <row r="96" spans="2:26" x14ac:dyDescent="0.2">
      <c r="W96" s="64"/>
      <c r="Y96" s="64"/>
      <c r="Z96" s="64"/>
    </row>
    <row r="97" spans="17:26" x14ac:dyDescent="0.2">
      <c r="V97" s="65"/>
      <c r="Y97" s="64"/>
      <c r="Z97" s="64"/>
    </row>
    <row r="98" spans="17:26" x14ac:dyDescent="0.2">
      <c r="Y98" s="64"/>
      <c r="Z98" s="64"/>
    </row>
    <row r="99" spans="17:26" x14ac:dyDescent="0.2">
      <c r="Y99" s="64"/>
      <c r="Z99" s="64"/>
    </row>
    <row r="100" spans="17:26" x14ac:dyDescent="0.2">
      <c r="Q100" s="67"/>
      <c r="R100" s="67"/>
      <c r="U100" s="67"/>
      <c r="Y100" s="64"/>
      <c r="Z100" s="64"/>
    </row>
    <row r="101" spans="17:26" x14ac:dyDescent="0.2">
      <c r="Q101" s="67"/>
      <c r="R101" s="67"/>
      <c r="U101" s="67"/>
      <c r="Y101" s="64"/>
      <c r="Z101" s="64"/>
    </row>
    <row r="102" spans="17:26" x14ac:dyDescent="0.2">
      <c r="Q102" s="67"/>
      <c r="R102" s="67"/>
      <c r="U102" s="67"/>
      <c r="Y102" s="64"/>
      <c r="Z102" s="64"/>
    </row>
    <row r="103" spans="17:26" x14ac:dyDescent="0.2">
      <c r="Q103" s="67"/>
      <c r="R103" s="67"/>
      <c r="U103" s="67"/>
    </row>
    <row r="104" spans="17:26" x14ac:dyDescent="0.2">
      <c r="Q104" s="67"/>
      <c r="R104" s="67"/>
      <c r="U104" s="67"/>
    </row>
    <row r="105" spans="17:26" x14ac:dyDescent="0.2">
      <c r="Q105" s="67"/>
      <c r="R105" s="67"/>
      <c r="U105" s="67"/>
    </row>
    <row r="106" spans="17:26" x14ac:dyDescent="0.2">
      <c r="Q106" s="67"/>
      <c r="R106" s="67"/>
      <c r="U106" s="67"/>
      <c r="W106" s="64"/>
      <c r="X106" s="64"/>
    </row>
    <row r="107" spans="17:26" x14ac:dyDescent="0.2">
      <c r="Q107" s="67"/>
      <c r="R107" s="67"/>
      <c r="U107" s="67"/>
      <c r="W107" s="64"/>
      <c r="X107" s="64"/>
    </row>
    <row r="108" spans="17:26" x14ac:dyDescent="0.2">
      <c r="W108" s="64"/>
      <c r="X108" s="64"/>
    </row>
    <row r="109" spans="17:26" x14ac:dyDescent="0.2">
      <c r="W109" s="64"/>
      <c r="X109" s="64"/>
    </row>
    <row r="110" spans="17:26" x14ac:dyDescent="0.2">
      <c r="W110" s="64"/>
      <c r="X110" s="64"/>
    </row>
    <row r="111" spans="17:26" x14ac:dyDescent="0.2">
      <c r="W111" s="64"/>
      <c r="X111" s="64"/>
    </row>
    <row r="112" spans="17:26" x14ac:dyDescent="0.2">
      <c r="W112" s="64"/>
      <c r="X112" s="64"/>
    </row>
    <row r="113" spans="21:35" x14ac:dyDescent="0.2">
      <c r="W113" s="64"/>
      <c r="X113" s="64"/>
    </row>
    <row r="114" spans="21:35" x14ac:dyDescent="0.2">
      <c r="W114" s="45"/>
    </row>
    <row r="115" spans="21:35" x14ac:dyDescent="0.2">
      <c r="W115" s="45"/>
    </row>
    <row r="116" spans="21:35" x14ac:dyDescent="0.2">
      <c r="W116" s="45"/>
    </row>
    <row r="117" spans="21:35" x14ac:dyDescent="0.2">
      <c r="W117" s="45"/>
    </row>
    <row r="118" spans="21:35" x14ac:dyDescent="0.2">
      <c r="W118" s="45"/>
    </row>
    <row r="119" spans="21:35" x14ac:dyDescent="0.2">
      <c r="W119" s="45"/>
    </row>
    <row r="120" spans="21:35" x14ac:dyDescent="0.2">
      <c r="W120" s="45"/>
    </row>
    <row r="121" spans="21:35" x14ac:dyDescent="0.2">
      <c r="W121" s="45"/>
    </row>
    <row r="122" spans="21:35" x14ac:dyDescent="0.2">
      <c r="W122" s="45"/>
    </row>
    <row r="123" spans="21:35" x14ac:dyDescent="0.2">
      <c r="W123" s="45"/>
    </row>
    <row r="124" spans="21:35" x14ac:dyDescent="0.2">
      <c r="W124" s="45"/>
    </row>
    <row r="125" spans="21:35" x14ac:dyDescent="0.2">
      <c r="W125" s="45"/>
    </row>
    <row r="126" spans="21:35" x14ac:dyDescent="0.2">
      <c r="W126" s="45"/>
    </row>
    <row r="127" spans="21:35" x14ac:dyDescent="0.2">
      <c r="U127" t="s">
        <v>72</v>
      </c>
      <c r="V127" t="s">
        <v>73</v>
      </c>
      <c r="W127" s="45"/>
      <c r="X127" t="s">
        <v>137</v>
      </c>
      <c r="Z127" t="s">
        <v>138</v>
      </c>
      <c r="AB127" s="106" t="s">
        <v>139</v>
      </c>
      <c r="AC127" s="106"/>
      <c r="AD127" s="106" t="s">
        <v>140</v>
      </c>
      <c r="AE127" s="106"/>
    </row>
    <row r="128" spans="21:35" x14ac:dyDescent="0.2">
      <c r="U128">
        <v>49437.299427999998</v>
      </c>
      <c r="V128">
        <v>53383.865297999997</v>
      </c>
      <c r="W128" s="45" t="s">
        <v>105</v>
      </c>
      <c r="X128">
        <v>264.83848868040099</v>
      </c>
      <c r="Y128">
        <v>2349.5844112121299</v>
      </c>
      <c r="Z128">
        <v>4677.7099500000004</v>
      </c>
      <c r="AA128">
        <v>41997.478065000003</v>
      </c>
      <c r="AB128">
        <f>X128/U128</f>
        <v>5.3570581675099222E-3</v>
      </c>
      <c r="AC128">
        <f>Y128/V128</f>
        <v>4.4013006516037276E-2</v>
      </c>
      <c r="AD128">
        <f>Z128/U128</f>
        <v>9.4619042790000524E-2</v>
      </c>
      <c r="AE128">
        <f>AA128/V128</f>
        <v>0.78670732871367077</v>
      </c>
      <c r="AF128">
        <f t="shared" ref="AF128:AG135" si="12">AB128/$AC$130</f>
        <v>0.19699748176478901</v>
      </c>
      <c r="AG128">
        <f t="shared" si="12"/>
        <v>1.6185098569849594</v>
      </c>
      <c r="AI128">
        <f t="shared" ref="AI128:AI135" si="13">AE128/$AE$130</f>
        <v>2.3873019978214609</v>
      </c>
    </row>
    <row r="129" spans="21:35" x14ac:dyDescent="0.2">
      <c r="U129">
        <v>149084.94172199999</v>
      </c>
      <c r="V129">
        <v>119191.901654</v>
      </c>
      <c r="W129" s="45" t="s">
        <v>105</v>
      </c>
      <c r="X129">
        <v>17881.7241940924</v>
      </c>
      <c r="Y129">
        <v>2433.80868847804</v>
      </c>
      <c r="Z129">
        <v>208382.39837400001</v>
      </c>
      <c r="AA129">
        <v>76398.143901000003</v>
      </c>
      <c r="AB129">
        <f t="shared" ref="AB129:AB135" si="14">X129/U129</f>
        <v>0.11994319471537648</v>
      </c>
      <c r="AC129">
        <f t="shared" ref="AC129:AC135" si="15">Y129/V129</f>
        <v>2.0419245390874783E-2</v>
      </c>
      <c r="AD129">
        <f t="shared" ref="AD129:AD135" si="16">Z129/U129</f>
        <v>1.3977427630657193</v>
      </c>
      <c r="AE129">
        <f t="shared" ref="AE129:AE135" si="17">AA129/V129</f>
        <v>0.64096757280351802</v>
      </c>
      <c r="AF129">
        <f t="shared" si="12"/>
        <v>4.4107244265253076</v>
      </c>
      <c r="AG129">
        <f t="shared" si="12"/>
        <v>0.75088598924237027</v>
      </c>
      <c r="AI129">
        <f t="shared" si="13"/>
        <v>1.9450475561154144</v>
      </c>
    </row>
    <row r="130" spans="21:35" x14ac:dyDescent="0.2">
      <c r="U130">
        <v>207662.48100999999</v>
      </c>
      <c r="V130">
        <v>188981.26214100001</v>
      </c>
      <c r="W130" s="45" t="s">
        <v>105</v>
      </c>
      <c r="X130">
        <v>17993.0834115117</v>
      </c>
      <c r="Y130">
        <v>5139.0688083390996</v>
      </c>
      <c r="Z130">
        <v>200602.354834</v>
      </c>
      <c r="AA130">
        <v>62276.554894000001</v>
      </c>
      <c r="AB130">
        <f t="shared" si="14"/>
        <v>8.664580777422784E-2</v>
      </c>
      <c r="AC130">
        <f t="shared" si="15"/>
        <v>2.7193536280357842E-2</v>
      </c>
      <c r="AD130">
        <f t="shared" si="16"/>
        <v>0.96600191743033248</v>
      </c>
      <c r="AE130">
        <f t="shared" si="17"/>
        <v>0.32953825256778685</v>
      </c>
      <c r="AF130">
        <f t="shared" si="12"/>
        <v>3.186264812377968</v>
      </c>
      <c r="AG130">
        <f t="shared" si="12"/>
        <v>1</v>
      </c>
      <c r="AH130">
        <f>AF130/AG130</f>
        <v>3.186264812377968</v>
      </c>
      <c r="AI130">
        <f t="shared" si="13"/>
        <v>1</v>
      </c>
    </row>
    <row r="131" spans="21:35" x14ac:dyDescent="0.2">
      <c r="U131">
        <v>151492.34629700001</v>
      </c>
      <c r="V131">
        <v>159983.50701999999</v>
      </c>
      <c r="W131" s="45" t="s">
        <v>105</v>
      </c>
      <c r="X131">
        <v>18511.165940533701</v>
      </c>
      <c r="Y131">
        <v>3746.33131797134</v>
      </c>
      <c r="Z131">
        <v>98502.141149999996</v>
      </c>
      <c r="AA131">
        <v>50098.510679999999</v>
      </c>
      <c r="AB131">
        <f t="shared" si="14"/>
        <v>0.12219208688102731</v>
      </c>
      <c r="AC131">
        <f t="shared" si="15"/>
        <v>2.3416984586436155E-2</v>
      </c>
      <c r="AD131">
        <f t="shared" si="16"/>
        <v>0.65021199788461281</v>
      </c>
      <c r="AE131">
        <f t="shared" si="17"/>
        <v>0.31314797139518291</v>
      </c>
      <c r="AF131">
        <f t="shared" si="12"/>
        <v>4.4934239379998493</v>
      </c>
      <c r="AG131">
        <f t="shared" si="12"/>
        <v>0.86112318548840128</v>
      </c>
      <c r="AI131">
        <f t="shared" si="13"/>
        <v>0.95026288740414921</v>
      </c>
    </row>
    <row r="132" spans="21:35" x14ac:dyDescent="0.2">
      <c r="U132">
        <v>141019.253471</v>
      </c>
      <c r="V132">
        <v>158391.430333</v>
      </c>
      <c r="W132" s="45" t="s">
        <v>105</v>
      </c>
      <c r="X132">
        <v>18119.433850359401</v>
      </c>
      <c r="Y132">
        <v>9014.8342789549806</v>
      </c>
      <c r="Z132">
        <v>206298.161918</v>
      </c>
      <c r="AA132">
        <v>80126.309364000001</v>
      </c>
      <c r="AB132">
        <f t="shared" si="14"/>
        <v>0.12848907794059189</v>
      </c>
      <c r="AC132">
        <f t="shared" si="15"/>
        <v>5.6914911747449434E-2</v>
      </c>
      <c r="AD132">
        <f t="shared" si="16"/>
        <v>1.4629077720966968</v>
      </c>
      <c r="AE132">
        <f t="shared" si="17"/>
        <v>0.50587528122918979</v>
      </c>
      <c r="AF132">
        <f t="shared" si="12"/>
        <v>4.7249859899023434</v>
      </c>
      <c r="AG132">
        <f t="shared" si="12"/>
        <v>2.0929573543018614</v>
      </c>
      <c r="AI132">
        <f t="shared" si="13"/>
        <v>1.5351033674766785</v>
      </c>
    </row>
    <row r="133" spans="21:35" x14ac:dyDescent="0.2">
      <c r="U133">
        <v>90695.817014</v>
      </c>
      <c r="V133">
        <v>94503.782531000004</v>
      </c>
      <c r="W133" s="45" t="s">
        <v>105</v>
      </c>
      <c r="X133">
        <v>3723.5299082433698</v>
      </c>
      <c r="Y133">
        <v>5815.7766827276801</v>
      </c>
      <c r="Z133">
        <v>28623.213210000002</v>
      </c>
      <c r="AA133">
        <v>14664.489256999999</v>
      </c>
      <c r="AB133">
        <f t="shared" si="14"/>
        <v>4.1055144887978658E-2</v>
      </c>
      <c r="AC133">
        <f t="shared" si="15"/>
        <v>6.154014714511491E-2</v>
      </c>
      <c r="AD133">
        <f t="shared" si="16"/>
        <v>0.3155957369630582</v>
      </c>
      <c r="AE133">
        <f t="shared" si="17"/>
        <v>0.15517356939855415</v>
      </c>
      <c r="AF133">
        <f t="shared" si="12"/>
        <v>1.509739096258444</v>
      </c>
      <c r="AG133">
        <f t="shared" si="12"/>
        <v>2.263043191979631</v>
      </c>
      <c r="AI133">
        <f t="shared" si="13"/>
        <v>0.47088181171511961</v>
      </c>
    </row>
    <row r="134" spans="21:35" x14ac:dyDescent="0.2">
      <c r="U134">
        <v>43788.634205000002</v>
      </c>
      <c r="V134">
        <v>68960.217715000006</v>
      </c>
      <c r="W134" s="45" t="s">
        <v>105</v>
      </c>
      <c r="X134">
        <v>5491.9736485170597</v>
      </c>
      <c r="Y134">
        <v>0</v>
      </c>
      <c r="Z134">
        <v>39247.304080000002</v>
      </c>
      <c r="AA134">
        <v>0</v>
      </c>
      <c r="AB134">
        <f t="shared" si="14"/>
        <v>0.12542007185713866</v>
      </c>
      <c r="AC134">
        <f t="shared" si="15"/>
        <v>0</v>
      </c>
      <c r="AD134">
        <f t="shared" si="16"/>
        <v>0.89628975172554137</v>
      </c>
      <c r="AE134">
        <f t="shared" si="17"/>
        <v>0</v>
      </c>
      <c r="AF134">
        <f t="shared" si="12"/>
        <v>4.6121280647023024</v>
      </c>
      <c r="AG134">
        <f t="shared" si="12"/>
        <v>0</v>
      </c>
      <c r="AI134">
        <f t="shared" si="13"/>
        <v>0</v>
      </c>
    </row>
    <row r="135" spans="21:35" x14ac:dyDescent="0.2">
      <c r="U135">
        <v>24531.837340999999</v>
      </c>
      <c r="V135">
        <v>32456.878184000001</v>
      </c>
      <c r="W135" s="45" t="s">
        <v>105</v>
      </c>
      <c r="X135">
        <v>0</v>
      </c>
      <c r="Y135">
        <v>0</v>
      </c>
      <c r="Z135">
        <v>0</v>
      </c>
      <c r="AA135">
        <v>0</v>
      </c>
      <c r="AB135">
        <f t="shared" si="14"/>
        <v>0</v>
      </c>
      <c r="AC135">
        <f t="shared" si="15"/>
        <v>0</v>
      </c>
      <c r="AD135">
        <f t="shared" si="16"/>
        <v>0</v>
      </c>
      <c r="AE135">
        <f t="shared" si="17"/>
        <v>0</v>
      </c>
      <c r="AF135">
        <f t="shared" si="12"/>
        <v>0</v>
      </c>
      <c r="AG135">
        <f t="shared" si="12"/>
        <v>0</v>
      </c>
      <c r="AI135">
        <f t="shared" si="13"/>
        <v>0</v>
      </c>
    </row>
    <row r="136" spans="21:35" x14ac:dyDescent="0.2">
      <c r="W136" s="45"/>
    </row>
    <row r="137" spans="21:35" x14ac:dyDescent="0.2">
      <c r="W137" s="45"/>
    </row>
    <row r="138" spans="21:35" x14ac:dyDescent="0.2">
      <c r="W138" s="45"/>
    </row>
    <row r="139" spans="21:35" x14ac:dyDescent="0.2">
      <c r="W139" s="45"/>
    </row>
    <row r="140" spans="21:35" x14ac:dyDescent="0.2">
      <c r="W140" s="45"/>
    </row>
    <row r="141" spans="21:35" x14ac:dyDescent="0.2">
      <c r="W141" s="45"/>
    </row>
    <row r="142" spans="21:35" x14ac:dyDescent="0.2">
      <c r="W142" s="45"/>
    </row>
    <row r="143" spans="21:35" x14ac:dyDescent="0.2">
      <c r="W143" s="45"/>
    </row>
    <row r="144" spans="21:35" x14ac:dyDescent="0.2">
      <c r="W144" s="45"/>
    </row>
    <row r="145" spans="23:24" x14ac:dyDescent="0.2">
      <c r="W145" s="45"/>
    </row>
    <row r="146" spans="23:24" x14ac:dyDescent="0.2">
      <c r="W146" s="45"/>
    </row>
    <row r="147" spans="23:24" x14ac:dyDescent="0.2">
      <c r="W147">
        <v>0</v>
      </c>
      <c r="X147">
        <v>0</v>
      </c>
    </row>
    <row r="148" spans="23:24" x14ac:dyDescent="0.2">
      <c r="W148">
        <v>0</v>
      </c>
      <c r="X148">
        <v>0</v>
      </c>
    </row>
    <row r="149" spans="23:24" x14ac:dyDescent="0.2">
      <c r="W149">
        <v>2470923.7152880002</v>
      </c>
      <c r="X149">
        <v>2312223.1532709999</v>
      </c>
    </row>
    <row r="150" spans="23:24" x14ac:dyDescent="0.2">
      <c r="W150">
        <v>3771732.8050799998</v>
      </c>
      <c r="X150">
        <v>3619047.8499719999</v>
      </c>
    </row>
    <row r="151" spans="23:24" x14ac:dyDescent="0.2">
      <c r="W151">
        <v>3744973.709797</v>
      </c>
      <c r="X151">
        <v>3557197.403248</v>
      </c>
    </row>
    <row r="152" spans="23:24" x14ac:dyDescent="0.2">
      <c r="W152">
        <v>1843194.2768310001</v>
      </c>
      <c r="X152">
        <v>1385914.051131</v>
      </c>
    </row>
    <row r="153" spans="23:24" x14ac:dyDescent="0.2">
      <c r="W153">
        <v>807101.449685</v>
      </c>
      <c r="X153">
        <v>781380.56562600005</v>
      </c>
    </row>
    <row r="154" spans="23:24" x14ac:dyDescent="0.2">
      <c r="W154">
        <v>219728.81426099999</v>
      </c>
      <c r="X154">
        <v>356031.19452899997</v>
      </c>
    </row>
    <row r="155" spans="23:24" x14ac:dyDescent="0.2">
      <c r="W155">
        <v>1054395.5191029999</v>
      </c>
      <c r="X155">
        <v>763186.88105500001</v>
      </c>
    </row>
    <row r="156" spans="23:24" x14ac:dyDescent="0.2">
      <c r="W156">
        <v>2160154.5919750002</v>
      </c>
      <c r="X156">
        <v>1821872.57378</v>
      </c>
    </row>
    <row r="157" spans="23:24" x14ac:dyDescent="0.2">
      <c r="W157">
        <v>1184351.165883</v>
      </c>
      <c r="X157">
        <v>1456564.6242289999</v>
      </c>
    </row>
    <row r="158" spans="23:24" x14ac:dyDescent="0.2">
      <c r="W158">
        <v>645601.59391099995</v>
      </c>
      <c r="X158">
        <v>1255992.8389630001</v>
      </c>
    </row>
    <row r="159" spans="23:24" x14ac:dyDescent="0.2">
      <c r="W159">
        <v>715072.64294499997</v>
      </c>
      <c r="X159">
        <v>885848.65119600005</v>
      </c>
    </row>
    <row r="160" spans="23:24" x14ac:dyDescent="0.2">
      <c r="W160">
        <v>385347.49628299999</v>
      </c>
      <c r="X160">
        <v>852299.87735299999</v>
      </c>
    </row>
    <row r="161" spans="23:24" x14ac:dyDescent="0.2">
      <c r="W161">
        <v>294883.15097399999</v>
      </c>
      <c r="X161">
        <v>421699.77268499997</v>
      </c>
    </row>
    <row r="162" spans="23:24" x14ac:dyDescent="0.2">
      <c r="W162">
        <v>56795.333400000003</v>
      </c>
      <c r="X162">
        <v>85878.970455000002</v>
      </c>
    </row>
    <row r="163" spans="23:24" x14ac:dyDescent="0.2">
      <c r="W163">
        <v>0</v>
      </c>
      <c r="X163">
        <v>37319.768114999999</v>
      </c>
    </row>
    <row r="164" spans="23:24" x14ac:dyDescent="0.2">
      <c r="W164">
        <v>144179.30793000001</v>
      </c>
      <c r="X164">
        <v>66418.235814999993</v>
      </c>
    </row>
    <row r="165" spans="23:24" x14ac:dyDescent="0.2">
      <c r="W165">
        <v>120334.71041</v>
      </c>
      <c r="X165">
        <v>13313.348225</v>
      </c>
    </row>
    <row r="166" spans="23:24" x14ac:dyDescent="0.2">
      <c r="W166">
        <v>97034.722248000005</v>
      </c>
      <c r="X166">
        <v>41989.177544999999</v>
      </c>
    </row>
    <row r="167" spans="23:24" x14ac:dyDescent="0.2">
      <c r="W167">
        <v>192269.927455</v>
      </c>
      <c r="X167">
        <v>67336.604999999996</v>
      </c>
    </row>
    <row r="168" spans="23:24" x14ac:dyDescent="0.2">
      <c r="W168">
        <v>397.660394</v>
      </c>
      <c r="X168">
        <v>9404.0627399999994</v>
      </c>
    </row>
    <row r="169" spans="23:24" x14ac:dyDescent="0.2">
      <c r="W169">
        <v>39063.455199999997</v>
      </c>
      <c r="X169">
        <v>0</v>
      </c>
    </row>
    <row r="170" spans="23:24" x14ac:dyDescent="0.2">
      <c r="W170">
        <v>0</v>
      </c>
      <c r="X170">
        <v>0</v>
      </c>
    </row>
    <row r="171" spans="23:24" x14ac:dyDescent="0.2">
      <c r="W171">
        <v>11725.26561</v>
      </c>
      <c r="X171">
        <v>0</v>
      </c>
    </row>
    <row r="172" spans="23:24" x14ac:dyDescent="0.2">
      <c r="W172">
        <v>364896.51552000002</v>
      </c>
      <c r="X172">
        <v>468059.84637799999</v>
      </c>
    </row>
    <row r="173" spans="23:24" x14ac:dyDescent="0.2">
      <c r="W173">
        <v>412622.14985500003</v>
      </c>
      <c r="X173">
        <v>409898.96735400002</v>
      </c>
    </row>
    <row r="174" spans="23:24" x14ac:dyDescent="0.2">
      <c r="W174">
        <v>288891.304213</v>
      </c>
      <c r="X174">
        <v>255665.29968200001</v>
      </c>
    </row>
    <row r="175" spans="23:24" x14ac:dyDescent="0.2">
      <c r="W175">
        <v>98611.535833999995</v>
      </c>
      <c r="X175">
        <v>218001.43599599999</v>
      </c>
    </row>
    <row r="176" spans="23:24" x14ac:dyDescent="0.2">
      <c r="W176">
        <v>103820.33203000001</v>
      </c>
      <c r="X176">
        <v>69052.834627999997</v>
      </c>
    </row>
    <row r="177" spans="23:24" x14ac:dyDescent="0.2">
      <c r="W177">
        <v>19052.479449999999</v>
      </c>
      <c r="X177">
        <v>15227.596325</v>
      </c>
    </row>
    <row r="178" spans="23:24" x14ac:dyDescent="0.2">
      <c r="W178">
        <v>0</v>
      </c>
      <c r="X178">
        <v>62820.525543000003</v>
      </c>
    </row>
    <row r="179" spans="23:24" x14ac:dyDescent="0.2">
      <c r="W179">
        <v>0</v>
      </c>
      <c r="X179">
        <v>0</v>
      </c>
    </row>
    <row r="180" spans="23:24" x14ac:dyDescent="0.2">
      <c r="W180">
        <v>0</v>
      </c>
      <c r="X180">
        <v>0</v>
      </c>
    </row>
    <row r="181" spans="23:24" x14ac:dyDescent="0.2">
      <c r="W181">
        <v>0</v>
      </c>
      <c r="X181">
        <v>0</v>
      </c>
    </row>
    <row r="182" spans="23:24" x14ac:dyDescent="0.2">
      <c r="W182">
        <v>0</v>
      </c>
      <c r="X182">
        <v>6660.7665870000001</v>
      </c>
    </row>
    <row r="183" spans="23:24" x14ac:dyDescent="0.2">
      <c r="W183">
        <v>6714.6724400000003</v>
      </c>
      <c r="X183">
        <v>23326.452539999998</v>
      </c>
    </row>
    <row r="184" spans="23:24" x14ac:dyDescent="0.2">
      <c r="W184">
        <v>0</v>
      </c>
      <c r="X184">
        <v>0</v>
      </c>
    </row>
    <row r="185" spans="23:24" x14ac:dyDescent="0.2">
      <c r="W185">
        <v>0</v>
      </c>
      <c r="X185">
        <v>0</v>
      </c>
    </row>
    <row r="186" spans="23:24" x14ac:dyDescent="0.2">
      <c r="W186">
        <v>0</v>
      </c>
      <c r="X186">
        <v>0</v>
      </c>
    </row>
    <row r="187" spans="23:24" x14ac:dyDescent="0.2">
      <c r="W187">
        <v>0</v>
      </c>
      <c r="X187">
        <v>0</v>
      </c>
    </row>
    <row r="188" spans="23:24" x14ac:dyDescent="0.2">
      <c r="W188">
        <v>0</v>
      </c>
      <c r="X188">
        <v>0</v>
      </c>
    </row>
    <row r="189" spans="23:24" x14ac:dyDescent="0.2">
      <c r="W189">
        <v>0</v>
      </c>
      <c r="X189">
        <v>0</v>
      </c>
    </row>
    <row r="190" spans="23:24" x14ac:dyDescent="0.2">
      <c r="W190">
        <v>0</v>
      </c>
      <c r="X190">
        <v>0</v>
      </c>
    </row>
    <row r="191" spans="23:24" x14ac:dyDescent="0.2">
      <c r="W191">
        <v>0</v>
      </c>
      <c r="X191">
        <v>1596.7493320000001</v>
      </c>
    </row>
    <row r="192" spans="23:24" x14ac:dyDescent="0.2">
      <c r="W192">
        <v>1574.343787</v>
      </c>
      <c r="X192">
        <v>0</v>
      </c>
    </row>
    <row r="193" spans="23:24" x14ac:dyDescent="0.2">
      <c r="W193">
        <v>0</v>
      </c>
      <c r="X193">
        <v>0</v>
      </c>
    </row>
    <row r="194" spans="23:24" x14ac:dyDescent="0.2">
      <c r="W194">
        <v>0</v>
      </c>
      <c r="X194">
        <v>0</v>
      </c>
    </row>
    <row r="195" spans="23:24" x14ac:dyDescent="0.2">
      <c r="W195">
        <v>0</v>
      </c>
      <c r="X195">
        <v>0</v>
      </c>
    </row>
    <row r="196" spans="23:24" x14ac:dyDescent="0.2">
      <c r="W196">
        <v>0</v>
      </c>
      <c r="X196">
        <v>0</v>
      </c>
    </row>
    <row r="197" spans="23:24" x14ac:dyDescent="0.2">
      <c r="W197">
        <v>0</v>
      </c>
      <c r="X197">
        <v>0</v>
      </c>
    </row>
    <row r="198" spans="23:24" x14ac:dyDescent="0.2">
      <c r="W198">
        <v>0</v>
      </c>
      <c r="X198">
        <v>0</v>
      </c>
    </row>
    <row r="199" spans="23:24" x14ac:dyDescent="0.2">
      <c r="W199">
        <v>0</v>
      </c>
      <c r="X199">
        <v>0</v>
      </c>
    </row>
    <row r="200" spans="23:24" x14ac:dyDescent="0.2">
      <c r="W200">
        <v>0</v>
      </c>
      <c r="X200">
        <v>0</v>
      </c>
    </row>
    <row r="201" spans="23:24" x14ac:dyDescent="0.2">
      <c r="W201">
        <v>0</v>
      </c>
      <c r="X201">
        <v>0</v>
      </c>
    </row>
    <row r="202" spans="23:24" x14ac:dyDescent="0.2">
      <c r="W202">
        <v>0</v>
      </c>
      <c r="X202">
        <v>0</v>
      </c>
    </row>
    <row r="203" spans="23:24" x14ac:dyDescent="0.2">
      <c r="W203">
        <v>0</v>
      </c>
      <c r="X203">
        <v>0</v>
      </c>
    </row>
    <row r="204" spans="23:24" x14ac:dyDescent="0.2">
      <c r="W204">
        <v>0</v>
      </c>
      <c r="X204">
        <v>0</v>
      </c>
    </row>
    <row r="205" spans="23:24" x14ac:dyDescent="0.2">
      <c r="W205">
        <v>0</v>
      </c>
      <c r="X205">
        <v>0</v>
      </c>
    </row>
    <row r="206" spans="23:24" x14ac:dyDescent="0.2">
      <c r="W206">
        <v>0</v>
      </c>
      <c r="X206">
        <v>0</v>
      </c>
    </row>
    <row r="207" spans="23:24" x14ac:dyDescent="0.2">
      <c r="W207">
        <v>0</v>
      </c>
      <c r="X207">
        <v>2159.07701</v>
      </c>
    </row>
    <row r="208" spans="23:24" x14ac:dyDescent="0.2">
      <c r="W208">
        <v>2162.733455</v>
      </c>
      <c r="X208">
        <v>0</v>
      </c>
    </row>
    <row r="209" spans="23:24" x14ac:dyDescent="0.2">
      <c r="W209">
        <v>0</v>
      </c>
      <c r="X209">
        <v>0</v>
      </c>
    </row>
    <row r="210" spans="23:24" x14ac:dyDescent="0.2">
      <c r="W210">
        <v>0</v>
      </c>
      <c r="X210">
        <v>0</v>
      </c>
    </row>
    <row r="211" spans="23:24" x14ac:dyDescent="0.2">
      <c r="W211">
        <v>0</v>
      </c>
      <c r="X211">
        <v>0</v>
      </c>
    </row>
    <row r="212" spans="23:24" x14ac:dyDescent="0.2">
      <c r="W212">
        <v>0</v>
      </c>
      <c r="X212">
        <v>0</v>
      </c>
    </row>
    <row r="213" spans="23:24" x14ac:dyDescent="0.2">
      <c r="W213">
        <v>0</v>
      </c>
      <c r="X213">
        <v>0</v>
      </c>
    </row>
    <row r="214" spans="23:24" x14ac:dyDescent="0.2">
      <c r="W214">
        <v>0</v>
      </c>
      <c r="X214">
        <v>0</v>
      </c>
    </row>
    <row r="215" spans="23:24" x14ac:dyDescent="0.2">
      <c r="W215">
        <v>0</v>
      </c>
      <c r="X215">
        <v>10349.210445000001</v>
      </c>
    </row>
    <row r="216" spans="23:24" x14ac:dyDescent="0.2">
      <c r="W216">
        <v>19508.51571</v>
      </c>
      <c r="X216">
        <v>0</v>
      </c>
    </row>
    <row r="217" spans="23:24" x14ac:dyDescent="0.2">
      <c r="W217">
        <v>0</v>
      </c>
      <c r="X217">
        <v>0</v>
      </c>
    </row>
    <row r="218" spans="23:24" x14ac:dyDescent="0.2">
      <c r="W218">
        <v>0</v>
      </c>
      <c r="X218">
        <v>0</v>
      </c>
    </row>
    <row r="219" spans="23:24" x14ac:dyDescent="0.2">
      <c r="W219">
        <v>0</v>
      </c>
      <c r="X219">
        <v>0</v>
      </c>
    </row>
    <row r="220" spans="23:24" x14ac:dyDescent="0.2">
      <c r="W220">
        <v>81371.430519999994</v>
      </c>
      <c r="X220">
        <v>7798.2561999999998</v>
      </c>
    </row>
    <row r="221" spans="23:24" x14ac:dyDescent="0.2">
      <c r="W221">
        <v>26261.085215999999</v>
      </c>
      <c r="X221">
        <v>203458.453224</v>
      </c>
    </row>
    <row r="222" spans="23:24" x14ac:dyDescent="0.2">
      <c r="W222">
        <v>250943.366989</v>
      </c>
      <c r="X222">
        <v>107479.915983</v>
      </c>
    </row>
    <row r="223" spans="23:24" x14ac:dyDescent="0.2">
      <c r="W223">
        <v>79937.666354000001</v>
      </c>
      <c r="X223">
        <v>15025.189611</v>
      </c>
    </row>
    <row r="224" spans="23:24" x14ac:dyDescent="0.2">
      <c r="W224">
        <v>56981.544428000001</v>
      </c>
      <c r="X224">
        <v>11717.693467999999</v>
      </c>
    </row>
    <row r="225" spans="23:24" x14ac:dyDescent="0.2">
      <c r="W225">
        <v>8454.5460500000008</v>
      </c>
      <c r="X225">
        <v>50980.7618</v>
      </c>
    </row>
    <row r="226" spans="23:24" x14ac:dyDescent="0.2">
      <c r="W226">
        <v>0</v>
      </c>
      <c r="X226">
        <v>0</v>
      </c>
    </row>
  </sheetData>
  <mergeCells count="14">
    <mergeCell ref="B4:B5"/>
    <mergeCell ref="C4:C5"/>
    <mergeCell ref="L4:M4"/>
    <mergeCell ref="F4:G4"/>
    <mergeCell ref="J4:K4"/>
    <mergeCell ref="D4:E4"/>
    <mergeCell ref="H4:I4"/>
    <mergeCell ref="Y4:Z4"/>
    <mergeCell ref="O4:O5"/>
    <mergeCell ref="P4:P5"/>
    <mergeCell ref="Q4:R4"/>
    <mergeCell ref="S4:T4"/>
    <mergeCell ref="U4:V4"/>
    <mergeCell ref="W4:X4"/>
  </mergeCells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0.749992370372631"/>
  </sheetPr>
  <dimension ref="A1:AB72"/>
  <sheetViews>
    <sheetView workbookViewId="0"/>
  </sheetViews>
  <sheetFormatPr defaultRowHeight="15" customHeight="1" x14ac:dyDescent="0.2"/>
  <cols>
    <col min="1" max="1" width="19.28515625" style="7" customWidth="1"/>
    <col min="2" max="4" width="11.140625" style="7" bestFit="1" customWidth="1"/>
    <col min="5" max="5" width="11" style="7" customWidth="1"/>
    <col min="6" max="6" width="12.140625" style="7" customWidth="1"/>
    <col min="7" max="7" width="7.85546875" style="7" bestFit="1" customWidth="1"/>
    <col min="8" max="16384" width="9.140625" style="7"/>
  </cols>
  <sheetData>
    <row r="1" spans="1:7" ht="15" customHeight="1" x14ac:dyDescent="0.2">
      <c r="A1" s="7" t="s">
        <v>59</v>
      </c>
    </row>
    <row r="2" spans="1:7" ht="15" customHeight="1" x14ac:dyDescent="0.2">
      <c r="A2" s="594" t="s">
        <v>25</v>
      </c>
      <c r="B2" s="594" t="s">
        <v>35</v>
      </c>
      <c r="C2" s="594"/>
      <c r="D2" s="594"/>
      <c r="E2" s="594"/>
      <c r="F2" s="594"/>
      <c r="G2" s="594"/>
    </row>
    <row r="3" spans="1:7" ht="15" customHeight="1" x14ac:dyDescent="0.2">
      <c r="A3" s="594"/>
      <c r="B3" s="12" t="s">
        <v>36</v>
      </c>
      <c r="C3" s="12" t="s">
        <v>37</v>
      </c>
      <c r="D3" s="12" t="s">
        <v>38</v>
      </c>
      <c r="E3" s="12"/>
      <c r="F3" s="12"/>
      <c r="G3" s="12"/>
    </row>
    <row r="4" spans="1:7" ht="15" customHeight="1" x14ac:dyDescent="0.2">
      <c r="A4" s="13" t="s">
        <v>39</v>
      </c>
      <c r="B4" s="14">
        <v>308745538</v>
      </c>
      <c r="C4" s="15">
        <v>151781326</v>
      </c>
      <c r="D4" s="15">
        <v>156964212</v>
      </c>
      <c r="E4" s="16"/>
      <c r="F4" s="16"/>
      <c r="G4" s="16"/>
    </row>
    <row r="5" spans="1:7" ht="15" customHeight="1" x14ac:dyDescent="0.2">
      <c r="A5" s="17" t="s">
        <v>40</v>
      </c>
      <c r="B5" s="15">
        <v>20201362</v>
      </c>
      <c r="C5" s="15">
        <v>10319427</v>
      </c>
      <c r="D5" s="15">
        <v>9881935</v>
      </c>
      <c r="E5" s="16"/>
      <c r="F5" s="16"/>
      <c r="G5" s="16"/>
    </row>
    <row r="6" spans="1:7" ht="15" customHeight="1" x14ac:dyDescent="0.2">
      <c r="A6" s="17" t="s">
        <v>41</v>
      </c>
      <c r="B6" s="15">
        <v>20348657</v>
      </c>
      <c r="C6" s="15">
        <v>10389638</v>
      </c>
      <c r="D6" s="15">
        <v>9959019</v>
      </c>
      <c r="E6" s="16"/>
      <c r="F6" s="16"/>
      <c r="G6" s="16"/>
    </row>
    <row r="7" spans="1:7" ht="15" customHeight="1" x14ac:dyDescent="0.2">
      <c r="A7" s="17" t="s">
        <v>42</v>
      </c>
      <c r="B7" s="15">
        <v>20677194</v>
      </c>
      <c r="C7" s="15">
        <v>10579862</v>
      </c>
      <c r="D7" s="15">
        <v>10097332</v>
      </c>
      <c r="E7" s="16"/>
      <c r="F7" s="16"/>
      <c r="G7" s="16"/>
    </row>
    <row r="8" spans="1:7" ht="15" customHeight="1" x14ac:dyDescent="0.2">
      <c r="A8" s="17" t="s">
        <v>43</v>
      </c>
      <c r="B8" s="15">
        <v>22040343</v>
      </c>
      <c r="C8" s="15">
        <v>11303666</v>
      </c>
      <c r="D8" s="15">
        <v>10736677</v>
      </c>
      <c r="E8" s="16"/>
      <c r="F8" s="16"/>
      <c r="G8" s="16"/>
    </row>
    <row r="9" spans="1:7" ht="15" customHeight="1" x14ac:dyDescent="0.2">
      <c r="A9" s="17" t="s">
        <v>44</v>
      </c>
      <c r="B9" s="15">
        <v>21585999</v>
      </c>
      <c r="C9" s="15">
        <v>11014176</v>
      </c>
      <c r="D9" s="15">
        <v>10571823</v>
      </c>
      <c r="E9" s="16"/>
      <c r="F9" s="16"/>
      <c r="G9" s="16"/>
    </row>
    <row r="10" spans="1:7" ht="15" customHeight="1" x14ac:dyDescent="0.2">
      <c r="A10" s="17" t="s">
        <v>45</v>
      </c>
      <c r="B10" s="15">
        <v>21101849</v>
      </c>
      <c r="C10" s="15">
        <v>10635591</v>
      </c>
      <c r="D10" s="15">
        <v>10466258</v>
      </c>
      <c r="E10" s="16"/>
      <c r="F10" s="16"/>
      <c r="G10" s="16"/>
    </row>
    <row r="11" spans="1:7" ht="15" customHeight="1" x14ac:dyDescent="0.2">
      <c r="A11" s="17" t="s">
        <v>46</v>
      </c>
      <c r="B11" s="15">
        <v>19962099</v>
      </c>
      <c r="C11" s="15">
        <v>9996500</v>
      </c>
      <c r="D11" s="15">
        <v>9965599</v>
      </c>
      <c r="E11" s="16"/>
      <c r="F11" s="16"/>
      <c r="G11" s="16"/>
    </row>
    <row r="12" spans="1:7" ht="15" customHeight="1" x14ac:dyDescent="0.2">
      <c r="A12" s="17" t="s">
        <v>47</v>
      </c>
      <c r="B12" s="15">
        <v>20179642</v>
      </c>
      <c r="C12" s="15">
        <v>10042022</v>
      </c>
      <c r="D12" s="15">
        <v>10137620</v>
      </c>
      <c r="E12" s="16"/>
      <c r="F12" s="16"/>
      <c r="G12" s="16"/>
    </row>
    <row r="13" spans="1:7" ht="15" customHeight="1" x14ac:dyDescent="0.2">
      <c r="A13" s="17" t="s">
        <v>48</v>
      </c>
      <c r="B13" s="15">
        <v>20890964</v>
      </c>
      <c r="C13" s="15">
        <v>10393977</v>
      </c>
      <c r="D13" s="15">
        <v>10496987</v>
      </c>
      <c r="E13" s="16"/>
      <c r="F13" s="16"/>
      <c r="G13" s="16"/>
    </row>
    <row r="14" spans="1:7" ht="15" customHeight="1" x14ac:dyDescent="0.2">
      <c r="A14" s="17" t="s">
        <v>49</v>
      </c>
      <c r="B14" s="15">
        <v>22708591</v>
      </c>
      <c r="C14" s="15">
        <v>11209085</v>
      </c>
      <c r="D14" s="15">
        <v>11499506</v>
      </c>
      <c r="E14" s="16"/>
      <c r="F14" s="16"/>
      <c r="G14" s="16"/>
    </row>
    <row r="15" spans="1:7" ht="15" customHeight="1" x14ac:dyDescent="0.2">
      <c r="A15" s="17" t="s">
        <v>50</v>
      </c>
      <c r="B15" s="15">
        <v>22298125</v>
      </c>
      <c r="C15" s="15">
        <v>10933274</v>
      </c>
      <c r="D15" s="15">
        <v>11364851</v>
      </c>
      <c r="E15" s="16"/>
      <c r="F15" s="16"/>
      <c r="G15" s="16"/>
    </row>
    <row r="16" spans="1:7" ht="15" customHeight="1" x14ac:dyDescent="0.2">
      <c r="A16" s="17" t="s">
        <v>51</v>
      </c>
      <c r="B16" s="15">
        <v>19664805</v>
      </c>
      <c r="C16" s="15">
        <v>9523648</v>
      </c>
      <c r="D16" s="15">
        <v>10141157</v>
      </c>
      <c r="E16" s="16"/>
      <c r="F16" s="16"/>
      <c r="G16" s="16"/>
    </row>
    <row r="17" spans="1:28" ht="15" customHeight="1" x14ac:dyDescent="0.2">
      <c r="A17" s="17" t="s">
        <v>52</v>
      </c>
      <c r="B17" s="15">
        <v>16817924</v>
      </c>
      <c r="C17" s="15">
        <v>8077500</v>
      </c>
      <c r="D17" s="15">
        <v>8740424</v>
      </c>
      <c r="E17" s="16"/>
      <c r="F17" s="16"/>
      <c r="G17" s="16"/>
    </row>
    <row r="18" spans="1:28" ht="15" customHeight="1" x14ac:dyDescent="0.2">
      <c r="A18" s="17" t="s">
        <v>53</v>
      </c>
      <c r="B18" s="15">
        <v>12435263</v>
      </c>
      <c r="C18" s="15">
        <v>5852547</v>
      </c>
      <c r="D18" s="15">
        <v>6582716</v>
      </c>
      <c r="E18" s="16"/>
      <c r="F18" s="16"/>
      <c r="G18" s="16"/>
    </row>
    <row r="19" spans="1:28" ht="15" customHeight="1" x14ac:dyDescent="0.2">
      <c r="A19" s="17" t="s">
        <v>54</v>
      </c>
      <c r="B19" s="15">
        <v>9278166</v>
      </c>
      <c r="C19" s="15">
        <v>4243972</v>
      </c>
      <c r="D19" s="15">
        <v>5034194</v>
      </c>
      <c r="E19" s="16"/>
      <c r="F19" s="16"/>
      <c r="G19" s="16"/>
    </row>
    <row r="20" spans="1:28" ht="15" customHeight="1" x14ac:dyDescent="0.2">
      <c r="A20" s="17" t="s">
        <v>55</v>
      </c>
      <c r="B20" s="15">
        <v>7317795</v>
      </c>
      <c r="C20" s="15">
        <v>3182388</v>
      </c>
      <c r="D20" s="15">
        <v>4135407</v>
      </c>
      <c r="E20" s="16"/>
      <c r="F20" s="16"/>
      <c r="G20" s="16"/>
    </row>
    <row r="21" spans="1:28" ht="15" customHeight="1" x14ac:dyDescent="0.2">
      <c r="A21" s="17" t="s">
        <v>56</v>
      </c>
      <c r="B21" s="15">
        <v>5743327</v>
      </c>
      <c r="C21" s="15">
        <v>2294374</v>
      </c>
      <c r="D21" s="15">
        <v>3448953</v>
      </c>
      <c r="E21" s="16"/>
      <c r="F21" s="16"/>
      <c r="G21" s="16"/>
    </row>
    <row r="22" spans="1:28" ht="15" customHeight="1" x14ac:dyDescent="0.2">
      <c r="A22" s="17" t="s">
        <v>57</v>
      </c>
      <c r="B22" s="15">
        <v>3620459</v>
      </c>
      <c r="C22" s="15">
        <v>1273867</v>
      </c>
      <c r="D22" s="15">
        <v>2346592</v>
      </c>
      <c r="E22" s="16"/>
      <c r="F22" s="16"/>
      <c r="G22" s="16"/>
    </row>
    <row r="23" spans="1:28" ht="15" customHeight="1" x14ac:dyDescent="0.2">
      <c r="A23" s="17" t="s">
        <v>58</v>
      </c>
      <c r="B23" s="15">
        <v>1872974</v>
      </c>
      <c r="C23" s="15">
        <v>515812</v>
      </c>
      <c r="D23" s="15">
        <v>1357162</v>
      </c>
      <c r="E23" s="16"/>
      <c r="F23" s="16"/>
      <c r="G23" s="16"/>
    </row>
    <row r="24" spans="1:28" ht="15" customHeight="1" x14ac:dyDescent="0.2">
      <c r="A24" s="11"/>
      <c r="B24" s="11"/>
      <c r="C24" s="11"/>
      <c r="D24" s="11"/>
      <c r="E24" s="11"/>
      <c r="F24" s="11"/>
      <c r="G24" s="11"/>
    </row>
    <row r="25" spans="1:28" ht="15" customHeight="1" x14ac:dyDescent="0.2">
      <c r="A25" s="17" t="s">
        <v>60</v>
      </c>
      <c r="M25" s="7" t="s">
        <v>219</v>
      </c>
    </row>
    <row r="26" spans="1:28" ht="15" customHeight="1" x14ac:dyDescent="0.2">
      <c r="A26" s="7" t="s">
        <v>25</v>
      </c>
      <c r="P26"/>
      <c r="Q26"/>
      <c r="R26"/>
      <c r="S26"/>
      <c r="T26"/>
      <c r="U26"/>
      <c r="V26"/>
      <c r="W26"/>
      <c r="X26"/>
      <c r="Y26"/>
      <c r="Z26"/>
    </row>
    <row r="27" spans="1:28" ht="15" customHeight="1" x14ac:dyDescent="0.2">
      <c r="B27" s="7" t="s">
        <v>17</v>
      </c>
      <c r="C27" s="7" t="s">
        <v>37</v>
      </c>
      <c r="D27" s="7" t="s">
        <v>38</v>
      </c>
      <c r="M27" s="7" t="s">
        <v>136</v>
      </c>
      <c r="P27" t="s">
        <v>84</v>
      </c>
      <c r="Q27"/>
      <c r="R27"/>
      <c r="S27"/>
      <c r="T27"/>
      <c r="U27"/>
      <c r="V27"/>
      <c r="W27"/>
      <c r="X27"/>
      <c r="Y27"/>
      <c r="Z27"/>
    </row>
    <row r="28" spans="1:28" ht="15" customHeight="1" x14ac:dyDescent="0.2">
      <c r="B28" s="18">
        <v>930450</v>
      </c>
      <c r="C28" s="18">
        <v>464811</v>
      </c>
      <c r="D28" s="18">
        <v>465639</v>
      </c>
      <c r="J28" s="7" t="s">
        <v>37</v>
      </c>
      <c r="K28" s="7" t="s">
        <v>38</v>
      </c>
      <c r="M28" s="7" t="s">
        <v>216</v>
      </c>
      <c r="N28" s="7" t="s">
        <v>217</v>
      </c>
      <c r="O28" s="7" t="s">
        <v>218</v>
      </c>
      <c r="P28" s="7" t="s">
        <v>216</v>
      </c>
      <c r="Q28" s="7" t="s">
        <v>217</v>
      </c>
      <c r="R28" s="7" t="s">
        <v>218</v>
      </c>
      <c r="S28"/>
      <c r="T28"/>
      <c r="U28"/>
      <c r="V28"/>
      <c r="W28"/>
      <c r="X28"/>
      <c r="Y28"/>
      <c r="Z28"/>
      <c r="AA28"/>
      <c r="AB28"/>
    </row>
    <row r="29" spans="1:28" ht="15" customHeight="1" x14ac:dyDescent="0.2">
      <c r="A29" s="7" t="s">
        <v>40</v>
      </c>
      <c r="B29" s="18">
        <v>78980</v>
      </c>
      <c r="C29" s="18">
        <v>40476</v>
      </c>
      <c r="D29" s="18">
        <v>38504</v>
      </c>
      <c r="E29" s="7">
        <f>C29/$C$28</f>
        <v>8.7080555322485917E-2</v>
      </c>
      <c r="F29" s="7">
        <f>D29/$D$28</f>
        <v>8.2690668092664066E-2</v>
      </c>
      <c r="I29" s="44" t="s">
        <v>9</v>
      </c>
      <c r="J29" s="11">
        <f>(E29)/2</f>
        <v>4.3540277661242958E-2</v>
      </c>
      <c r="K29" s="11">
        <f>(F29)/2</f>
        <v>4.1345334046332033E-2</v>
      </c>
      <c r="M29">
        <v>2233</v>
      </c>
      <c r="N29">
        <v>218.43172733904601</v>
      </c>
      <c r="O29" s="7">
        <f>M29/($M$37+$P$37)</f>
        <v>5.0280335952804484E-2</v>
      </c>
      <c r="P29">
        <v>2247</v>
      </c>
      <c r="Q29">
        <v>244.85579654485599</v>
      </c>
      <c r="R29" s="7">
        <f>P29/($M$37+$P$37)</f>
        <v>5.0595573168809527E-2</v>
      </c>
      <c r="S29"/>
      <c r="T29"/>
      <c r="U29"/>
      <c r="V29"/>
      <c r="W29"/>
      <c r="X29"/>
      <c r="Y29"/>
      <c r="Z29"/>
      <c r="AA29"/>
      <c r="AB29"/>
    </row>
    <row r="30" spans="1:28" ht="15" customHeight="1" x14ac:dyDescent="0.2">
      <c r="A30" s="7" t="s">
        <v>41</v>
      </c>
      <c r="B30" s="18">
        <v>75040</v>
      </c>
      <c r="C30" s="18">
        <v>38161</v>
      </c>
      <c r="D30" s="18">
        <v>36879</v>
      </c>
      <c r="E30" s="7">
        <f t="shared" ref="E30:E47" si="0">C30/$C$28</f>
        <v>8.2100036358864134E-2</v>
      </c>
      <c r="F30" s="7">
        <f t="shared" ref="F30:F47" si="1">D30/$D$28</f>
        <v>7.9200840135813369E-2</v>
      </c>
      <c r="I30" s="44" t="s">
        <v>86</v>
      </c>
      <c r="J30" s="11">
        <f>(E30+E31)/2</f>
        <v>8.2414142522444611E-2</v>
      </c>
      <c r="K30" s="11">
        <f>(F30+F31)/2</f>
        <v>7.928352221356029E-2</v>
      </c>
      <c r="M30">
        <v>4313</v>
      </c>
      <c r="N30">
        <v>280.90040225054202</v>
      </c>
      <c r="O30" s="7">
        <f t="shared" ref="O30:O36" si="2">M30/($M$37+$P$37)</f>
        <v>9.7115579473553842E-2</v>
      </c>
      <c r="P30">
        <v>3838</v>
      </c>
      <c r="Q30">
        <v>260.86748986170602</v>
      </c>
      <c r="R30" s="7">
        <f t="shared" ref="R30:R36" si="3">P30/($M$37+$P$37)</f>
        <v>8.6420031073382725E-2</v>
      </c>
      <c r="S30"/>
      <c r="T30"/>
      <c r="U30"/>
      <c r="V30"/>
      <c r="W30"/>
      <c r="X30"/>
      <c r="Y30"/>
      <c r="Z30"/>
      <c r="AA30"/>
      <c r="AB30"/>
    </row>
    <row r="31" spans="1:28" ht="15" customHeight="1" x14ac:dyDescent="0.2">
      <c r="A31" s="7" t="s">
        <v>42</v>
      </c>
      <c r="B31" s="18">
        <v>75409</v>
      </c>
      <c r="C31" s="18">
        <v>38453</v>
      </c>
      <c r="D31" s="18">
        <v>36956</v>
      </c>
      <c r="E31" s="7">
        <f t="shared" si="0"/>
        <v>8.2728248686025074E-2</v>
      </c>
      <c r="F31" s="7">
        <f t="shared" si="1"/>
        <v>7.936620429130721E-2</v>
      </c>
      <c r="I31" s="44" t="s">
        <v>61</v>
      </c>
      <c r="J31" s="11">
        <f>(E32+E33+E34)/2</f>
        <v>0.1255456518886171</v>
      </c>
      <c r="K31" s="11">
        <f>(F32+F33+F34)/2</f>
        <v>0.11852636914004197</v>
      </c>
      <c r="M31">
        <v>6209</v>
      </c>
      <c r="N31">
        <v>367.29903841907998</v>
      </c>
      <c r="O31" s="7">
        <f t="shared" si="2"/>
        <v>0.13980770529823691</v>
      </c>
      <c r="P31">
        <v>5350</v>
      </c>
      <c r="Q31">
        <v>333.42065787055702</v>
      </c>
      <c r="R31" s="7">
        <f t="shared" si="3"/>
        <v>0.12046565040192746</v>
      </c>
      <c r="S31"/>
      <c r="T31"/>
      <c r="U31"/>
      <c r="V31"/>
      <c r="W31"/>
      <c r="X31"/>
      <c r="Y31"/>
      <c r="Z31"/>
      <c r="AA31"/>
      <c r="AB31"/>
    </row>
    <row r="32" spans="1:28" ht="15" customHeight="1" x14ac:dyDescent="0.2">
      <c r="A32" s="7" t="s">
        <v>43</v>
      </c>
      <c r="B32" s="18">
        <v>81306</v>
      </c>
      <c r="C32" s="18">
        <v>41878</v>
      </c>
      <c r="D32" s="18">
        <v>39428</v>
      </c>
      <c r="E32" s="7">
        <f t="shared" si="0"/>
        <v>9.0096835057690117E-2</v>
      </c>
      <c r="F32" s="7">
        <f t="shared" si="1"/>
        <v>8.4675037958590244E-2</v>
      </c>
      <c r="I32" s="44" t="s">
        <v>62</v>
      </c>
      <c r="J32" s="11">
        <f>(E35+E36+E37)/2</f>
        <v>9.6260630664936925E-2</v>
      </c>
      <c r="K32" s="11">
        <f>(F35+F36+F37)/2</f>
        <v>9.3545643728295949E-2</v>
      </c>
      <c r="M32">
        <v>3846</v>
      </c>
      <c r="N32">
        <v>273.12021990495299</v>
      </c>
      <c r="O32" s="7">
        <f t="shared" si="2"/>
        <v>8.6600166625385597E-2</v>
      </c>
      <c r="P32">
        <v>3928</v>
      </c>
      <c r="Q32">
        <v>242.95812197408799</v>
      </c>
      <c r="R32" s="7">
        <f t="shared" si="3"/>
        <v>8.8446556033415141E-2</v>
      </c>
    </row>
    <row r="33" spans="1:18" ht="15" customHeight="1" x14ac:dyDescent="0.2">
      <c r="A33" s="7" t="s">
        <v>44</v>
      </c>
      <c r="B33" s="18">
        <v>75290</v>
      </c>
      <c r="C33" s="18">
        <v>38646</v>
      </c>
      <c r="D33" s="18">
        <v>36644</v>
      </c>
      <c r="E33" s="7">
        <f t="shared" si="0"/>
        <v>8.3143471217333495E-2</v>
      </c>
      <c r="F33" s="7">
        <f t="shared" si="1"/>
        <v>7.8696157323591878E-2</v>
      </c>
      <c r="I33" s="44" t="s">
        <v>63</v>
      </c>
      <c r="J33" s="11">
        <f>(E38+E39+E40)/2</f>
        <v>8.7417251312899222E-2</v>
      </c>
      <c r="K33" s="11">
        <f>(F38+F39+F40)/2</f>
        <v>8.8796256327326545E-2</v>
      </c>
      <c r="M33">
        <v>3278</v>
      </c>
      <c r="N33">
        <v>214.05255805948801</v>
      </c>
      <c r="O33" s="7">
        <f t="shared" si="2"/>
        <v>7.381054243318097E-2</v>
      </c>
      <c r="P33">
        <v>3409</v>
      </c>
      <c r="Q33">
        <v>220.03224050307099</v>
      </c>
      <c r="R33" s="7">
        <f t="shared" si="3"/>
        <v>7.6760262097228166E-2</v>
      </c>
    </row>
    <row r="34" spans="1:18" ht="15" customHeight="1" x14ac:dyDescent="0.2">
      <c r="A34" s="7" t="s">
        <v>45</v>
      </c>
      <c r="B34" s="18">
        <v>70495</v>
      </c>
      <c r="C34" s="18">
        <v>36186</v>
      </c>
      <c r="D34" s="18">
        <v>34309</v>
      </c>
      <c r="E34" s="7">
        <f t="shared" si="0"/>
        <v>7.785099750221057E-2</v>
      </c>
      <c r="F34" s="7">
        <f t="shared" si="1"/>
        <v>7.3681542997901806E-2</v>
      </c>
      <c r="I34" s="44" t="s">
        <v>64</v>
      </c>
      <c r="J34" s="11">
        <f>(E41+E42)/2</f>
        <v>3.558112867380505E-2</v>
      </c>
      <c r="K34" s="11">
        <f>(F41+F42)/2</f>
        <v>3.8011206106017756E-2</v>
      </c>
      <c r="M34">
        <v>1442</v>
      </c>
      <c r="N34">
        <v>208.02001704507001</v>
      </c>
      <c r="O34" s="7">
        <f t="shared" si="2"/>
        <v>3.2469433248519509E-2</v>
      </c>
      <c r="P34">
        <v>1436</v>
      </c>
      <c r="Q34">
        <v>166.12325684818899</v>
      </c>
      <c r="R34" s="7">
        <f t="shared" si="3"/>
        <v>3.2334331584517352E-2</v>
      </c>
    </row>
    <row r="35" spans="1:18" ht="15" customHeight="1" x14ac:dyDescent="0.2">
      <c r="A35" s="7" t="s">
        <v>46</v>
      </c>
      <c r="B35" s="18">
        <v>62234</v>
      </c>
      <c r="C35" s="18">
        <v>31790</v>
      </c>
      <c r="D35" s="18">
        <v>30444</v>
      </c>
      <c r="E35" s="7">
        <f t="shared" si="0"/>
        <v>6.8393390001527499E-2</v>
      </c>
      <c r="F35" s="7">
        <f t="shared" si="1"/>
        <v>6.5381121426684619E-2</v>
      </c>
      <c r="I35" s="44" t="s">
        <v>65</v>
      </c>
      <c r="J35" s="11">
        <f>(E43+E44)/2</f>
        <v>1.8087997056868275E-2</v>
      </c>
      <c r="K35" s="11">
        <f>(F43+F44)/2</f>
        <v>2.2393957550806524E-2</v>
      </c>
      <c r="M35">
        <v>853</v>
      </c>
      <c r="N35">
        <v>110.011921403367</v>
      </c>
      <c r="O35" s="7">
        <f t="shared" si="2"/>
        <v>1.9206953232307311E-2</v>
      </c>
      <c r="P35">
        <v>949</v>
      </c>
      <c r="Q35">
        <v>110.02367777443099</v>
      </c>
      <c r="R35" s="7">
        <f t="shared" si="3"/>
        <v>2.1368579856341899E-2</v>
      </c>
    </row>
    <row r="36" spans="1:18" ht="15" customHeight="1" x14ac:dyDescent="0.2">
      <c r="A36" s="7" t="s">
        <v>47</v>
      </c>
      <c r="B36" s="18">
        <v>57710</v>
      </c>
      <c r="C36" s="18">
        <v>29033</v>
      </c>
      <c r="D36" s="18">
        <v>28677</v>
      </c>
      <c r="E36" s="7">
        <f t="shared" si="0"/>
        <v>6.2461946898847057E-2</v>
      </c>
      <c r="F36" s="7">
        <f t="shared" si="1"/>
        <v>6.1586336196066051E-2</v>
      </c>
      <c r="I36" s="44" t="s">
        <v>66</v>
      </c>
      <c r="J36" s="11">
        <f>(E45+E46+E47)/2</f>
        <v>1.1152920219185862E-2</v>
      </c>
      <c r="K36" s="11">
        <f>(F45+F46+F47)/2</f>
        <v>1.809771088761895E-2</v>
      </c>
      <c r="M36">
        <v>484</v>
      </c>
      <c r="N36">
        <v>128.463239599004</v>
      </c>
      <c r="O36" s="7">
        <f t="shared" si="2"/>
        <v>1.0898200896174371E-2</v>
      </c>
      <c r="P36">
        <v>596</v>
      </c>
      <c r="Q36">
        <v>126.759017813771</v>
      </c>
      <c r="R36" s="7">
        <f t="shared" si="3"/>
        <v>1.3420098624214722E-2</v>
      </c>
    </row>
    <row r="37" spans="1:18" ht="15" customHeight="1" x14ac:dyDescent="0.2">
      <c r="A37" s="7" t="s">
        <v>48</v>
      </c>
      <c r="B37" s="18">
        <v>56659</v>
      </c>
      <c r="C37" s="18">
        <v>28663</v>
      </c>
      <c r="D37" s="18">
        <v>27996</v>
      </c>
      <c r="E37" s="7">
        <f t="shared" si="0"/>
        <v>6.1665924429499301E-2</v>
      </c>
      <c r="F37" s="7">
        <f t="shared" si="1"/>
        <v>6.0123829833841236E-2</v>
      </c>
      <c r="M37" s="7">
        <f>SUM(M29:M36)</f>
        <v>22658</v>
      </c>
      <c r="P37" s="7">
        <f>SUM(P29:P36)</f>
        <v>21753</v>
      </c>
    </row>
    <row r="38" spans="1:18" ht="15" customHeight="1" x14ac:dyDescent="0.2">
      <c r="A38" s="7" t="s">
        <v>49</v>
      </c>
      <c r="B38" s="18">
        <v>59046</v>
      </c>
      <c r="C38" s="18">
        <v>29446</v>
      </c>
      <c r="D38" s="18">
        <v>29600</v>
      </c>
      <c r="E38" s="7">
        <f t="shared" si="0"/>
        <v>6.3350480087605493E-2</v>
      </c>
      <c r="F38" s="7">
        <f t="shared" si="1"/>
        <v>6.3568558475557244E-2</v>
      </c>
    </row>
    <row r="39" spans="1:18" ht="15" customHeight="1" x14ac:dyDescent="0.2">
      <c r="A39" s="7" t="s">
        <v>50</v>
      </c>
      <c r="B39" s="18">
        <v>56006</v>
      </c>
      <c r="C39" s="18">
        <v>27908</v>
      </c>
      <c r="D39" s="18">
        <v>28098</v>
      </c>
      <c r="E39" s="7">
        <f t="shared" si="0"/>
        <v>6.0041608309614018E-2</v>
      </c>
      <c r="F39" s="7">
        <f t="shared" si="1"/>
        <v>6.0342883650209712E-2</v>
      </c>
    </row>
    <row r="40" spans="1:18" ht="15" customHeight="1" x14ac:dyDescent="0.2">
      <c r="A40" s="7" t="s">
        <v>51</v>
      </c>
      <c r="B40" s="18">
        <v>48907</v>
      </c>
      <c r="C40" s="18">
        <v>23911</v>
      </c>
      <c r="D40" s="18">
        <v>24996</v>
      </c>
      <c r="E40" s="7">
        <f t="shared" si="0"/>
        <v>5.1442414228578925E-2</v>
      </c>
      <c r="F40" s="7">
        <f t="shared" si="1"/>
        <v>5.3681070528886113E-2</v>
      </c>
    </row>
    <row r="41" spans="1:18" ht="15" customHeight="1" x14ac:dyDescent="0.2">
      <c r="A41" s="7" t="s">
        <v>52</v>
      </c>
      <c r="B41" s="18">
        <v>39947</v>
      </c>
      <c r="C41" s="18">
        <v>19497</v>
      </c>
      <c r="D41" s="18">
        <v>20450</v>
      </c>
      <c r="E41" s="7">
        <f t="shared" si="0"/>
        <v>4.1946081310468127E-2</v>
      </c>
      <c r="F41" s="7">
        <f t="shared" si="1"/>
        <v>4.3918142595444111E-2</v>
      </c>
    </row>
    <row r="42" spans="1:18" ht="15" customHeight="1" x14ac:dyDescent="0.2">
      <c r="A42" s="7" t="s">
        <v>53</v>
      </c>
      <c r="B42" s="18">
        <v>28529</v>
      </c>
      <c r="C42" s="18">
        <v>13580</v>
      </c>
      <c r="D42" s="18">
        <v>14949</v>
      </c>
      <c r="E42" s="7">
        <f t="shared" si="0"/>
        <v>2.9216176037141977E-2</v>
      </c>
      <c r="F42" s="7">
        <f t="shared" si="1"/>
        <v>3.2104269616591394E-2</v>
      </c>
    </row>
    <row r="43" spans="1:18" ht="15" customHeight="1" x14ac:dyDescent="0.2">
      <c r="A43" s="7" t="s">
        <v>54</v>
      </c>
      <c r="B43" s="18">
        <v>20970</v>
      </c>
      <c r="C43" s="18">
        <v>9670</v>
      </c>
      <c r="D43" s="18">
        <v>11300</v>
      </c>
      <c r="E43" s="7">
        <f t="shared" si="0"/>
        <v>2.0804154807007581E-2</v>
      </c>
      <c r="F43" s="7">
        <f t="shared" si="1"/>
        <v>2.4267726715330975E-2</v>
      </c>
    </row>
    <row r="44" spans="1:18" ht="15" customHeight="1" x14ac:dyDescent="0.2">
      <c r="A44" s="7" t="s">
        <v>55</v>
      </c>
      <c r="B44" s="18">
        <v>16700</v>
      </c>
      <c r="C44" s="18">
        <v>7145</v>
      </c>
      <c r="D44" s="18">
        <v>9555</v>
      </c>
      <c r="E44" s="7">
        <f t="shared" si="0"/>
        <v>1.5371839306728972E-2</v>
      </c>
      <c r="F44" s="7">
        <f t="shared" si="1"/>
        <v>2.0520188386282077E-2</v>
      </c>
    </row>
    <row r="45" spans="1:18" ht="15" customHeight="1" x14ac:dyDescent="0.2">
      <c r="A45" s="7" t="s">
        <v>56</v>
      </c>
      <c r="B45" s="18">
        <v>13604</v>
      </c>
      <c r="C45" s="18">
        <v>5512</v>
      </c>
      <c r="D45" s="18">
        <v>8092</v>
      </c>
      <c r="E45" s="7">
        <f t="shared" si="0"/>
        <v>1.1858583381202253E-2</v>
      </c>
      <c r="F45" s="7">
        <f t="shared" si="1"/>
        <v>1.7378269431898959E-2</v>
      </c>
    </row>
    <row r="46" spans="1:18" ht="15" customHeight="1" x14ac:dyDescent="0.2">
      <c r="A46" s="7" t="s">
        <v>57</v>
      </c>
      <c r="B46" s="18">
        <v>9073</v>
      </c>
      <c r="C46" s="18">
        <v>3418</v>
      </c>
      <c r="D46" s="18">
        <v>5655</v>
      </c>
      <c r="E46" s="7">
        <f t="shared" si="0"/>
        <v>7.3535264871098143E-3</v>
      </c>
      <c r="F46" s="7">
        <f t="shared" si="1"/>
        <v>1.2144601289840413E-2</v>
      </c>
    </row>
    <row r="47" spans="1:18" ht="15" customHeight="1" x14ac:dyDescent="0.2">
      <c r="A47" s="7" t="s">
        <v>58</v>
      </c>
      <c r="B47" s="18">
        <v>4545</v>
      </c>
      <c r="C47" s="18">
        <v>1438</v>
      </c>
      <c r="D47" s="18">
        <v>3107</v>
      </c>
      <c r="E47" s="7">
        <f t="shared" si="0"/>
        <v>3.0937305700596586E-3</v>
      </c>
      <c r="F47" s="7">
        <f t="shared" si="1"/>
        <v>6.6725510534985256E-3</v>
      </c>
    </row>
    <row r="49" spans="1:11" ht="15" customHeight="1" x14ac:dyDescent="0.2">
      <c r="A49" s="7" t="s">
        <v>268</v>
      </c>
    </row>
    <row r="51" spans="1:11" ht="15" customHeight="1" x14ac:dyDescent="0.2">
      <c r="A51" s="7" t="s">
        <v>25</v>
      </c>
      <c r="B51" s="7" t="s">
        <v>35</v>
      </c>
    </row>
    <row r="52" spans="1:11" ht="15" customHeight="1" x14ac:dyDescent="0.2">
      <c r="B52" s="7" t="s">
        <v>17</v>
      </c>
      <c r="C52" s="7" t="s">
        <v>37</v>
      </c>
      <c r="D52" s="7" t="s">
        <v>38</v>
      </c>
    </row>
    <row r="53" spans="1:11" ht="15" customHeight="1" x14ac:dyDescent="0.2">
      <c r="A53" s="7" t="s">
        <v>39</v>
      </c>
      <c r="B53" s="18">
        <v>37253956</v>
      </c>
      <c r="C53" s="18">
        <v>18517830</v>
      </c>
      <c r="D53" s="18">
        <v>18736126</v>
      </c>
      <c r="J53" s="7" t="s">
        <v>37</v>
      </c>
      <c r="K53" s="7" t="s">
        <v>38</v>
      </c>
    </row>
    <row r="54" spans="1:11" ht="15" customHeight="1" x14ac:dyDescent="0.2">
      <c r="A54" s="7" t="s">
        <v>40</v>
      </c>
      <c r="B54" s="18">
        <v>2531333</v>
      </c>
      <c r="C54" s="18">
        <v>1294056</v>
      </c>
      <c r="D54" s="18">
        <v>1237277</v>
      </c>
      <c r="E54" s="7">
        <f>C54/$C$53</f>
        <v>6.9881622198713342E-2</v>
      </c>
      <c r="F54" s="7">
        <f>D54/$D$53</f>
        <v>6.6036970502867026E-2</v>
      </c>
      <c r="I54" s="342" t="s">
        <v>9</v>
      </c>
      <c r="J54" s="18">
        <f>C54</f>
        <v>1294056</v>
      </c>
      <c r="K54" s="18">
        <f>D54</f>
        <v>1237277</v>
      </c>
    </row>
    <row r="55" spans="1:11" ht="15" customHeight="1" x14ac:dyDescent="0.2">
      <c r="A55" s="7" t="s">
        <v>41</v>
      </c>
      <c r="B55" s="18">
        <v>2505839</v>
      </c>
      <c r="C55" s="18">
        <v>1279563</v>
      </c>
      <c r="D55" s="18">
        <v>1226276</v>
      </c>
      <c r="E55" s="7">
        <f t="shared" ref="E55:E72" si="4">C55/$C$53</f>
        <v>6.9098971099745485E-2</v>
      </c>
      <c r="F55" s="7">
        <f t="shared" ref="F55:F72" si="5">D55/$D$53</f>
        <v>6.5449816039879316E-2</v>
      </c>
      <c r="I55" s="342" t="s">
        <v>86</v>
      </c>
      <c r="J55" s="18">
        <f>C55+C56</f>
        <v>2605478</v>
      </c>
      <c r="K55" s="18">
        <f>D55+D56</f>
        <v>2491291</v>
      </c>
    </row>
    <row r="56" spans="1:11" ht="15" customHeight="1" x14ac:dyDescent="0.2">
      <c r="A56" s="7" t="s">
        <v>42</v>
      </c>
      <c r="B56" s="18">
        <v>2590930</v>
      </c>
      <c r="C56" s="18">
        <v>1325915</v>
      </c>
      <c r="D56" s="18">
        <v>1265015</v>
      </c>
      <c r="E56" s="7">
        <f t="shared" si="4"/>
        <v>7.1602072165043093E-2</v>
      </c>
      <c r="F56" s="7">
        <f t="shared" si="5"/>
        <v>6.7517425960948382E-2</v>
      </c>
      <c r="I56" s="342" t="s">
        <v>61</v>
      </c>
      <c r="J56" s="18">
        <f>C57+C58+C59</f>
        <v>4304565</v>
      </c>
      <c r="K56" s="18">
        <f>D57+D58+D59</f>
        <v>4029733</v>
      </c>
    </row>
    <row r="57" spans="1:11" ht="15" customHeight="1" x14ac:dyDescent="0.2">
      <c r="A57" s="7" t="s">
        <v>43</v>
      </c>
      <c r="B57" s="18">
        <v>2823940</v>
      </c>
      <c r="C57" s="18">
        <v>1455082</v>
      </c>
      <c r="D57" s="18">
        <v>1368858</v>
      </c>
      <c r="E57" s="7">
        <f t="shared" si="4"/>
        <v>7.8577349505854627E-2</v>
      </c>
      <c r="F57" s="7">
        <f t="shared" si="5"/>
        <v>7.3059820370550449E-2</v>
      </c>
      <c r="I57" s="342" t="s">
        <v>62</v>
      </c>
      <c r="J57" s="18">
        <f>C60+C61+C62</f>
        <v>3909040</v>
      </c>
      <c r="K57" s="18">
        <f>D60+D61+D62</f>
        <v>3847138</v>
      </c>
    </row>
    <row r="58" spans="1:11" ht="15" customHeight="1" x14ac:dyDescent="0.2">
      <c r="A58" s="7" t="s">
        <v>44</v>
      </c>
      <c r="B58" s="18">
        <v>2765949</v>
      </c>
      <c r="C58" s="18">
        <v>1440785</v>
      </c>
      <c r="D58" s="18">
        <v>1325164</v>
      </c>
      <c r="E58" s="7">
        <f t="shared" si="4"/>
        <v>7.7805282800414516E-2</v>
      </c>
      <c r="F58" s="7">
        <f t="shared" si="5"/>
        <v>7.0727748094776902E-2</v>
      </c>
      <c r="I58" s="342" t="s">
        <v>63</v>
      </c>
      <c r="J58" s="18">
        <f>C63+C64+C65</f>
        <v>3678503</v>
      </c>
      <c r="K58" s="18">
        <f>D63+D64+D65</f>
        <v>3778164</v>
      </c>
    </row>
    <row r="59" spans="1:11" ht="15" customHeight="1" x14ac:dyDescent="0.2">
      <c r="A59" s="7" t="s">
        <v>45</v>
      </c>
      <c r="B59" s="18">
        <v>2744409</v>
      </c>
      <c r="C59" s="18">
        <v>1408698</v>
      </c>
      <c r="D59" s="18">
        <v>1335711</v>
      </c>
      <c r="E59" s="7">
        <f t="shared" si="4"/>
        <v>7.6072520376307587E-2</v>
      </c>
      <c r="F59" s="7">
        <f t="shared" si="5"/>
        <v>7.1290671294588853E-2</v>
      </c>
      <c r="I59" s="342" t="s">
        <v>64</v>
      </c>
      <c r="J59" s="18">
        <f>C66+C67</f>
        <v>1489395</v>
      </c>
      <c r="K59" s="18">
        <f>D66+D67</f>
        <v>1646360</v>
      </c>
    </row>
    <row r="60" spans="1:11" ht="15" customHeight="1" x14ac:dyDescent="0.2">
      <c r="A60" s="7" t="s">
        <v>46</v>
      </c>
      <c r="B60" s="18">
        <v>2573468</v>
      </c>
      <c r="C60" s="18">
        <v>1304347</v>
      </c>
      <c r="D60" s="18">
        <v>1269121</v>
      </c>
      <c r="E60" s="7">
        <f t="shared" si="4"/>
        <v>7.0437356860928085E-2</v>
      </c>
      <c r="F60" s="7">
        <f t="shared" si="5"/>
        <v>6.7736574786057699E-2</v>
      </c>
      <c r="I60" s="342" t="s">
        <v>65</v>
      </c>
      <c r="J60" s="18">
        <f>C68+C69</f>
        <v>780576</v>
      </c>
      <c r="K60" s="18">
        <f>D68+D69</f>
        <v>958173</v>
      </c>
    </row>
    <row r="61" spans="1:11" ht="15" customHeight="1" x14ac:dyDescent="0.2">
      <c r="A61" s="7" t="s">
        <v>47</v>
      </c>
      <c r="B61" s="18">
        <v>2573579</v>
      </c>
      <c r="C61" s="18">
        <v>1291370</v>
      </c>
      <c r="D61" s="18">
        <v>1282209</v>
      </c>
      <c r="E61" s="7">
        <f t="shared" si="4"/>
        <v>6.9736572805776914E-2</v>
      </c>
      <c r="F61" s="7">
        <f t="shared" si="5"/>
        <v>6.8435118337696915E-2</v>
      </c>
      <c r="I61" s="342" t="s">
        <v>66</v>
      </c>
      <c r="J61" s="18">
        <f>C70+C71+C72</f>
        <v>456217</v>
      </c>
      <c r="K61" s="18">
        <f>D70+D71+D72</f>
        <v>747990</v>
      </c>
    </row>
    <row r="62" spans="1:11" ht="15" customHeight="1" x14ac:dyDescent="0.2">
      <c r="A62" s="7" t="s">
        <v>48</v>
      </c>
      <c r="B62" s="18">
        <v>2609131</v>
      </c>
      <c r="C62" s="18">
        <v>1313323</v>
      </c>
      <c r="D62" s="18">
        <v>1295808</v>
      </c>
      <c r="E62" s="7">
        <f t="shared" si="4"/>
        <v>7.0922078882892869E-2</v>
      </c>
      <c r="F62" s="7">
        <f t="shared" si="5"/>
        <v>6.9160935403615453E-2</v>
      </c>
    </row>
    <row r="63" spans="1:11" ht="15" customHeight="1" x14ac:dyDescent="0.2">
      <c r="A63" s="7" t="s">
        <v>49</v>
      </c>
      <c r="B63" s="18">
        <v>2689819</v>
      </c>
      <c r="C63" s="18">
        <v>1341984</v>
      </c>
      <c r="D63" s="18">
        <v>1347835</v>
      </c>
      <c r="E63" s="7">
        <f t="shared" si="4"/>
        <v>7.2469830428295329E-2</v>
      </c>
      <c r="F63" s="7">
        <f t="shared" si="5"/>
        <v>7.1937763441599398E-2</v>
      </c>
    </row>
    <row r="64" spans="1:11" ht="15" customHeight="1" x14ac:dyDescent="0.2">
      <c r="A64" s="7" t="s">
        <v>50</v>
      </c>
      <c r="B64" s="18">
        <v>2562552</v>
      </c>
      <c r="C64" s="18">
        <v>1266543</v>
      </c>
      <c r="D64" s="18">
        <v>1296009</v>
      </c>
      <c r="E64" s="7">
        <f t="shared" si="4"/>
        <v>6.8395864958259153E-2</v>
      </c>
      <c r="F64" s="7">
        <f t="shared" si="5"/>
        <v>6.9171663341717496E-2</v>
      </c>
    </row>
    <row r="65" spans="1:6" ht="15" customHeight="1" x14ac:dyDescent="0.2">
      <c r="A65" s="7" t="s">
        <v>51</v>
      </c>
      <c r="B65" s="18">
        <v>2204296</v>
      </c>
      <c r="C65" s="18">
        <v>1069976</v>
      </c>
      <c r="D65" s="18">
        <v>1134320</v>
      </c>
      <c r="E65" s="7">
        <f t="shared" si="4"/>
        <v>5.7780852292088222E-2</v>
      </c>
      <c r="F65" s="7">
        <f t="shared" si="5"/>
        <v>6.0541864417436135E-2</v>
      </c>
    </row>
    <row r="66" spans="1:6" ht="15" customHeight="1" x14ac:dyDescent="0.2">
      <c r="A66" s="7" t="s">
        <v>52</v>
      </c>
      <c r="B66" s="18">
        <v>1832197</v>
      </c>
      <c r="C66" s="18">
        <v>879171</v>
      </c>
      <c r="D66" s="18">
        <v>953026</v>
      </c>
      <c r="E66" s="7">
        <f t="shared" si="4"/>
        <v>4.7476999194830061E-2</v>
      </c>
      <c r="F66" s="7">
        <f t="shared" si="5"/>
        <v>5.0865691232008153E-2</v>
      </c>
    </row>
    <row r="67" spans="1:6" ht="15" customHeight="1" x14ac:dyDescent="0.2">
      <c r="A67" s="7" t="s">
        <v>53</v>
      </c>
      <c r="B67" s="18">
        <v>1303558</v>
      </c>
      <c r="C67" s="18">
        <v>610224</v>
      </c>
      <c r="D67" s="18">
        <v>693334</v>
      </c>
      <c r="E67" s="7">
        <f t="shared" si="4"/>
        <v>3.2953321204482383E-2</v>
      </c>
      <c r="F67" s="7">
        <f t="shared" si="5"/>
        <v>3.7005195204174009E-2</v>
      </c>
    </row>
    <row r="68" spans="1:6" ht="15" customHeight="1" x14ac:dyDescent="0.2">
      <c r="A68" s="7" t="s">
        <v>54</v>
      </c>
      <c r="B68" s="18">
        <v>971778</v>
      </c>
      <c r="C68" s="18">
        <v>443402</v>
      </c>
      <c r="D68" s="18">
        <v>528376</v>
      </c>
      <c r="E68" s="7">
        <f t="shared" si="4"/>
        <v>2.3944598260163312E-2</v>
      </c>
      <c r="F68" s="7">
        <f t="shared" si="5"/>
        <v>2.8200920510461983E-2</v>
      </c>
    </row>
    <row r="69" spans="1:6" ht="15" customHeight="1" x14ac:dyDescent="0.2">
      <c r="A69" s="7" t="s">
        <v>55</v>
      </c>
      <c r="B69" s="18">
        <v>766971</v>
      </c>
      <c r="C69" s="18">
        <v>337174</v>
      </c>
      <c r="D69" s="18">
        <v>429797</v>
      </c>
      <c r="E69" s="7">
        <f t="shared" si="4"/>
        <v>1.8208072976153254E-2</v>
      </c>
      <c r="F69" s="7">
        <f t="shared" si="5"/>
        <v>2.2939480658915296E-2</v>
      </c>
    </row>
    <row r="70" spans="1:6" ht="15" customHeight="1" x14ac:dyDescent="0.2">
      <c r="A70" s="7" t="s">
        <v>56</v>
      </c>
      <c r="B70" s="18">
        <v>603239</v>
      </c>
      <c r="C70" s="18">
        <v>245402</v>
      </c>
      <c r="D70" s="18">
        <v>357837</v>
      </c>
      <c r="E70" s="7">
        <f t="shared" si="4"/>
        <v>1.3252200716822652E-2</v>
      </c>
      <c r="F70" s="7">
        <f t="shared" si="5"/>
        <v>1.9098772072732646E-2</v>
      </c>
    </row>
    <row r="71" spans="1:6" ht="15" customHeight="1" x14ac:dyDescent="0.2">
      <c r="A71" s="7" t="s">
        <v>57</v>
      </c>
      <c r="B71" s="18">
        <v>397236</v>
      </c>
      <c r="C71" s="18">
        <v>147444</v>
      </c>
      <c r="D71" s="18">
        <v>249792</v>
      </c>
      <c r="E71" s="7">
        <f t="shared" si="4"/>
        <v>7.9622720372743462E-3</v>
      </c>
      <c r="F71" s="7">
        <f t="shared" si="5"/>
        <v>1.3332105046688948E-2</v>
      </c>
    </row>
    <row r="72" spans="1:6" ht="15" customHeight="1" x14ac:dyDescent="0.2">
      <c r="A72" s="7" t="s">
        <v>58</v>
      </c>
      <c r="B72" s="18">
        <v>203732</v>
      </c>
      <c r="C72" s="18">
        <v>63371</v>
      </c>
      <c r="D72" s="18">
        <v>140361</v>
      </c>
      <c r="E72" s="7">
        <f t="shared" si="4"/>
        <v>3.4221612359547527E-3</v>
      </c>
      <c r="F72" s="7">
        <f t="shared" si="5"/>
        <v>7.4914632832849227E-3</v>
      </c>
    </row>
  </sheetData>
  <mergeCells count="3">
    <mergeCell ref="A2:A3"/>
    <mergeCell ref="B2:D2"/>
    <mergeCell ref="E2:G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P76737"/>
  <sheetViews>
    <sheetView workbookViewId="0"/>
  </sheetViews>
  <sheetFormatPr defaultRowHeight="12.75" x14ac:dyDescent="0.2"/>
  <cols>
    <col min="1" max="1" width="4.28515625" bestFit="1" customWidth="1"/>
    <col min="2" max="2" width="7.140625" bestFit="1" customWidth="1"/>
    <col min="3" max="3" width="9.7109375" customWidth="1"/>
    <col min="4" max="4" width="5" bestFit="1" customWidth="1"/>
    <col min="5" max="5" width="11.7109375" bestFit="1" customWidth="1"/>
    <col min="7" max="7" width="18.140625" bestFit="1" customWidth="1"/>
    <col min="8" max="8" width="17" bestFit="1" customWidth="1"/>
    <col min="9" max="9" width="10" customWidth="1"/>
    <col min="10" max="10" width="11.7109375" bestFit="1" customWidth="1"/>
  </cols>
  <sheetData>
    <row r="1" spans="1:16" x14ac:dyDescent="0.2">
      <c r="A1" t="s">
        <v>25</v>
      </c>
      <c r="B1" t="s">
        <v>120</v>
      </c>
      <c r="C1" t="s">
        <v>121</v>
      </c>
      <c r="D1" t="s">
        <v>122</v>
      </c>
      <c r="E1" t="s">
        <v>124</v>
      </c>
      <c r="G1" s="1" t="s">
        <v>123</v>
      </c>
      <c r="H1" s="1" t="s">
        <v>7</v>
      </c>
      <c r="M1" t="s">
        <v>38</v>
      </c>
      <c r="N1" t="s">
        <v>37</v>
      </c>
      <c r="O1" t="s">
        <v>84</v>
      </c>
      <c r="P1" t="s">
        <v>136</v>
      </c>
    </row>
    <row r="2" spans="1:16" x14ac:dyDescent="0.2">
      <c r="A2">
        <v>0</v>
      </c>
      <c r="B2" t="s">
        <v>38</v>
      </c>
      <c r="C2">
        <v>1656.39</v>
      </c>
      <c r="D2">
        <v>2035</v>
      </c>
      <c r="E2" t="s">
        <v>4</v>
      </c>
      <c r="G2" s="1" t="s">
        <v>5</v>
      </c>
      <c r="H2" t="s">
        <v>38</v>
      </c>
      <c r="I2" t="s">
        <v>37</v>
      </c>
      <c r="J2" t="s">
        <v>6</v>
      </c>
      <c r="L2" s="44" t="s">
        <v>9</v>
      </c>
      <c r="M2" s="64">
        <f>SUM(H3:H7)</f>
        <v>45101.53</v>
      </c>
      <c r="N2" s="64">
        <f>SUM(I3:I7)</f>
        <v>49356.34</v>
      </c>
      <c r="O2">
        <f>M2/$O$10</f>
        <v>3.3998168714206647E-2</v>
      </c>
      <c r="P2">
        <f>N2/$O$10</f>
        <v>3.7205504434899353E-2</v>
      </c>
    </row>
    <row r="3" spans="1:16" x14ac:dyDescent="0.2">
      <c r="A3">
        <v>1</v>
      </c>
      <c r="B3" t="s">
        <v>38</v>
      </c>
      <c r="C3">
        <v>1671.82</v>
      </c>
      <c r="D3">
        <v>2035</v>
      </c>
      <c r="E3" t="s">
        <v>4</v>
      </c>
      <c r="G3" s="2">
        <v>0</v>
      </c>
      <c r="H3" s="3">
        <v>8963.64</v>
      </c>
      <c r="I3" s="3">
        <v>9816</v>
      </c>
      <c r="J3" s="3">
        <v>18779.64</v>
      </c>
      <c r="L3" s="44" t="s">
        <v>86</v>
      </c>
      <c r="M3" s="64">
        <f>SUM(H8:H17)</f>
        <v>92888.72</v>
      </c>
      <c r="N3" s="64">
        <f>SUM(I8:I17)</f>
        <v>102150.06</v>
      </c>
      <c r="O3">
        <f t="shared" ref="O3:O9" si="0">M3/$O$10</f>
        <v>7.0020825772578038E-2</v>
      </c>
      <c r="P3">
        <f t="shared" ref="P3:P9" si="1">N3/$O$10</f>
        <v>7.7002154340359008E-2</v>
      </c>
    </row>
    <row r="4" spans="1:16" x14ac:dyDescent="0.2">
      <c r="A4">
        <v>2</v>
      </c>
      <c r="B4" t="s">
        <v>38</v>
      </c>
      <c r="C4">
        <v>1689.92</v>
      </c>
      <c r="D4">
        <v>2035</v>
      </c>
      <c r="E4" t="s">
        <v>4</v>
      </c>
      <c r="G4" s="2">
        <v>1</v>
      </c>
      <c r="H4" s="3">
        <v>8984.7000000000007</v>
      </c>
      <c r="I4" s="3">
        <v>9815.2900000000009</v>
      </c>
      <c r="J4" s="3">
        <v>18799.990000000002</v>
      </c>
      <c r="L4" s="44" t="s">
        <v>61</v>
      </c>
      <c r="M4" s="64">
        <f>SUM(H18:H32)</f>
        <v>145443.46000000002</v>
      </c>
      <c r="N4" s="64">
        <f>SUM(I18:I32)</f>
        <v>157983.26999999996</v>
      </c>
      <c r="O4">
        <f t="shared" si="0"/>
        <v>0.10963732918723527</v>
      </c>
      <c r="P4">
        <f t="shared" si="1"/>
        <v>0.11909001462881771</v>
      </c>
    </row>
    <row r="5" spans="1:16" x14ac:dyDescent="0.2">
      <c r="A5">
        <v>3</v>
      </c>
      <c r="B5" t="s">
        <v>38</v>
      </c>
      <c r="C5">
        <v>1709.08</v>
      </c>
      <c r="D5">
        <v>2035</v>
      </c>
      <c r="E5" t="s">
        <v>4</v>
      </c>
      <c r="G5" s="2">
        <v>2</v>
      </c>
      <c r="H5" s="3">
        <v>9017.92</v>
      </c>
      <c r="I5" s="3">
        <v>9861.58</v>
      </c>
      <c r="J5" s="3">
        <v>18879.5</v>
      </c>
      <c r="L5" s="44" t="s">
        <v>62</v>
      </c>
      <c r="M5" s="64">
        <f>SUM(H33:H47)</f>
        <v>128988.97999999998</v>
      </c>
      <c r="N5" s="64">
        <f>SUM(I33:I47)</f>
        <v>127200.34</v>
      </c>
      <c r="O5">
        <f t="shared" si="0"/>
        <v>9.7233710348926666E-2</v>
      </c>
      <c r="P5">
        <f t="shared" si="1"/>
        <v>9.5885408318175658E-2</v>
      </c>
    </row>
    <row r="6" spans="1:16" x14ac:dyDescent="0.2">
      <c r="A6">
        <v>4</v>
      </c>
      <c r="B6" t="s">
        <v>38</v>
      </c>
      <c r="C6">
        <v>1734.98</v>
      </c>
      <c r="D6">
        <v>2035</v>
      </c>
      <c r="E6" t="s">
        <v>4</v>
      </c>
      <c r="G6" s="2">
        <v>3</v>
      </c>
      <c r="H6" s="3">
        <v>9049.8799999999992</v>
      </c>
      <c r="I6" s="3">
        <v>9906.4399999999987</v>
      </c>
      <c r="J6" s="3">
        <v>18956.32</v>
      </c>
      <c r="L6" s="44" t="s">
        <v>63</v>
      </c>
      <c r="M6" s="64">
        <f>SUM(H48:H62)</f>
        <v>109080.77000000002</v>
      </c>
      <c r="N6" s="64">
        <f>SUM(I48:I62)</f>
        <v>103347.23999999999</v>
      </c>
      <c r="O6">
        <f t="shared" si="0"/>
        <v>8.2226621179715451E-2</v>
      </c>
      <c r="P6">
        <f t="shared" si="1"/>
        <v>7.7904605490492357E-2</v>
      </c>
    </row>
    <row r="7" spans="1:16" x14ac:dyDescent="0.2">
      <c r="A7">
        <v>5</v>
      </c>
      <c r="B7" t="s">
        <v>38</v>
      </c>
      <c r="C7">
        <v>1769.66</v>
      </c>
      <c r="D7">
        <v>2035</v>
      </c>
      <c r="E7" t="s">
        <v>4</v>
      </c>
      <c r="G7" s="2">
        <v>4</v>
      </c>
      <c r="H7" s="3">
        <v>9085.3900000000012</v>
      </c>
      <c r="I7" s="3">
        <v>9957.0300000000007</v>
      </c>
      <c r="J7" s="3">
        <v>19042.420000000002</v>
      </c>
      <c r="L7" s="44" t="s">
        <v>64</v>
      </c>
      <c r="M7" s="64">
        <f>SUM(H63:H72)</f>
        <v>56354.91</v>
      </c>
      <c r="N7" s="64">
        <f>SUM(I63:I72)</f>
        <v>52421.37</v>
      </c>
      <c r="O7">
        <f t="shared" si="0"/>
        <v>4.2481125098282287E-2</v>
      </c>
      <c r="P7">
        <f t="shared" si="1"/>
        <v>3.9515967229711527E-2</v>
      </c>
    </row>
    <row r="8" spans="1:16" x14ac:dyDescent="0.2">
      <c r="A8">
        <v>6</v>
      </c>
      <c r="B8" t="s">
        <v>38</v>
      </c>
      <c r="C8">
        <v>1806.74</v>
      </c>
      <c r="D8">
        <v>2035</v>
      </c>
      <c r="E8" t="s">
        <v>4</v>
      </c>
      <c r="G8" s="2">
        <v>5</v>
      </c>
      <c r="H8" s="3">
        <v>9120.9399999999987</v>
      </c>
      <c r="I8" s="3">
        <v>10001.56</v>
      </c>
      <c r="J8" s="3">
        <v>19122.5</v>
      </c>
      <c r="L8" s="44" t="s">
        <v>65</v>
      </c>
      <c r="M8" s="64">
        <f>SUM(H73:H82)</f>
        <v>50290.16</v>
      </c>
      <c r="N8" s="64">
        <f>SUM(I73:I82)</f>
        <v>43429.419999999991</v>
      </c>
      <c r="O8">
        <f t="shared" si="0"/>
        <v>3.7909431106759504E-2</v>
      </c>
      <c r="P8">
        <f t="shared" si="1"/>
        <v>3.2737708639155705E-2</v>
      </c>
    </row>
    <row r="9" spans="1:16" x14ac:dyDescent="0.2">
      <c r="A9">
        <v>7</v>
      </c>
      <c r="B9" t="s">
        <v>38</v>
      </c>
      <c r="C9">
        <v>1845.48</v>
      </c>
      <c r="D9">
        <v>2035</v>
      </c>
      <c r="E9" t="s">
        <v>4</v>
      </c>
      <c r="G9" s="2">
        <v>6</v>
      </c>
      <c r="H9" s="3">
        <v>9161.68</v>
      </c>
      <c r="I9" s="3">
        <v>10053.619999999999</v>
      </c>
      <c r="J9" s="3">
        <v>19215.3</v>
      </c>
      <c r="L9" s="44" t="s">
        <v>66</v>
      </c>
      <c r="M9" s="64">
        <f>SUM(H83:H103)</f>
        <v>36665.180000000015</v>
      </c>
      <c r="N9" s="64">
        <f>SUM(I83:I103)</f>
        <v>25885.29</v>
      </c>
      <c r="O9">
        <f t="shared" si="0"/>
        <v>2.7638729231065019E-2</v>
      </c>
      <c r="P9">
        <f t="shared" si="1"/>
        <v>1.951269627961992E-2</v>
      </c>
    </row>
    <row r="10" spans="1:16" x14ac:dyDescent="0.2">
      <c r="A10">
        <v>8</v>
      </c>
      <c r="B10" t="s">
        <v>38</v>
      </c>
      <c r="C10">
        <v>1901.4</v>
      </c>
      <c r="D10">
        <v>2035</v>
      </c>
      <c r="E10" t="s">
        <v>4</v>
      </c>
      <c r="G10" s="2">
        <v>7</v>
      </c>
      <c r="H10" s="3">
        <v>9185.5400000000009</v>
      </c>
      <c r="I10" s="3">
        <v>10080.92</v>
      </c>
      <c r="J10" s="3">
        <v>19266.46</v>
      </c>
      <c r="O10" s="64">
        <f>SUM(M2:N9)</f>
        <v>1326587.0399999998</v>
      </c>
    </row>
    <row r="11" spans="1:16" x14ac:dyDescent="0.2">
      <c r="A11">
        <v>9</v>
      </c>
      <c r="B11" t="s">
        <v>38</v>
      </c>
      <c r="C11">
        <v>1959.98</v>
      </c>
      <c r="D11">
        <v>2035</v>
      </c>
      <c r="E11" t="s">
        <v>4</v>
      </c>
      <c r="G11" s="2">
        <v>8</v>
      </c>
      <c r="H11" s="3">
        <v>9225.7800000000007</v>
      </c>
      <c r="I11" s="3">
        <v>10123.370000000001</v>
      </c>
      <c r="J11" s="3">
        <v>19349.150000000001</v>
      </c>
    </row>
    <row r="12" spans="1:16" x14ac:dyDescent="0.2">
      <c r="A12">
        <v>10</v>
      </c>
      <c r="B12" t="s">
        <v>38</v>
      </c>
      <c r="C12">
        <v>2003.45</v>
      </c>
      <c r="D12">
        <v>2035</v>
      </c>
      <c r="E12" t="s">
        <v>4</v>
      </c>
      <c r="G12" s="2">
        <v>9</v>
      </c>
      <c r="H12" s="3">
        <v>9277.58</v>
      </c>
      <c r="I12" s="3">
        <v>10187.419999999998</v>
      </c>
      <c r="J12" s="3">
        <v>19465</v>
      </c>
    </row>
    <row r="13" spans="1:16" x14ac:dyDescent="0.2">
      <c r="A13">
        <v>11</v>
      </c>
      <c r="B13" t="s">
        <v>38</v>
      </c>
      <c r="C13">
        <v>2043.26</v>
      </c>
      <c r="D13">
        <v>2035</v>
      </c>
      <c r="E13" t="s">
        <v>4</v>
      </c>
      <c r="G13" s="2">
        <v>10</v>
      </c>
      <c r="H13" s="3">
        <v>9310.81</v>
      </c>
      <c r="I13" s="3">
        <v>10238.02</v>
      </c>
      <c r="J13" s="3">
        <v>19548.830000000002</v>
      </c>
    </row>
    <row r="14" spans="1:16" x14ac:dyDescent="0.2">
      <c r="A14">
        <v>12</v>
      </c>
      <c r="B14" t="s">
        <v>38</v>
      </c>
      <c r="C14">
        <v>2071.9899999999998</v>
      </c>
      <c r="D14">
        <v>2035</v>
      </c>
      <c r="E14" t="s">
        <v>4</v>
      </c>
      <c r="G14" s="2">
        <v>11</v>
      </c>
      <c r="H14" s="3">
        <v>9343.07</v>
      </c>
      <c r="I14" s="3">
        <v>10293.549999999999</v>
      </c>
      <c r="J14" s="3">
        <v>19636.62</v>
      </c>
    </row>
    <row r="15" spans="1:16" x14ac:dyDescent="0.2">
      <c r="A15">
        <v>13</v>
      </c>
      <c r="B15" t="s">
        <v>38</v>
      </c>
      <c r="C15">
        <v>2098.71</v>
      </c>
      <c r="D15">
        <v>2035</v>
      </c>
      <c r="E15" t="s">
        <v>4</v>
      </c>
      <c r="G15" s="2">
        <v>12</v>
      </c>
      <c r="H15" s="3">
        <v>9362.7200000000012</v>
      </c>
      <c r="I15" s="3">
        <v>10341.700000000001</v>
      </c>
      <c r="J15" s="3">
        <v>19704.420000000002</v>
      </c>
    </row>
    <row r="16" spans="1:16" x14ac:dyDescent="0.2">
      <c r="A16">
        <v>14</v>
      </c>
      <c r="B16" t="s">
        <v>38</v>
      </c>
      <c r="C16">
        <v>2130.04</v>
      </c>
      <c r="D16">
        <v>2035</v>
      </c>
      <c r="E16" t="s">
        <v>4</v>
      </c>
      <c r="G16" s="2">
        <v>13</v>
      </c>
      <c r="H16" s="3">
        <v>9378.66</v>
      </c>
      <c r="I16" s="3">
        <v>10388.64</v>
      </c>
      <c r="J16" s="3">
        <v>19767.3</v>
      </c>
    </row>
    <row r="17" spans="1:10" x14ac:dyDescent="0.2">
      <c r="A17">
        <v>15</v>
      </c>
      <c r="B17" t="s">
        <v>38</v>
      </c>
      <c r="C17">
        <v>2146.15</v>
      </c>
      <c r="D17">
        <v>2035</v>
      </c>
      <c r="E17" t="s">
        <v>4</v>
      </c>
      <c r="G17" s="2">
        <v>14</v>
      </c>
      <c r="H17" s="3">
        <v>9521.94</v>
      </c>
      <c r="I17" s="3">
        <v>10441.26</v>
      </c>
      <c r="J17" s="3">
        <v>19963.2</v>
      </c>
    </row>
    <row r="18" spans="1:10" x14ac:dyDescent="0.2">
      <c r="A18">
        <v>16</v>
      </c>
      <c r="B18" t="s">
        <v>38</v>
      </c>
      <c r="C18">
        <v>2158.12</v>
      </c>
      <c r="D18">
        <v>2035</v>
      </c>
      <c r="E18" t="s">
        <v>4</v>
      </c>
      <c r="G18" s="2">
        <v>15</v>
      </c>
      <c r="H18" s="3">
        <v>9605.02</v>
      </c>
      <c r="I18" s="3">
        <v>10593.1</v>
      </c>
      <c r="J18" s="3">
        <v>20198.120000000003</v>
      </c>
    </row>
    <row r="19" spans="1:10" x14ac:dyDescent="0.2">
      <c r="A19">
        <v>17</v>
      </c>
      <c r="B19" t="s">
        <v>38</v>
      </c>
      <c r="C19">
        <v>2546.2800000000002</v>
      </c>
      <c r="D19">
        <v>2035</v>
      </c>
      <c r="E19" t="s">
        <v>4</v>
      </c>
      <c r="G19" s="2">
        <v>16</v>
      </c>
      <c r="H19" s="3">
        <v>9611.27</v>
      </c>
      <c r="I19" s="3">
        <v>10669.619999999999</v>
      </c>
      <c r="J19" s="3">
        <v>20280.89</v>
      </c>
    </row>
    <row r="20" spans="1:10" x14ac:dyDescent="0.2">
      <c r="A20">
        <v>18</v>
      </c>
      <c r="B20" t="s">
        <v>38</v>
      </c>
      <c r="C20">
        <v>2587.36</v>
      </c>
      <c r="D20">
        <v>2035</v>
      </c>
      <c r="E20" t="s">
        <v>4</v>
      </c>
      <c r="G20" s="2">
        <v>17</v>
      </c>
      <c r="H20" s="3">
        <v>10583.64</v>
      </c>
      <c r="I20" s="3">
        <v>10698.449999999999</v>
      </c>
      <c r="J20" s="3">
        <v>21282.089999999997</v>
      </c>
    </row>
    <row r="21" spans="1:10" x14ac:dyDescent="0.2">
      <c r="A21">
        <v>19</v>
      </c>
      <c r="B21" t="s">
        <v>38</v>
      </c>
      <c r="C21">
        <v>2615.5</v>
      </c>
      <c r="D21">
        <v>2035</v>
      </c>
      <c r="E21" t="s">
        <v>4</v>
      </c>
      <c r="G21" s="2">
        <v>18</v>
      </c>
      <c r="H21" s="3">
        <v>10541.89</v>
      </c>
      <c r="I21" s="3">
        <v>11895.9</v>
      </c>
      <c r="J21" s="3">
        <v>22437.79</v>
      </c>
    </row>
    <row r="22" spans="1:10" x14ac:dyDescent="0.2">
      <c r="A22">
        <v>20</v>
      </c>
      <c r="B22" t="s">
        <v>38</v>
      </c>
      <c r="C22">
        <v>2645.06</v>
      </c>
      <c r="D22">
        <v>2035</v>
      </c>
      <c r="E22" t="s">
        <v>4</v>
      </c>
      <c r="G22" s="2">
        <v>19</v>
      </c>
      <c r="H22" s="3">
        <v>10277.780000000001</v>
      </c>
      <c r="I22" s="3">
        <v>11596.55</v>
      </c>
      <c r="J22" s="3">
        <v>21874.33</v>
      </c>
    </row>
    <row r="23" spans="1:10" x14ac:dyDescent="0.2">
      <c r="A23">
        <v>21</v>
      </c>
      <c r="B23" t="s">
        <v>38</v>
      </c>
      <c r="C23">
        <v>2614.58</v>
      </c>
      <c r="D23">
        <v>2035</v>
      </c>
      <c r="E23" t="s">
        <v>4</v>
      </c>
      <c r="G23" s="2">
        <v>20</v>
      </c>
      <c r="H23" s="3">
        <v>10044.720000000001</v>
      </c>
      <c r="I23" s="3">
        <v>11423.9</v>
      </c>
      <c r="J23" s="3">
        <v>21468.620000000003</v>
      </c>
    </row>
    <row r="24" spans="1:10" x14ac:dyDescent="0.2">
      <c r="A24">
        <v>22</v>
      </c>
      <c r="B24" t="s">
        <v>38</v>
      </c>
      <c r="C24">
        <v>2487.44</v>
      </c>
      <c r="D24">
        <v>2035</v>
      </c>
      <c r="E24" t="s">
        <v>4</v>
      </c>
      <c r="G24" s="2">
        <v>21</v>
      </c>
      <c r="H24" s="3">
        <v>9898.7800000000007</v>
      </c>
      <c r="I24" s="3">
        <v>11054.109999999999</v>
      </c>
      <c r="J24" s="3">
        <v>20952.89</v>
      </c>
    </row>
    <row r="25" spans="1:10" x14ac:dyDescent="0.2">
      <c r="A25">
        <v>23</v>
      </c>
      <c r="B25" t="s">
        <v>38</v>
      </c>
      <c r="C25">
        <v>2420.42</v>
      </c>
      <c r="D25">
        <v>2035</v>
      </c>
      <c r="E25" t="s">
        <v>4</v>
      </c>
      <c r="G25" s="2">
        <v>22</v>
      </c>
      <c r="H25" s="3">
        <v>9702.6299999999992</v>
      </c>
      <c r="I25" s="3">
        <v>10967.59</v>
      </c>
      <c r="J25" s="3">
        <v>20670.22</v>
      </c>
    </row>
    <row r="26" spans="1:10" x14ac:dyDescent="0.2">
      <c r="A26">
        <v>24</v>
      </c>
      <c r="B26" t="s">
        <v>38</v>
      </c>
      <c r="C26">
        <v>2359.96</v>
      </c>
      <c r="D26">
        <v>2035</v>
      </c>
      <c r="E26" t="s">
        <v>4</v>
      </c>
      <c r="G26" s="2">
        <v>23</v>
      </c>
      <c r="H26" s="3">
        <v>9495.9699999999993</v>
      </c>
      <c r="I26" s="3">
        <v>10651.32</v>
      </c>
      <c r="J26" s="3">
        <v>20147.29</v>
      </c>
    </row>
    <row r="27" spans="1:10" x14ac:dyDescent="0.2">
      <c r="A27">
        <v>25</v>
      </c>
      <c r="B27" t="s">
        <v>38</v>
      </c>
      <c r="C27">
        <v>2063.63</v>
      </c>
      <c r="D27">
        <v>2035</v>
      </c>
      <c r="E27" t="s">
        <v>4</v>
      </c>
      <c r="G27" s="2">
        <v>24</v>
      </c>
      <c r="H27" s="3">
        <v>9337.81</v>
      </c>
      <c r="I27" s="3">
        <v>10533.199999999999</v>
      </c>
      <c r="J27" s="3">
        <v>19871.009999999998</v>
      </c>
    </row>
    <row r="28" spans="1:10" x14ac:dyDescent="0.2">
      <c r="A28">
        <v>26</v>
      </c>
      <c r="B28" t="s">
        <v>38</v>
      </c>
      <c r="C28">
        <v>1977.31</v>
      </c>
      <c r="D28">
        <v>2035</v>
      </c>
      <c r="E28" t="s">
        <v>4</v>
      </c>
      <c r="G28" s="2">
        <v>25</v>
      </c>
      <c r="H28" s="3">
        <v>9209.1600000000017</v>
      </c>
      <c r="I28" s="3">
        <v>9347.9599999999991</v>
      </c>
      <c r="J28" s="3">
        <v>18557.120000000003</v>
      </c>
    </row>
    <row r="29" spans="1:10" x14ac:dyDescent="0.2">
      <c r="A29">
        <v>27</v>
      </c>
      <c r="B29" t="s">
        <v>38</v>
      </c>
      <c r="C29">
        <v>1997.71</v>
      </c>
      <c r="D29">
        <v>2035</v>
      </c>
      <c r="E29" t="s">
        <v>4</v>
      </c>
      <c r="G29" s="2">
        <v>26</v>
      </c>
      <c r="H29" s="3">
        <v>9123.48</v>
      </c>
      <c r="I29" s="3">
        <v>9261.119999999999</v>
      </c>
      <c r="J29" s="3">
        <v>18384.599999999999</v>
      </c>
    </row>
    <row r="30" spans="1:10" x14ac:dyDescent="0.2">
      <c r="A30">
        <v>28</v>
      </c>
      <c r="B30" t="s">
        <v>38</v>
      </c>
      <c r="C30">
        <v>1942.01</v>
      </c>
      <c r="D30">
        <v>2035</v>
      </c>
      <c r="E30" t="s">
        <v>4</v>
      </c>
      <c r="G30" s="2">
        <v>27</v>
      </c>
      <c r="H30" s="3">
        <v>9400.85</v>
      </c>
      <c r="I30" s="3">
        <v>9872.0499999999993</v>
      </c>
      <c r="J30" s="3">
        <v>19272.900000000001</v>
      </c>
    </row>
    <row r="31" spans="1:10" x14ac:dyDescent="0.2">
      <c r="A31">
        <v>29</v>
      </c>
      <c r="B31" t="s">
        <v>38</v>
      </c>
      <c r="C31">
        <v>1902.24</v>
      </c>
      <c r="D31">
        <v>2035</v>
      </c>
      <c r="E31" t="s">
        <v>4</v>
      </c>
      <c r="G31" s="2">
        <v>28</v>
      </c>
      <c r="H31" s="3">
        <v>9441.0800000000017</v>
      </c>
      <c r="I31" s="3">
        <v>9854.66</v>
      </c>
      <c r="J31" s="3">
        <v>19295.740000000002</v>
      </c>
    </row>
    <row r="32" spans="1:10" x14ac:dyDescent="0.2">
      <c r="A32">
        <v>30</v>
      </c>
      <c r="B32" t="s">
        <v>38</v>
      </c>
      <c r="C32">
        <v>1856.57</v>
      </c>
      <c r="D32">
        <v>2035</v>
      </c>
      <c r="E32" t="s">
        <v>4</v>
      </c>
      <c r="G32" s="2">
        <v>29</v>
      </c>
      <c r="H32" s="3">
        <v>9169.3799999999992</v>
      </c>
      <c r="I32" s="3">
        <v>9563.74</v>
      </c>
      <c r="J32" s="3">
        <v>18733.12</v>
      </c>
    </row>
    <row r="33" spans="1:10" x14ac:dyDescent="0.2">
      <c r="A33">
        <v>31</v>
      </c>
      <c r="B33" t="s">
        <v>38</v>
      </c>
      <c r="C33">
        <v>1826.53</v>
      </c>
      <c r="D33">
        <v>2035</v>
      </c>
      <c r="E33" t="s">
        <v>4</v>
      </c>
      <c r="G33" s="2">
        <v>30</v>
      </c>
      <c r="H33" s="3">
        <v>9096.9300000000021</v>
      </c>
      <c r="I33" s="3">
        <v>9284.24</v>
      </c>
      <c r="J33" s="3">
        <v>18381.170000000002</v>
      </c>
    </row>
    <row r="34" spans="1:10" x14ac:dyDescent="0.2">
      <c r="A34">
        <v>32</v>
      </c>
      <c r="B34" t="s">
        <v>38</v>
      </c>
      <c r="C34">
        <v>1782.69</v>
      </c>
      <c r="D34">
        <v>2035</v>
      </c>
      <c r="E34" t="s">
        <v>4</v>
      </c>
      <c r="G34" s="2">
        <v>31</v>
      </c>
      <c r="H34" s="3">
        <v>8955.7199999999993</v>
      </c>
      <c r="I34" s="3">
        <v>9059.880000000001</v>
      </c>
      <c r="J34" s="3">
        <v>18015.599999999999</v>
      </c>
    </row>
    <row r="35" spans="1:10" x14ac:dyDescent="0.2">
      <c r="A35">
        <v>33</v>
      </c>
      <c r="B35" t="s">
        <v>38</v>
      </c>
      <c r="C35">
        <v>1790.48</v>
      </c>
      <c r="D35">
        <v>2035</v>
      </c>
      <c r="E35" t="s">
        <v>4</v>
      </c>
      <c r="G35" s="2">
        <v>32</v>
      </c>
      <c r="H35" s="3">
        <v>8748.2400000000016</v>
      </c>
      <c r="I35" s="3">
        <v>8817.42</v>
      </c>
      <c r="J35" s="3">
        <v>17565.660000000003</v>
      </c>
    </row>
    <row r="36" spans="1:10" x14ac:dyDescent="0.2">
      <c r="A36">
        <v>34</v>
      </c>
      <c r="B36" t="s">
        <v>38</v>
      </c>
      <c r="C36">
        <v>1788.8</v>
      </c>
      <c r="D36">
        <v>2035</v>
      </c>
      <c r="E36" t="s">
        <v>4</v>
      </c>
      <c r="G36" s="2">
        <v>33</v>
      </c>
      <c r="H36" s="3">
        <v>8615.33</v>
      </c>
      <c r="I36" s="3">
        <v>8544.1099999999988</v>
      </c>
      <c r="J36" s="3">
        <v>17159.439999999999</v>
      </c>
    </row>
    <row r="37" spans="1:10" x14ac:dyDescent="0.2">
      <c r="A37">
        <v>35</v>
      </c>
      <c r="B37" t="s">
        <v>38</v>
      </c>
      <c r="C37">
        <v>1903.56</v>
      </c>
      <c r="D37">
        <v>2035</v>
      </c>
      <c r="E37" t="s">
        <v>4</v>
      </c>
      <c r="G37" s="2">
        <v>34</v>
      </c>
      <c r="H37" s="3">
        <v>8664.5400000000009</v>
      </c>
      <c r="I37" s="3">
        <v>8560.2000000000007</v>
      </c>
      <c r="J37" s="3">
        <v>17224.740000000002</v>
      </c>
    </row>
    <row r="38" spans="1:10" x14ac:dyDescent="0.2">
      <c r="A38">
        <v>36</v>
      </c>
      <c r="B38" t="s">
        <v>38</v>
      </c>
      <c r="C38">
        <v>1946.26</v>
      </c>
      <c r="D38">
        <v>2035</v>
      </c>
      <c r="E38" t="s">
        <v>4</v>
      </c>
      <c r="G38" s="2">
        <v>35</v>
      </c>
      <c r="H38" s="3">
        <v>8741.2199999999993</v>
      </c>
      <c r="I38" s="3">
        <v>8616.2099999999991</v>
      </c>
      <c r="J38" s="3">
        <v>17357.43</v>
      </c>
    </row>
    <row r="39" spans="1:10" x14ac:dyDescent="0.2">
      <c r="A39">
        <v>37</v>
      </c>
      <c r="B39" t="s">
        <v>38</v>
      </c>
      <c r="C39">
        <v>1939.59</v>
      </c>
      <c r="D39">
        <v>2035</v>
      </c>
      <c r="E39" t="s">
        <v>4</v>
      </c>
      <c r="G39" s="2">
        <v>36</v>
      </c>
      <c r="H39" s="3">
        <v>8683.77</v>
      </c>
      <c r="I39" s="3">
        <v>8507.74</v>
      </c>
      <c r="J39" s="3">
        <v>17191.510000000002</v>
      </c>
    </row>
    <row r="40" spans="1:10" x14ac:dyDescent="0.2">
      <c r="A40">
        <v>38</v>
      </c>
      <c r="B40" t="s">
        <v>38</v>
      </c>
      <c r="C40">
        <v>1915.18</v>
      </c>
      <c r="D40">
        <v>2035</v>
      </c>
      <c r="E40" t="s">
        <v>4</v>
      </c>
      <c r="G40" s="2">
        <v>37</v>
      </c>
      <c r="H40" s="3">
        <v>8594.02</v>
      </c>
      <c r="I40" s="3">
        <v>8390.41</v>
      </c>
      <c r="J40" s="3">
        <v>16984.43</v>
      </c>
    </row>
    <row r="41" spans="1:10" x14ac:dyDescent="0.2">
      <c r="A41">
        <v>39</v>
      </c>
      <c r="B41" t="s">
        <v>38</v>
      </c>
      <c r="C41">
        <v>1968.57</v>
      </c>
      <c r="D41">
        <v>2035</v>
      </c>
      <c r="E41" t="s">
        <v>4</v>
      </c>
      <c r="G41" s="2">
        <v>38</v>
      </c>
      <c r="H41" s="3">
        <v>8721.32</v>
      </c>
      <c r="I41" s="3">
        <v>8217.56</v>
      </c>
      <c r="J41" s="3">
        <v>16938.879999999997</v>
      </c>
    </row>
    <row r="42" spans="1:10" x14ac:dyDescent="0.2">
      <c r="A42">
        <v>40</v>
      </c>
      <c r="B42" t="s">
        <v>38</v>
      </c>
      <c r="C42">
        <v>1961.24</v>
      </c>
      <c r="D42">
        <v>2035</v>
      </c>
      <c r="E42" t="s">
        <v>4</v>
      </c>
      <c r="G42" s="2">
        <v>39</v>
      </c>
      <c r="H42" s="3">
        <v>8683.48</v>
      </c>
      <c r="I42" s="3">
        <v>8282.2899999999991</v>
      </c>
      <c r="J42" s="3">
        <v>16965.769999999997</v>
      </c>
    </row>
    <row r="43" spans="1:10" x14ac:dyDescent="0.2">
      <c r="A43">
        <v>41</v>
      </c>
      <c r="B43" t="s">
        <v>38</v>
      </c>
      <c r="C43">
        <v>1934.83</v>
      </c>
      <c r="D43">
        <v>2035</v>
      </c>
      <c r="E43" t="s">
        <v>4</v>
      </c>
      <c r="G43" s="2">
        <v>40</v>
      </c>
      <c r="H43" s="3">
        <v>8610.7900000000009</v>
      </c>
      <c r="I43" s="3">
        <v>8405.76</v>
      </c>
      <c r="J43" s="3">
        <v>17016.550000000003</v>
      </c>
    </row>
    <row r="44" spans="1:10" x14ac:dyDescent="0.2">
      <c r="A44">
        <v>42</v>
      </c>
      <c r="B44" t="s">
        <v>38</v>
      </c>
      <c r="C44">
        <v>1697.85</v>
      </c>
      <c r="D44">
        <v>2035</v>
      </c>
      <c r="E44" t="s">
        <v>4</v>
      </c>
      <c r="G44" s="2">
        <v>41</v>
      </c>
      <c r="H44" s="3">
        <v>8745.8700000000008</v>
      </c>
      <c r="I44" s="3">
        <v>8508.3200000000015</v>
      </c>
      <c r="J44" s="3">
        <v>17254.190000000002</v>
      </c>
    </row>
    <row r="45" spans="1:10" x14ac:dyDescent="0.2">
      <c r="A45">
        <v>43</v>
      </c>
      <c r="B45" t="s">
        <v>38</v>
      </c>
      <c r="C45">
        <v>1725.87</v>
      </c>
      <c r="D45">
        <v>2035</v>
      </c>
      <c r="E45" t="s">
        <v>4</v>
      </c>
      <c r="G45" s="2">
        <v>42</v>
      </c>
      <c r="H45" s="3">
        <v>8048.27</v>
      </c>
      <c r="I45" s="3">
        <v>8563.4999999999982</v>
      </c>
      <c r="J45" s="3">
        <v>16611.769999999997</v>
      </c>
    </row>
    <row r="46" spans="1:10" x14ac:dyDescent="0.2">
      <c r="A46">
        <v>44</v>
      </c>
      <c r="B46" t="s">
        <v>38</v>
      </c>
      <c r="C46">
        <v>1889.11</v>
      </c>
      <c r="D46">
        <v>2035</v>
      </c>
      <c r="E46" t="s">
        <v>4</v>
      </c>
      <c r="G46" s="2">
        <v>43</v>
      </c>
      <c r="H46" s="3">
        <v>7950.6200000000008</v>
      </c>
      <c r="I46" s="3">
        <v>7770.4000000000005</v>
      </c>
      <c r="J46" s="3">
        <v>15721.02</v>
      </c>
    </row>
    <row r="47" spans="1:10" x14ac:dyDescent="0.2">
      <c r="A47">
        <v>45</v>
      </c>
      <c r="B47" t="s">
        <v>38</v>
      </c>
      <c r="C47">
        <v>1856.03</v>
      </c>
      <c r="D47">
        <v>2035</v>
      </c>
      <c r="E47" t="s">
        <v>4</v>
      </c>
      <c r="G47" s="2">
        <v>44</v>
      </c>
      <c r="H47" s="3">
        <v>8128.86</v>
      </c>
      <c r="I47" s="3">
        <v>7672.3</v>
      </c>
      <c r="J47" s="3">
        <v>15801.16</v>
      </c>
    </row>
    <row r="48" spans="1:10" x14ac:dyDescent="0.2">
      <c r="A48">
        <v>46</v>
      </c>
      <c r="B48" t="s">
        <v>38</v>
      </c>
      <c r="C48">
        <v>1915.2</v>
      </c>
      <c r="D48">
        <v>2035</v>
      </c>
      <c r="E48" t="s">
        <v>4</v>
      </c>
      <c r="G48" s="2">
        <v>45</v>
      </c>
      <c r="H48" s="3">
        <v>7996.3</v>
      </c>
      <c r="I48" s="3">
        <v>7413.93</v>
      </c>
      <c r="J48" s="3">
        <v>15410.23</v>
      </c>
    </row>
    <row r="49" spans="1:10" x14ac:dyDescent="0.2">
      <c r="A49">
        <v>47</v>
      </c>
      <c r="B49" t="s">
        <v>38</v>
      </c>
      <c r="C49">
        <v>1919.55</v>
      </c>
      <c r="D49">
        <v>2035</v>
      </c>
      <c r="E49" t="s">
        <v>4</v>
      </c>
      <c r="G49" s="2">
        <v>46</v>
      </c>
      <c r="H49" s="3">
        <v>7900.0999999999995</v>
      </c>
      <c r="I49" s="3">
        <v>7209.2300000000005</v>
      </c>
      <c r="J49" s="3">
        <v>15109.33</v>
      </c>
    </row>
    <row r="50" spans="1:10" x14ac:dyDescent="0.2">
      <c r="A50">
        <v>48</v>
      </c>
      <c r="B50" t="s">
        <v>38</v>
      </c>
      <c r="C50">
        <v>2048.7399999999998</v>
      </c>
      <c r="D50">
        <v>2035</v>
      </c>
      <c r="E50" t="s">
        <v>4</v>
      </c>
      <c r="G50" s="2">
        <v>47</v>
      </c>
      <c r="H50" s="3">
        <v>7690.9</v>
      </c>
      <c r="I50" s="3">
        <v>7244.8499999999995</v>
      </c>
      <c r="J50" s="3">
        <v>14935.75</v>
      </c>
    </row>
    <row r="51" spans="1:10" x14ac:dyDescent="0.2">
      <c r="A51">
        <v>49</v>
      </c>
      <c r="B51" t="s">
        <v>38</v>
      </c>
      <c r="C51">
        <v>2093.0100000000002</v>
      </c>
      <c r="D51">
        <v>2035</v>
      </c>
      <c r="E51" t="s">
        <v>4</v>
      </c>
      <c r="G51" s="2">
        <v>48</v>
      </c>
      <c r="H51" s="3">
        <v>7745.630000000001</v>
      </c>
      <c r="I51" s="3">
        <v>7281.33</v>
      </c>
      <c r="J51" s="3">
        <v>15026.960000000001</v>
      </c>
    </row>
    <row r="52" spans="1:10" x14ac:dyDescent="0.2">
      <c r="A52">
        <v>50</v>
      </c>
      <c r="B52" t="s">
        <v>38</v>
      </c>
      <c r="C52">
        <v>2018.05</v>
      </c>
      <c r="D52">
        <v>2035</v>
      </c>
      <c r="E52" t="s">
        <v>4</v>
      </c>
      <c r="G52" s="2">
        <v>49</v>
      </c>
      <c r="H52" s="3">
        <v>7847.880000000001</v>
      </c>
      <c r="I52" s="3">
        <v>7430.28</v>
      </c>
      <c r="J52" s="3">
        <v>15278.16</v>
      </c>
    </row>
    <row r="53" spans="1:10" x14ac:dyDescent="0.2">
      <c r="A53">
        <v>51</v>
      </c>
      <c r="B53" t="s">
        <v>38</v>
      </c>
      <c r="C53">
        <v>2043.4</v>
      </c>
      <c r="D53">
        <v>2035</v>
      </c>
      <c r="E53" t="s">
        <v>4</v>
      </c>
      <c r="G53" s="2">
        <v>50</v>
      </c>
      <c r="H53" s="3">
        <v>7679.2300000000005</v>
      </c>
      <c r="I53" s="3">
        <v>7455.0099999999993</v>
      </c>
      <c r="J53" s="3">
        <v>15134.24</v>
      </c>
    </row>
    <row r="54" spans="1:10" x14ac:dyDescent="0.2">
      <c r="A54">
        <v>52</v>
      </c>
      <c r="B54" t="s">
        <v>38</v>
      </c>
      <c r="C54">
        <v>2057.54</v>
      </c>
      <c r="D54">
        <v>2035</v>
      </c>
      <c r="E54" t="s">
        <v>4</v>
      </c>
      <c r="G54" s="2">
        <v>51</v>
      </c>
      <c r="H54" s="3">
        <v>7461.0899999999992</v>
      </c>
      <c r="I54" s="3">
        <v>7113.0300000000007</v>
      </c>
      <c r="J54" s="3">
        <v>14574.119999999999</v>
      </c>
    </row>
    <row r="55" spans="1:10" x14ac:dyDescent="0.2">
      <c r="A55">
        <v>53</v>
      </c>
      <c r="B55" t="s">
        <v>38</v>
      </c>
      <c r="C55">
        <v>2024.6</v>
      </c>
      <c r="D55">
        <v>2035</v>
      </c>
      <c r="E55" t="s">
        <v>4</v>
      </c>
      <c r="G55" s="2">
        <v>52</v>
      </c>
      <c r="H55" s="3">
        <v>7605.1500000000005</v>
      </c>
      <c r="I55" s="3">
        <v>7230.37</v>
      </c>
      <c r="J55" s="3">
        <v>14835.52</v>
      </c>
    </row>
    <row r="56" spans="1:10" x14ac:dyDescent="0.2">
      <c r="A56">
        <v>54</v>
      </c>
      <c r="B56" t="s">
        <v>38</v>
      </c>
      <c r="C56">
        <v>1977.21</v>
      </c>
      <c r="D56">
        <v>2035</v>
      </c>
      <c r="E56" t="s">
        <v>4</v>
      </c>
      <c r="G56" s="2">
        <v>53</v>
      </c>
      <c r="H56" s="3">
        <v>7505.9600000000009</v>
      </c>
      <c r="I56" s="3">
        <v>7080.19</v>
      </c>
      <c r="J56" s="3">
        <v>14586.150000000001</v>
      </c>
    </row>
    <row r="57" spans="1:10" x14ac:dyDescent="0.2">
      <c r="A57">
        <v>55</v>
      </c>
      <c r="B57" t="s">
        <v>38</v>
      </c>
      <c r="C57">
        <v>1916.88</v>
      </c>
      <c r="D57">
        <v>2035</v>
      </c>
      <c r="E57" t="s">
        <v>4</v>
      </c>
      <c r="G57" s="2">
        <v>54</v>
      </c>
      <c r="H57" s="3">
        <v>7303.71</v>
      </c>
      <c r="I57" s="3">
        <v>6930.5199999999995</v>
      </c>
      <c r="J57" s="3">
        <v>14234.23</v>
      </c>
    </row>
    <row r="58" spans="1:10" x14ac:dyDescent="0.2">
      <c r="A58">
        <v>56</v>
      </c>
      <c r="B58" t="s">
        <v>38</v>
      </c>
      <c r="C58">
        <v>1812.89</v>
      </c>
      <c r="D58">
        <v>2035</v>
      </c>
      <c r="E58" t="s">
        <v>4</v>
      </c>
      <c r="G58" s="2">
        <v>55</v>
      </c>
      <c r="H58" s="3">
        <v>7080.17</v>
      </c>
      <c r="I58" s="3">
        <v>6795.83</v>
      </c>
      <c r="J58" s="3">
        <v>13876</v>
      </c>
    </row>
    <row r="59" spans="1:10" x14ac:dyDescent="0.2">
      <c r="A59">
        <v>57</v>
      </c>
      <c r="B59" t="s">
        <v>38</v>
      </c>
      <c r="C59">
        <v>1717.25</v>
      </c>
      <c r="D59">
        <v>2035</v>
      </c>
      <c r="E59" t="s">
        <v>4</v>
      </c>
      <c r="G59" s="2">
        <v>56</v>
      </c>
      <c r="H59" s="3">
        <v>6601.1900000000005</v>
      </c>
      <c r="I59" s="3">
        <v>6321.67</v>
      </c>
      <c r="J59" s="3">
        <v>12922.86</v>
      </c>
    </row>
    <row r="60" spans="1:10" x14ac:dyDescent="0.2">
      <c r="A60">
        <v>58</v>
      </c>
      <c r="B60" t="s">
        <v>38</v>
      </c>
      <c r="C60">
        <v>1687.79</v>
      </c>
      <c r="D60">
        <v>2035</v>
      </c>
      <c r="E60" t="s">
        <v>4</v>
      </c>
      <c r="G60" s="2">
        <v>57</v>
      </c>
      <c r="H60" s="3">
        <v>6444.95</v>
      </c>
      <c r="I60" s="3">
        <v>6057.4</v>
      </c>
      <c r="J60" s="3">
        <v>12502.349999999999</v>
      </c>
    </row>
    <row r="61" spans="1:10" x14ac:dyDescent="0.2">
      <c r="A61">
        <v>59</v>
      </c>
      <c r="B61" t="s">
        <v>38</v>
      </c>
      <c r="C61">
        <v>1593.4</v>
      </c>
      <c r="D61">
        <v>2035</v>
      </c>
      <c r="E61" t="s">
        <v>4</v>
      </c>
      <c r="G61" s="2">
        <v>58</v>
      </c>
      <c r="H61" s="3">
        <v>6222.7399999999989</v>
      </c>
      <c r="I61" s="3">
        <v>5917.8700000000008</v>
      </c>
      <c r="J61" s="3">
        <v>12140.61</v>
      </c>
    </row>
    <row r="62" spans="1:10" x14ac:dyDescent="0.2">
      <c r="A62">
        <v>60</v>
      </c>
      <c r="B62" t="s">
        <v>38</v>
      </c>
      <c r="C62">
        <v>1557.34</v>
      </c>
      <c r="D62">
        <v>2035</v>
      </c>
      <c r="E62" t="s">
        <v>4</v>
      </c>
      <c r="G62" s="2">
        <v>59</v>
      </c>
      <c r="H62" s="3">
        <v>5995.7699999999995</v>
      </c>
      <c r="I62" s="3">
        <v>5865.73</v>
      </c>
      <c r="J62" s="3">
        <v>11861.5</v>
      </c>
    </row>
    <row r="63" spans="1:10" x14ac:dyDescent="0.2">
      <c r="A63">
        <v>61</v>
      </c>
      <c r="B63" t="s">
        <v>38</v>
      </c>
      <c r="C63">
        <v>1486.66</v>
      </c>
      <c r="D63">
        <v>2035</v>
      </c>
      <c r="E63" t="s">
        <v>4</v>
      </c>
      <c r="G63" s="2">
        <v>60</v>
      </c>
      <c r="H63" s="3">
        <v>5982.0400000000009</v>
      </c>
      <c r="I63" s="3">
        <v>5753.11</v>
      </c>
      <c r="J63" s="3">
        <v>11735.150000000001</v>
      </c>
    </row>
    <row r="64" spans="1:10" x14ac:dyDescent="0.2">
      <c r="A64">
        <v>62</v>
      </c>
      <c r="B64" t="s">
        <v>38</v>
      </c>
      <c r="C64">
        <v>1531.46</v>
      </c>
      <c r="D64">
        <v>2035</v>
      </c>
      <c r="E64" t="s">
        <v>4</v>
      </c>
      <c r="G64" s="2">
        <v>61</v>
      </c>
      <c r="H64" s="3">
        <v>5632.9299999999994</v>
      </c>
      <c r="I64" s="3">
        <v>5462.8099999999995</v>
      </c>
      <c r="J64" s="3">
        <v>11095.739999999998</v>
      </c>
    </row>
    <row r="65" spans="1:10" x14ac:dyDescent="0.2">
      <c r="A65">
        <v>63</v>
      </c>
      <c r="B65" t="s">
        <v>38</v>
      </c>
      <c r="C65">
        <v>1661.98</v>
      </c>
      <c r="D65">
        <v>2035</v>
      </c>
      <c r="E65" t="s">
        <v>4</v>
      </c>
      <c r="G65" s="2">
        <v>62</v>
      </c>
      <c r="H65" s="3">
        <v>5701.9000000000005</v>
      </c>
      <c r="I65" s="3">
        <v>5328.95</v>
      </c>
      <c r="J65" s="3">
        <v>11030.85</v>
      </c>
    </row>
    <row r="66" spans="1:10" x14ac:dyDescent="0.2">
      <c r="A66">
        <v>64</v>
      </c>
      <c r="B66" t="s">
        <v>38</v>
      </c>
      <c r="C66">
        <v>1840.24</v>
      </c>
      <c r="D66">
        <v>2035</v>
      </c>
      <c r="E66" t="s">
        <v>4</v>
      </c>
      <c r="G66" s="2">
        <v>63</v>
      </c>
      <c r="H66" s="3">
        <v>5797.59</v>
      </c>
      <c r="I66" s="3">
        <v>5162.5999999999995</v>
      </c>
      <c r="J66" s="3">
        <v>10960.189999999999</v>
      </c>
    </row>
    <row r="67" spans="1:10" x14ac:dyDescent="0.2">
      <c r="A67">
        <v>65</v>
      </c>
      <c r="B67" t="s">
        <v>38</v>
      </c>
      <c r="C67">
        <v>1796.31</v>
      </c>
      <c r="D67">
        <v>2035</v>
      </c>
      <c r="E67" t="s">
        <v>4</v>
      </c>
      <c r="G67" s="2">
        <v>64</v>
      </c>
      <c r="H67" s="3">
        <v>5974.43</v>
      </c>
      <c r="I67" s="3">
        <v>5359.64</v>
      </c>
      <c r="J67" s="3">
        <v>11334.07</v>
      </c>
    </row>
    <row r="68" spans="1:10" x14ac:dyDescent="0.2">
      <c r="A68">
        <v>66</v>
      </c>
      <c r="B68" t="s">
        <v>38</v>
      </c>
      <c r="C68">
        <v>1778.82</v>
      </c>
      <c r="D68">
        <v>2035</v>
      </c>
      <c r="E68" t="s">
        <v>4</v>
      </c>
      <c r="G68" s="2">
        <v>65</v>
      </c>
      <c r="H68" s="3">
        <v>5757.82</v>
      </c>
      <c r="I68" s="3">
        <v>5479.1299999999992</v>
      </c>
      <c r="J68" s="3">
        <v>11236.949999999999</v>
      </c>
    </row>
    <row r="69" spans="1:10" x14ac:dyDescent="0.2">
      <c r="A69">
        <v>67</v>
      </c>
      <c r="B69" t="s">
        <v>38</v>
      </c>
      <c r="C69">
        <v>1738.41</v>
      </c>
      <c r="D69">
        <v>2035</v>
      </c>
      <c r="E69" t="s">
        <v>4</v>
      </c>
      <c r="G69" s="2">
        <v>66</v>
      </c>
      <c r="H69" s="3">
        <v>5504.53</v>
      </c>
      <c r="I69" s="3">
        <v>5090.8899999999994</v>
      </c>
      <c r="J69" s="3">
        <v>10595.419999999998</v>
      </c>
    </row>
    <row r="70" spans="1:10" x14ac:dyDescent="0.2">
      <c r="A70">
        <v>68</v>
      </c>
      <c r="B70" t="s">
        <v>38</v>
      </c>
      <c r="C70">
        <v>1698.87</v>
      </c>
      <c r="D70">
        <v>2035</v>
      </c>
      <c r="E70" t="s">
        <v>4</v>
      </c>
      <c r="G70" s="2">
        <v>67</v>
      </c>
      <c r="H70" s="3">
        <v>5448.56</v>
      </c>
      <c r="I70" s="3">
        <v>4971.9400000000005</v>
      </c>
      <c r="J70" s="3">
        <v>10420.5</v>
      </c>
    </row>
    <row r="71" spans="1:10" x14ac:dyDescent="0.2">
      <c r="A71">
        <v>69</v>
      </c>
      <c r="B71" t="s">
        <v>38</v>
      </c>
      <c r="C71">
        <v>1691.1</v>
      </c>
      <c r="D71">
        <v>2035</v>
      </c>
      <c r="E71" t="s">
        <v>4</v>
      </c>
      <c r="G71" s="2">
        <v>68</v>
      </c>
      <c r="H71" s="3">
        <v>5301.28</v>
      </c>
      <c r="I71" s="3">
        <v>4920.09</v>
      </c>
      <c r="J71" s="3">
        <v>10221.369999999999</v>
      </c>
    </row>
    <row r="72" spans="1:10" x14ac:dyDescent="0.2">
      <c r="A72">
        <v>70</v>
      </c>
      <c r="B72" t="s">
        <v>38</v>
      </c>
      <c r="C72">
        <v>1872.87</v>
      </c>
      <c r="D72">
        <v>2035</v>
      </c>
      <c r="E72" t="s">
        <v>4</v>
      </c>
      <c r="G72" s="2">
        <v>69</v>
      </c>
      <c r="H72" s="3">
        <v>5253.829999999999</v>
      </c>
      <c r="I72" s="3">
        <v>4892.21</v>
      </c>
      <c r="J72" s="3">
        <v>10146.039999999999</v>
      </c>
    </row>
    <row r="73" spans="1:10" x14ac:dyDescent="0.2">
      <c r="A73">
        <v>71</v>
      </c>
      <c r="B73" t="s">
        <v>38</v>
      </c>
      <c r="C73">
        <v>1962.52</v>
      </c>
      <c r="D73">
        <v>2035</v>
      </c>
      <c r="E73" t="s">
        <v>4</v>
      </c>
      <c r="G73" s="2">
        <v>70</v>
      </c>
      <c r="H73" s="3">
        <v>5417.42</v>
      </c>
      <c r="I73" s="3">
        <v>4999.5599999999995</v>
      </c>
      <c r="J73" s="3">
        <v>10416.98</v>
      </c>
    </row>
    <row r="74" spans="1:10" x14ac:dyDescent="0.2">
      <c r="A74">
        <v>72</v>
      </c>
      <c r="B74" t="s">
        <v>38</v>
      </c>
      <c r="C74">
        <v>2064.38</v>
      </c>
      <c r="D74">
        <v>2035</v>
      </c>
      <c r="E74" t="s">
        <v>4</v>
      </c>
      <c r="G74" s="2">
        <v>71</v>
      </c>
      <c r="H74" s="3">
        <v>5484.37</v>
      </c>
      <c r="I74" s="3">
        <v>4875.17</v>
      </c>
      <c r="J74" s="3">
        <v>10359.540000000001</v>
      </c>
    </row>
    <row r="75" spans="1:10" x14ac:dyDescent="0.2">
      <c r="A75">
        <v>73</v>
      </c>
      <c r="B75" t="s">
        <v>38</v>
      </c>
      <c r="C75">
        <v>2094.64</v>
      </c>
      <c r="D75">
        <v>2035</v>
      </c>
      <c r="E75" t="s">
        <v>4</v>
      </c>
      <c r="G75" s="2">
        <v>72</v>
      </c>
      <c r="H75" s="3">
        <v>5403.9800000000005</v>
      </c>
      <c r="I75" s="3">
        <v>4746.1899999999987</v>
      </c>
      <c r="J75" s="3">
        <v>10150.169999999998</v>
      </c>
    </row>
    <row r="76" spans="1:10" x14ac:dyDescent="0.2">
      <c r="A76">
        <v>74</v>
      </c>
      <c r="B76" t="s">
        <v>38</v>
      </c>
      <c r="C76">
        <v>2182.61</v>
      </c>
      <c r="D76">
        <v>2035</v>
      </c>
      <c r="E76" t="s">
        <v>4</v>
      </c>
      <c r="G76" s="2">
        <v>73</v>
      </c>
      <c r="H76" s="3">
        <v>5269.82</v>
      </c>
      <c r="I76" s="3">
        <v>4586.68</v>
      </c>
      <c r="J76" s="3">
        <v>9856.5</v>
      </c>
    </row>
    <row r="77" spans="1:10" x14ac:dyDescent="0.2">
      <c r="A77">
        <v>75</v>
      </c>
      <c r="B77" t="s">
        <v>38</v>
      </c>
      <c r="C77">
        <v>2143.12</v>
      </c>
      <c r="D77">
        <v>2035</v>
      </c>
      <c r="E77" t="s">
        <v>4</v>
      </c>
      <c r="G77" s="2">
        <v>74</v>
      </c>
      <c r="H77" s="3">
        <v>5319.7400000000007</v>
      </c>
      <c r="I77" s="3">
        <v>4547.99</v>
      </c>
      <c r="J77" s="3">
        <v>9867.73</v>
      </c>
    </row>
    <row r="78" spans="1:10" x14ac:dyDescent="0.2">
      <c r="A78">
        <v>76</v>
      </c>
      <c r="B78" t="s">
        <v>38</v>
      </c>
      <c r="C78">
        <v>2031.84</v>
      </c>
      <c r="D78">
        <v>2035</v>
      </c>
      <c r="E78" t="s">
        <v>4</v>
      </c>
      <c r="G78" s="2">
        <v>75</v>
      </c>
      <c r="H78" s="3">
        <v>5181.0100000000011</v>
      </c>
      <c r="I78" s="3">
        <v>4507.79</v>
      </c>
      <c r="J78" s="3">
        <v>9688.8000000000011</v>
      </c>
    </row>
    <row r="79" spans="1:10" x14ac:dyDescent="0.2">
      <c r="A79">
        <v>77</v>
      </c>
      <c r="B79" t="s">
        <v>38</v>
      </c>
      <c r="C79">
        <v>2002.7</v>
      </c>
      <c r="D79">
        <v>2035</v>
      </c>
      <c r="E79" t="s">
        <v>4</v>
      </c>
      <c r="G79" s="2">
        <v>76</v>
      </c>
      <c r="H79" s="3">
        <v>4854.28</v>
      </c>
      <c r="I79" s="3">
        <v>4140.99</v>
      </c>
      <c r="J79" s="3">
        <v>8995.27</v>
      </c>
    </row>
    <row r="80" spans="1:10" x14ac:dyDescent="0.2">
      <c r="A80">
        <v>78</v>
      </c>
      <c r="B80" t="s">
        <v>38</v>
      </c>
      <c r="C80">
        <v>1935.67</v>
      </c>
      <c r="D80">
        <v>2035</v>
      </c>
      <c r="E80" t="s">
        <v>4</v>
      </c>
      <c r="G80" s="2">
        <v>77</v>
      </c>
      <c r="H80" s="3">
        <v>4716.28</v>
      </c>
      <c r="I80" s="3">
        <v>3882.17</v>
      </c>
      <c r="J80" s="3">
        <v>8598.4500000000007</v>
      </c>
    </row>
    <row r="81" spans="1:10" x14ac:dyDescent="0.2">
      <c r="A81">
        <v>79</v>
      </c>
      <c r="B81" t="s">
        <v>38</v>
      </c>
      <c r="C81">
        <v>1823.35</v>
      </c>
      <c r="D81">
        <v>2035</v>
      </c>
      <c r="E81" t="s">
        <v>4</v>
      </c>
      <c r="G81" s="2">
        <v>78</v>
      </c>
      <c r="H81" s="3">
        <v>4436.93</v>
      </c>
      <c r="I81" s="3">
        <v>3667.03</v>
      </c>
      <c r="J81" s="3">
        <v>8103.9600000000009</v>
      </c>
    </row>
    <row r="82" spans="1:10" x14ac:dyDescent="0.2">
      <c r="A82">
        <v>80</v>
      </c>
      <c r="B82" t="s">
        <v>38</v>
      </c>
      <c r="C82">
        <v>1909.28</v>
      </c>
      <c r="D82">
        <v>2035</v>
      </c>
      <c r="E82" t="s">
        <v>4</v>
      </c>
      <c r="G82" s="2">
        <v>79</v>
      </c>
      <c r="H82" s="3">
        <v>4206.33</v>
      </c>
      <c r="I82" s="3">
        <v>3475.8500000000004</v>
      </c>
      <c r="J82" s="3">
        <v>7682.18</v>
      </c>
    </row>
    <row r="83" spans="1:10" x14ac:dyDescent="0.2">
      <c r="A83">
        <v>81</v>
      </c>
      <c r="B83" t="s">
        <v>38</v>
      </c>
      <c r="C83">
        <v>1842.09</v>
      </c>
      <c r="D83">
        <v>2035</v>
      </c>
      <c r="E83" t="s">
        <v>4</v>
      </c>
      <c r="G83" s="2">
        <v>80</v>
      </c>
      <c r="H83" s="3">
        <v>4197.5600000000004</v>
      </c>
      <c r="I83" s="3">
        <v>3300.79</v>
      </c>
      <c r="J83" s="3">
        <v>7498.35</v>
      </c>
    </row>
    <row r="84" spans="1:10" x14ac:dyDescent="0.2">
      <c r="A84">
        <v>82</v>
      </c>
      <c r="B84" t="s">
        <v>38</v>
      </c>
      <c r="C84">
        <v>1705.99</v>
      </c>
      <c r="D84">
        <v>2035</v>
      </c>
      <c r="E84" t="s">
        <v>4</v>
      </c>
      <c r="G84" s="2">
        <v>81</v>
      </c>
      <c r="H84" s="3">
        <v>3843.1699999999996</v>
      </c>
      <c r="I84" s="3">
        <v>2996.7400000000007</v>
      </c>
      <c r="J84" s="3">
        <v>6839.91</v>
      </c>
    </row>
    <row r="85" spans="1:10" x14ac:dyDescent="0.2">
      <c r="A85">
        <v>83</v>
      </c>
      <c r="B85" t="s">
        <v>38</v>
      </c>
      <c r="C85">
        <v>1644.27</v>
      </c>
      <c r="D85">
        <v>2035</v>
      </c>
      <c r="E85" t="s">
        <v>4</v>
      </c>
      <c r="G85" s="2">
        <v>82</v>
      </c>
      <c r="H85" s="3">
        <v>3540.5099999999998</v>
      </c>
      <c r="I85" s="3">
        <v>2691.72</v>
      </c>
      <c r="J85" s="3">
        <v>6232.23</v>
      </c>
    </row>
    <row r="86" spans="1:10" x14ac:dyDescent="0.2">
      <c r="A86">
        <v>84</v>
      </c>
      <c r="B86" t="s">
        <v>38</v>
      </c>
      <c r="C86">
        <v>1516.76</v>
      </c>
      <c r="D86">
        <v>2035</v>
      </c>
      <c r="E86" t="s">
        <v>4</v>
      </c>
      <c r="G86" s="2">
        <v>83</v>
      </c>
      <c r="H86" s="3">
        <v>3309.87</v>
      </c>
      <c r="I86" s="3">
        <v>2468.59</v>
      </c>
      <c r="J86" s="3">
        <v>5778.46</v>
      </c>
    </row>
    <row r="87" spans="1:10" x14ac:dyDescent="0.2">
      <c r="A87">
        <v>85</v>
      </c>
      <c r="B87" t="s">
        <v>38</v>
      </c>
      <c r="C87">
        <v>1426.93</v>
      </c>
      <c r="D87">
        <v>2035</v>
      </c>
      <c r="E87" t="s">
        <v>4</v>
      </c>
      <c r="G87" s="2">
        <v>84</v>
      </c>
      <c r="H87" s="3">
        <v>3057.4900000000002</v>
      </c>
      <c r="I87" s="3">
        <v>2244.3799999999997</v>
      </c>
      <c r="J87" s="3">
        <v>5301.87</v>
      </c>
    </row>
    <row r="88" spans="1:10" x14ac:dyDescent="0.2">
      <c r="A88">
        <v>86</v>
      </c>
      <c r="B88" t="s">
        <v>38</v>
      </c>
      <c r="C88">
        <v>1329.4</v>
      </c>
      <c r="D88">
        <v>2035</v>
      </c>
      <c r="E88" t="s">
        <v>4</v>
      </c>
      <c r="G88" s="2">
        <v>85</v>
      </c>
      <c r="H88" s="3">
        <v>2845.8100000000004</v>
      </c>
      <c r="I88" s="3">
        <v>2114.2199999999998</v>
      </c>
      <c r="J88" s="3">
        <v>4960.0300000000007</v>
      </c>
    </row>
    <row r="89" spans="1:10" x14ac:dyDescent="0.2">
      <c r="A89">
        <v>87</v>
      </c>
      <c r="B89" t="s">
        <v>38</v>
      </c>
      <c r="C89">
        <v>1239.0999999999999</v>
      </c>
      <c r="D89">
        <v>2035</v>
      </c>
      <c r="E89" t="s">
        <v>4</v>
      </c>
      <c r="G89" s="2">
        <v>86</v>
      </c>
      <c r="H89" s="3">
        <v>2555.58</v>
      </c>
      <c r="I89" s="3">
        <v>1832.61</v>
      </c>
      <c r="J89" s="3">
        <v>4388.1899999999996</v>
      </c>
    </row>
    <row r="90" spans="1:10" x14ac:dyDescent="0.2">
      <c r="A90">
        <v>88</v>
      </c>
      <c r="B90" t="s">
        <v>38</v>
      </c>
      <c r="C90">
        <v>1162.6600000000001</v>
      </c>
      <c r="D90">
        <v>2035</v>
      </c>
      <c r="E90" t="s">
        <v>4</v>
      </c>
      <c r="G90" s="2">
        <v>87</v>
      </c>
      <c r="H90" s="3">
        <v>2339.15</v>
      </c>
      <c r="I90" s="3">
        <v>1624.8999999999996</v>
      </c>
      <c r="J90" s="3">
        <v>3964.0499999999997</v>
      </c>
    </row>
    <row r="91" spans="1:10" x14ac:dyDescent="0.2">
      <c r="A91">
        <v>89</v>
      </c>
      <c r="B91" t="s">
        <v>38</v>
      </c>
      <c r="C91">
        <v>844.86</v>
      </c>
      <c r="D91">
        <v>2035</v>
      </c>
      <c r="E91" t="s">
        <v>4</v>
      </c>
      <c r="G91" s="2">
        <v>88</v>
      </c>
      <c r="H91" s="3">
        <v>2086.0000000000005</v>
      </c>
      <c r="I91" s="3">
        <v>1393.33</v>
      </c>
      <c r="J91" s="3">
        <v>3479.3300000000004</v>
      </c>
    </row>
    <row r="92" spans="1:10" x14ac:dyDescent="0.2">
      <c r="A92">
        <v>90</v>
      </c>
      <c r="B92" t="s">
        <v>38</v>
      </c>
      <c r="C92">
        <v>706.59</v>
      </c>
      <c r="D92">
        <v>2035</v>
      </c>
      <c r="E92" t="s">
        <v>4</v>
      </c>
      <c r="G92" s="2">
        <v>89</v>
      </c>
      <c r="H92" s="3">
        <v>1615.97</v>
      </c>
      <c r="I92" s="3">
        <v>1076.3200000000002</v>
      </c>
      <c r="J92" s="3">
        <v>2692.29</v>
      </c>
    </row>
    <row r="93" spans="1:10" x14ac:dyDescent="0.2">
      <c r="A93">
        <v>91</v>
      </c>
      <c r="B93" t="s">
        <v>38</v>
      </c>
      <c r="C93">
        <v>643.94000000000005</v>
      </c>
      <c r="D93">
        <v>2035</v>
      </c>
      <c r="E93" t="s">
        <v>4</v>
      </c>
      <c r="G93" s="2">
        <v>90</v>
      </c>
      <c r="H93" s="3">
        <v>1397.6299999999999</v>
      </c>
      <c r="I93" s="3">
        <v>899.52</v>
      </c>
      <c r="J93" s="3">
        <v>2297.1499999999996</v>
      </c>
    </row>
    <row r="94" spans="1:10" x14ac:dyDescent="0.2">
      <c r="A94">
        <v>92</v>
      </c>
      <c r="B94" t="s">
        <v>38</v>
      </c>
      <c r="C94">
        <v>550.79999999999995</v>
      </c>
      <c r="D94">
        <v>2035</v>
      </c>
      <c r="E94" t="s">
        <v>4</v>
      </c>
      <c r="G94" s="2">
        <v>91</v>
      </c>
      <c r="H94" s="3">
        <v>1241.1500000000001</v>
      </c>
      <c r="I94" s="3">
        <v>743.8</v>
      </c>
      <c r="J94" s="3">
        <v>1984.95</v>
      </c>
    </row>
    <row r="95" spans="1:10" x14ac:dyDescent="0.2">
      <c r="A95">
        <v>93</v>
      </c>
      <c r="B95" t="s">
        <v>38</v>
      </c>
      <c r="C95">
        <v>425.59</v>
      </c>
      <c r="D95">
        <v>2035</v>
      </c>
      <c r="E95" t="s">
        <v>4</v>
      </c>
      <c r="G95" s="2">
        <v>92</v>
      </c>
      <c r="H95" s="3">
        <v>1033.2199999999998</v>
      </c>
      <c r="I95" s="3">
        <v>622.88</v>
      </c>
      <c r="J95" s="3">
        <v>1656.1</v>
      </c>
    </row>
    <row r="96" spans="1:10" x14ac:dyDescent="0.2">
      <c r="A96">
        <v>94</v>
      </c>
      <c r="B96" t="s">
        <v>38</v>
      </c>
      <c r="C96">
        <v>328.25</v>
      </c>
      <c r="D96">
        <v>2035</v>
      </c>
      <c r="E96" t="s">
        <v>4</v>
      </c>
      <c r="G96" s="2">
        <v>93</v>
      </c>
      <c r="H96" s="3">
        <v>839.55</v>
      </c>
      <c r="I96" s="3">
        <v>474.58</v>
      </c>
      <c r="J96" s="3">
        <v>1314.1299999999999</v>
      </c>
    </row>
    <row r="97" spans="1:10" x14ac:dyDescent="0.2">
      <c r="A97">
        <v>95</v>
      </c>
      <c r="B97" t="s">
        <v>38</v>
      </c>
      <c r="C97">
        <v>260.7</v>
      </c>
      <c r="D97">
        <v>2035</v>
      </c>
      <c r="E97" t="s">
        <v>4</v>
      </c>
      <c r="G97" s="2">
        <v>94</v>
      </c>
      <c r="H97" s="3">
        <v>689.68000000000006</v>
      </c>
      <c r="I97" s="3">
        <v>364.93</v>
      </c>
      <c r="J97" s="3">
        <v>1054.6100000000001</v>
      </c>
    </row>
    <row r="98" spans="1:10" x14ac:dyDescent="0.2">
      <c r="A98">
        <v>96</v>
      </c>
      <c r="B98" t="s">
        <v>38</v>
      </c>
      <c r="C98">
        <v>204.18</v>
      </c>
      <c r="D98">
        <v>2035</v>
      </c>
      <c r="E98" t="s">
        <v>4</v>
      </c>
      <c r="G98" s="2">
        <v>95</v>
      </c>
      <c r="H98" s="3">
        <v>556.88</v>
      </c>
      <c r="I98" s="3">
        <v>289.43</v>
      </c>
      <c r="J98" s="3">
        <v>846.31</v>
      </c>
    </row>
    <row r="99" spans="1:10" x14ac:dyDescent="0.2">
      <c r="A99">
        <v>97</v>
      </c>
      <c r="B99" t="s">
        <v>38</v>
      </c>
      <c r="C99">
        <v>150.6</v>
      </c>
      <c r="D99">
        <v>2035</v>
      </c>
      <c r="E99" t="s">
        <v>4</v>
      </c>
      <c r="G99" s="2">
        <v>96</v>
      </c>
      <c r="H99" s="3">
        <v>440.57</v>
      </c>
      <c r="I99" s="3">
        <v>226.68</v>
      </c>
      <c r="J99" s="3">
        <v>667.25</v>
      </c>
    </row>
    <row r="100" spans="1:10" x14ac:dyDescent="0.2">
      <c r="A100">
        <v>98</v>
      </c>
      <c r="B100" t="s">
        <v>38</v>
      </c>
      <c r="C100">
        <v>115.15</v>
      </c>
      <c r="D100">
        <v>2035</v>
      </c>
      <c r="E100" t="s">
        <v>4</v>
      </c>
      <c r="G100" s="2">
        <v>97</v>
      </c>
      <c r="H100" s="3">
        <v>342.58</v>
      </c>
      <c r="I100" s="3">
        <v>172.4</v>
      </c>
      <c r="J100" s="3">
        <v>514.98</v>
      </c>
    </row>
    <row r="101" spans="1:10" x14ac:dyDescent="0.2">
      <c r="A101">
        <v>99</v>
      </c>
      <c r="B101" t="s">
        <v>38</v>
      </c>
      <c r="C101">
        <v>83.71</v>
      </c>
      <c r="D101">
        <v>2035</v>
      </c>
      <c r="E101" t="s">
        <v>4</v>
      </c>
      <c r="G101" s="2">
        <v>98</v>
      </c>
      <c r="H101" s="3">
        <v>267.25</v>
      </c>
      <c r="I101" s="3">
        <v>137.26</v>
      </c>
      <c r="J101" s="3">
        <v>404.51</v>
      </c>
    </row>
    <row r="102" spans="1:10" x14ac:dyDescent="0.2">
      <c r="A102">
        <v>100</v>
      </c>
      <c r="B102" t="s">
        <v>38</v>
      </c>
      <c r="C102">
        <v>154.94</v>
      </c>
      <c r="D102">
        <v>2035</v>
      </c>
      <c r="E102" t="s">
        <v>4</v>
      </c>
      <c r="G102" s="2">
        <v>99</v>
      </c>
      <c r="H102" s="3">
        <v>207.66</v>
      </c>
      <c r="I102" s="3">
        <v>103.99999999999999</v>
      </c>
      <c r="J102" s="3">
        <v>311.65999999999997</v>
      </c>
    </row>
    <row r="103" spans="1:10" x14ac:dyDescent="0.2">
      <c r="A103">
        <v>0</v>
      </c>
      <c r="B103" t="s">
        <v>37</v>
      </c>
      <c r="C103">
        <v>1838.52</v>
      </c>
      <c r="D103">
        <v>2035</v>
      </c>
      <c r="E103" t="s">
        <v>4</v>
      </c>
      <c r="G103" s="2">
        <v>100</v>
      </c>
      <c r="H103" s="3">
        <v>257.90000000000003</v>
      </c>
      <c r="I103" s="3">
        <v>106.21000000000001</v>
      </c>
      <c r="J103" s="3">
        <v>364.11</v>
      </c>
    </row>
    <row r="104" spans="1:10" x14ac:dyDescent="0.2">
      <c r="A104">
        <v>1</v>
      </c>
      <c r="B104" t="s">
        <v>37</v>
      </c>
      <c r="C104">
        <v>1843.47</v>
      </c>
      <c r="D104">
        <v>2035</v>
      </c>
      <c r="E104" t="s">
        <v>4</v>
      </c>
      <c r="G104" s="2" t="s">
        <v>6</v>
      </c>
      <c r="H104" s="3">
        <v>664813.71000000031</v>
      </c>
      <c r="I104" s="3">
        <v>661773.32999999996</v>
      </c>
      <c r="J104" s="3">
        <v>1326587.0400000003</v>
      </c>
    </row>
    <row r="105" spans="1:10" x14ac:dyDescent="0.2">
      <c r="A105">
        <v>2</v>
      </c>
      <c r="B105" t="s">
        <v>37</v>
      </c>
      <c r="C105">
        <v>1864.99</v>
      </c>
      <c r="D105">
        <v>2035</v>
      </c>
      <c r="E105" t="s">
        <v>4</v>
      </c>
    </row>
    <row r="106" spans="1:10" x14ac:dyDescent="0.2">
      <c r="A106">
        <v>3</v>
      </c>
      <c r="B106" t="s">
        <v>37</v>
      </c>
      <c r="C106">
        <v>1889.12</v>
      </c>
      <c r="D106">
        <v>2035</v>
      </c>
      <c r="E106" t="s">
        <v>4</v>
      </c>
    </row>
    <row r="107" spans="1:10" x14ac:dyDescent="0.2">
      <c r="A107">
        <v>4</v>
      </c>
      <c r="B107" t="s">
        <v>37</v>
      </c>
      <c r="C107">
        <v>1920.93</v>
      </c>
      <c r="D107">
        <v>2035</v>
      </c>
      <c r="E107" t="s">
        <v>4</v>
      </c>
    </row>
    <row r="108" spans="1:10" x14ac:dyDescent="0.2">
      <c r="A108">
        <v>5</v>
      </c>
      <c r="B108" t="s">
        <v>37</v>
      </c>
      <c r="C108">
        <v>1960.17</v>
      </c>
      <c r="D108">
        <v>2035</v>
      </c>
      <c r="E108" t="s">
        <v>4</v>
      </c>
    </row>
    <row r="109" spans="1:10" x14ac:dyDescent="0.2">
      <c r="A109">
        <v>6</v>
      </c>
      <c r="B109" t="s">
        <v>37</v>
      </c>
      <c r="C109">
        <v>2002.59</v>
      </c>
      <c r="D109">
        <v>2035</v>
      </c>
      <c r="E109" t="s">
        <v>4</v>
      </c>
    </row>
    <row r="110" spans="1:10" x14ac:dyDescent="0.2">
      <c r="A110">
        <v>7</v>
      </c>
      <c r="B110" t="s">
        <v>37</v>
      </c>
      <c r="C110">
        <v>2040.39</v>
      </c>
      <c r="D110">
        <v>2035</v>
      </c>
      <c r="E110" t="s">
        <v>4</v>
      </c>
    </row>
    <row r="111" spans="1:10" x14ac:dyDescent="0.2">
      <c r="A111">
        <v>8</v>
      </c>
      <c r="B111" t="s">
        <v>37</v>
      </c>
      <c r="C111">
        <v>2094.6</v>
      </c>
      <c r="D111">
        <v>2035</v>
      </c>
      <c r="E111" t="s">
        <v>4</v>
      </c>
    </row>
    <row r="112" spans="1:10" x14ac:dyDescent="0.2">
      <c r="A112">
        <v>9</v>
      </c>
      <c r="B112" t="s">
        <v>37</v>
      </c>
      <c r="C112">
        <v>2158.4699999999998</v>
      </c>
      <c r="D112">
        <v>2035</v>
      </c>
      <c r="E112" t="s">
        <v>4</v>
      </c>
    </row>
    <row r="113" spans="1:5" x14ac:dyDescent="0.2">
      <c r="A113">
        <v>10</v>
      </c>
      <c r="B113" t="s">
        <v>37</v>
      </c>
      <c r="C113">
        <v>2213.92</v>
      </c>
      <c r="D113">
        <v>2035</v>
      </c>
      <c r="E113" t="s">
        <v>4</v>
      </c>
    </row>
    <row r="114" spans="1:5" x14ac:dyDescent="0.2">
      <c r="A114">
        <v>11</v>
      </c>
      <c r="B114" t="s">
        <v>37</v>
      </c>
      <c r="C114">
        <v>2267.59</v>
      </c>
      <c r="D114">
        <v>2035</v>
      </c>
      <c r="E114" t="s">
        <v>4</v>
      </c>
    </row>
    <row r="115" spans="1:5" x14ac:dyDescent="0.2">
      <c r="A115">
        <v>12</v>
      </c>
      <c r="B115" t="s">
        <v>37</v>
      </c>
      <c r="C115">
        <v>2316.2800000000002</v>
      </c>
      <c r="D115">
        <v>2035</v>
      </c>
      <c r="E115" t="s">
        <v>4</v>
      </c>
    </row>
    <row r="116" spans="1:5" x14ac:dyDescent="0.2">
      <c r="A116">
        <v>13</v>
      </c>
      <c r="B116" t="s">
        <v>37</v>
      </c>
      <c r="C116">
        <v>2361.59</v>
      </c>
      <c r="D116">
        <v>2035</v>
      </c>
      <c r="E116" t="s">
        <v>4</v>
      </c>
    </row>
    <row r="117" spans="1:5" x14ac:dyDescent="0.2">
      <c r="A117">
        <v>14</v>
      </c>
      <c r="B117" t="s">
        <v>37</v>
      </c>
      <c r="C117">
        <v>2407.19</v>
      </c>
      <c r="D117">
        <v>2035</v>
      </c>
      <c r="E117" t="s">
        <v>4</v>
      </c>
    </row>
    <row r="118" spans="1:5" x14ac:dyDescent="0.2">
      <c r="A118">
        <v>15</v>
      </c>
      <c r="B118" t="s">
        <v>37</v>
      </c>
      <c r="C118">
        <v>2436.58</v>
      </c>
      <c r="D118">
        <v>2035</v>
      </c>
      <c r="E118" t="s">
        <v>4</v>
      </c>
    </row>
    <row r="119" spans="1:5" x14ac:dyDescent="0.2">
      <c r="A119">
        <v>16</v>
      </c>
      <c r="B119" t="s">
        <v>37</v>
      </c>
      <c r="C119">
        <v>2453.17</v>
      </c>
      <c r="D119">
        <v>2035</v>
      </c>
      <c r="E119" t="s">
        <v>4</v>
      </c>
    </row>
    <row r="120" spans="1:5" x14ac:dyDescent="0.2">
      <c r="A120">
        <v>17</v>
      </c>
      <c r="B120" t="s">
        <v>37</v>
      </c>
      <c r="C120">
        <v>2479.5500000000002</v>
      </c>
      <c r="D120">
        <v>2035</v>
      </c>
      <c r="E120" t="s">
        <v>4</v>
      </c>
    </row>
    <row r="121" spans="1:5" x14ac:dyDescent="0.2">
      <c r="A121">
        <v>18</v>
      </c>
      <c r="B121" t="s">
        <v>37</v>
      </c>
      <c r="C121">
        <v>2824.36</v>
      </c>
      <c r="D121">
        <v>2035</v>
      </c>
      <c r="E121" t="s">
        <v>4</v>
      </c>
    </row>
    <row r="122" spans="1:5" x14ac:dyDescent="0.2">
      <c r="A122">
        <v>19</v>
      </c>
      <c r="B122" t="s">
        <v>37</v>
      </c>
      <c r="C122">
        <v>2851.89</v>
      </c>
      <c r="D122">
        <v>2035</v>
      </c>
      <c r="E122" t="s">
        <v>4</v>
      </c>
    </row>
    <row r="123" spans="1:5" x14ac:dyDescent="0.2">
      <c r="A123">
        <v>20</v>
      </c>
      <c r="B123" t="s">
        <v>37</v>
      </c>
      <c r="C123">
        <v>3019.51</v>
      </c>
      <c r="D123">
        <v>2035</v>
      </c>
      <c r="E123" t="s">
        <v>4</v>
      </c>
    </row>
    <row r="124" spans="1:5" x14ac:dyDescent="0.2">
      <c r="A124">
        <v>21</v>
      </c>
      <c r="B124" t="s">
        <v>37</v>
      </c>
      <c r="C124">
        <v>2961.74</v>
      </c>
      <c r="D124">
        <v>2035</v>
      </c>
      <c r="E124" t="s">
        <v>4</v>
      </c>
    </row>
    <row r="125" spans="1:5" x14ac:dyDescent="0.2">
      <c r="A125">
        <v>22</v>
      </c>
      <c r="B125" t="s">
        <v>37</v>
      </c>
      <c r="C125">
        <v>2973.86</v>
      </c>
      <c r="D125">
        <v>2035</v>
      </c>
      <c r="E125" t="s">
        <v>4</v>
      </c>
    </row>
    <row r="126" spans="1:5" x14ac:dyDescent="0.2">
      <c r="A126">
        <v>23</v>
      </c>
      <c r="B126" t="s">
        <v>37</v>
      </c>
      <c r="C126">
        <v>2752.99</v>
      </c>
      <c r="D126">
        <v>2035</v>
      </c>
      <c r="E126" t="s">
        <v>4</v>
      </c>
    </row>
    <row r="127" spans="1:5" x14ac:dyDescent="0.2">
      <c r="A127">
        <v>24</v>
      </c>
      <c r="B127" t="s">
        <v>37</v>
      </c>
      <c r="C127">
        <v>2698.92</v>
      </c>
      <c r="D127">
        <v>2035</v>
      </c>
      <c r="E127" t="s">
        <v>4</v>
      </c>
    </row>
    <row r="128" spans="1:5" x14ac:dyDescent="0.2">
      <c r="A128">
        <v>25</v>
      </c>
      <c r="B128" t="s">
        <v>37</v>
      </c>
      <c r="C128">
        <v>2152.7199999999998</v>
      </c>
      <c r="D128">
        <v>2035</v>
      </c>
      <c r="E128" t="s">
        <v>4</v>
      </c>
    </row>
    <row r="129" spans="1:5" x14ac:dyDescent="0.2">
      <c r="A129">
        <v>26</v>
      </c>
      <c r="B129" t="s">
        <v>37</v>
      </c>
      <c r="C129">
        <v>1971.08</v>
      </c>
      <c r="D129">
        <v>2035</v>
      </c>
      <c r="E129" t="s">
        <v>4</v>
      </c>
    </row>
    <row r="130" spans="1:5" x14ac:dyDescent="0.2">
      <c r="A130">
        <v>27</v>
      </c>
      <c r="B130" t="s">
        <v>37</v>
      </c>
      <c r="C130">
        <v>2100.9</v>
      </c>
      <c r="D130">
        <v>2035</v>
      </c>
      <c r="E130" t="s">
        <v>4</v>
      </c>
    </row>
    <row r="131" spans="1:5" x14ac:dyDescent="0.2">
      <c r="A131">
        <v>28</v>
      </c>
      <c r="B131" t="s">
        <v>37</v>
      </c>
      <c r="C131">
        <v>2094.38</v>
      </c>
      <c r="D131">
        <v>2035</v>
      </c>
      <c r="E131" t="s">
        <v>4</v>
      </c>
    </row>
    <row r="132" spans="1:5" x14ac:dyDescent="0.2">
      <c r="A132">
        <v>29</v>
      </c>
      <c r="B132" t="s">
        <v>37</v>
      </c>
      <c r="C132">
        <v>2047.37</v>
      </c>
      <c r="D132">
        <v>2035</v>
      </c>
      <c r="E132" t="s">
        <v>4</v>
      </c>
    </row>
    <row r="133" spans="1:5" x14ac:dyDescent="0.2">
      <c r="A133">
        <v>30</v>
      </c>
      <c r="B133" t="s">
        <v>37</v>
      </c>
      <c r="C133">
        <v>1948.02</v>
      </c>
      <c r="D133">
        <v>2035</v>
      </c>
      <c r="E133" t="s">
        <v>4</v>
      </c>
    </row>
    <row r="134" spans="1:5" x14ac:dyDescent="0.2">
      <c r="A134">
        <v>31</v>
      </c>
      <c r="B134" t="s">
        <v>37</v>
      </c>
      <c r="C134">
        <v>1906.48</v>
      </c>
      <c r="D134">
        <v>2035</v>
      </c>
      <c r="E134" t="s">
        <v>4</v>
      </c>
    </row>
    <row r="135" spans="1:5" x14ac:dyDescent="0.2">
      <c r="A135">
        <v>32</v>
      </c>
      <c r="B135" t="s">
        <v>37</v>
      </c>
      <c r="C135">
        <v>1830.67</v>
      </c>
      <c r="D135">
        <v>2035</v>
      </c>
      <c r="E135" t="s">
        <v>4</v>
      </c>
    </row>
    <row r="136" spans="1:5" x14ac:dyDescent="0.2">
      <c r="A136">
        <v>33</v>
      </c>
      <c r="B136" t="s">
        <v>37</v>
      </c>
      <c r="C136">
        <v>1832.36</v>
      </c>
      <c r="D136">
        <v>2035</v>
      </c>
      <c r="E136" t="s">
        <v>4</v>
      </c>
    </row>
    <row r="137" spans="1:5" x14ac:dyDescent="0.2">
      <c r="A137">
        <v>34</v>
      </c>
      <c r="B137" t="s">
        <v>37</v>
      </c>
      <c r="C137">
        <v>1826.97</v>
      </c>
      <c r="D137">
        <v>2035</v>
      </c>
      <c r="E137" t="s">
        <v>4</v>
      </c>
    </row>
    <row r="138" spans="1:5" x14ac:dyDescent="0.2">
      <c r="A138">
        <v>35</v>
      </c>
      <c r="B138" t="s">
        <v>37</v>
      </c>
      <c r="C138">
        <v>1878.7</v>
      </c>
      <c r="D138">
        <v>2035</v>
      </c>
      <c r="E138" t="s">
        <v>4</v>
      </c>
    </row>
    <row r="139" spans="1:5" x14ac:dyDescent="0.2">
      <c r="A139">
        <v>36</v>
      </c>
      <c r="B139" t="s">
        <v>37</v>
      </c>
      <c r="C139">
        <v>1924.96</v>
      </c>
      <c r="D139">
        <v>2035</v>
      </c>
      <c r="E139" t="s">
        <v>4</v>
      </c>
    </row>
    <row r="140" spans="1:5" x14ac:dyDescent="0.2">
      <c r="A140">
        <v>37</v>
      </c>
      <c r="B140" t="s">
        <v>37</v>
      </c>
      <c r="C140">
        <v>1928.2</v>
      </c>
      <c r="D140">
        <v>2035</v>
      </c>
      <c r="E140" t="s">
        <v>4</v>
      </c>
    </row>
    <row r="141" spans="1:5" x14ac:dyDescent="0.2">
      <c r="A141">
        <v>38</v>
      </c>
      <c r="B141" t="s">
        <v>37</v>
      </c>
      <c r="C141">
        <v>1921.95</v>
      </c>
      <c r="D141">
        <v>2035</v>
      </c>
      <c r="E141" t="s">
        <v>4</v>
      </c>
    </row>
    <row r="142" spans="1:5" x14ac:dyDescent="0.2">
      <c r="A142">
        <v>39</v>
      </c>
      <c r="B142" t="s">
        <v>37</v>
      </c>
      <c r="C142">
        <v>2021.02</v>
      </c>
      <c r="D142">
        <v>2035</v>
      </c>
      <c r="E142" t="s">
        <v>4</v>
      </c>
    </row>
    <row r="143" spans="1:5" x14ac:dyDescent="0.2">
      <c r="A143">
        <v>40</v>
      </c>
      <c r="B143" t="s">
        <v>37</v>
      </c>
      <c r="C143">
        <v>2069.31</v>
      </c>
      <c r="D143">
        <v>2035</v>
      </c>
      <c r="E143" t="s">
        <v>4</v>
      </c>
    </row>
    <row r="144" spans="1:5" x14ac:dyDescent="0.2">
      <c r="A144">
        <v>41</v>
      </c>
      <c r="B144" t="s">
        <v>37</v>
      </c>
      <c r="C144">
        <v>2064.6999999999998</v>
      </c>
      <c r="D144">
        <v>2035</v>
      </c>
      <c r="E144" t="s">
        <v>4</v>
      </c>
    </row>
    <row r="145" spans="1:5" x14ac:dyDescent="0.2">
      <c r="A145">
        <v>42</v>
      </c>
      <c r="B145" t="s">
        <v>37</v>
      </c>
      <c r="C145">
        <v>2088.7399999999998</v>
      </c>
      <c r="D145">
        <v>2035</v>
      </c>
      <c r="E145" t="s">
        <v>4</v>
      </c>
    </row>
    <row r="146" spans="1:5" x14ac:dyDescent="0.2">
      <c r="A146">
        <v>43</v>
      </c>
      <c r="B146" t="s">
        <v>37</v>
      </c>
      <c r="C146">
        <v>1873.1</v>
      </c>
      <c r="D146">
        <v>2035</v>
      </c>
      <c r="E146" t="s">
        <v>4</v>
      </c>
    </row>
    <row r="147" spans="1:5" x14ac:dyDescent="0.2">
      <c r="A147">
        <v>44</v>
      </c>
      <c r="B147" t="s">
        <v>37</v>
      </c>
      <c r="C147">
        <v>1842.05</v>
      </c>
      <c r="D147">
        <v>2035</v>
      </c>
      <c r="E147" t="s">
        <v>4</v>
      </c>
    </row>
    <row r="148" spans="1:5" x14ac:dyDescent="0.2">
      <c r="A148">
        <v>45</v>
      </c>
      <c r="B148" t="s">
        <v>37</v>
      </c>
      <c r="C148">
        <v>1779.52</v>
      </c>
      <c r="D148">
        <v>2035</v>
      </c>
      <c r="E148" t="s">
        <v>4</v>
      </c>
    </row>
    <row r="149" spans="1:5" x14ac:dyDescent="0.2">
      <c r="A149">
        <v>46</v>
      </c>
      <c r="B149" t="s">
        <v>37</v>
      </c>
      <c r="C149">
        <v>1728.45</v>
      </c>
      <c r="D149">
        <v>2035</v>
      </c>
      <c r="E149" t="s">
        <v>4</v>
      </c>
    </row>
    <row r="150" spans="1:5" x14ac:dyDescent="0.2">
      <c r="A150">
        <v>47</v>
      </c>
      <c r="B150" t="s">
        <v>37</v>
      </c>
      <c r="C150">
        <v>1709.9</v>
      </c>
      <c r="D150">
        <v>2035</v>
      </c>
      <c r="E150" t="s">
        <v>4</v>
      </c>
    </row>
    <row r="151" spans="1:5" x14ac:dyDescent="0.2">
      <c r="A151">
        <v>48</v>
      </c>
      <c r="B151" t="s">
        <v>37</v>
      </c>
      <c r="C151">
        <v>1815.62</v>
      </c>
      <c r="D151">
        <v>2035</v>
      </c>
      <c r="E151" t="s">
        <v>4</v>
      </c>
    </row>
    <row r="152" spans="1:5" x14ac:dyDescent="0.2">
      <c r="A152">
        <v>49</v>
      </c>
      <c r="B152" t="s">
        <v>37</v>
      </c>
      <c r="C152">
        <v>1919.22</v>
      </c>
      <c r="D152">
        <v>2035</v>
      </c>
      <c r="E152" t="s">
        <v>4</v>
      </c>
    </row>
    <row r="153" spans="1:5" x14ac:dyDescent="0.2">
      <c r="A153">
        <v>50</v>
      </c>
      <c r="B153" t="s">
        <v>37</v>
      </c>
      <c r="C153">
        <v>1960.89</v>
      </c>
      <c r="D153">
        <v>2035</v>
      </c>
      <c r="E153" t="s">
        <v>4</v>
      </c>
    </row>
    <row r="154" spans="1:5" x14ac:dyDescent="0.2">
      <c r="A154">
        <v>51</v>
      </c>
      <c r="B154" t="s">
        <v>37</v>
      </c>
      <c r="C154">
        <v>1888.09</v>
      </c>
      <c r="D154">
        <v>2035</v>
      </c>
      <c r="E154" t="s">
        <v>4</v>
      </c>
    </row>
    <row r="155" spans="1:5" x14ac:dyDescent="0.2">
      <c r="A155">
        <v>52</v>
      </c>
      <c r="B155" t="s">
        <v>37</v>
      </c>
      <c r="C155">
        <v>1958.44</v>
      </c>
      <c r="D155">
        <v>2035</v>
      </c>
      <c r="E155" t="s">
        <v>4</v>
      </c>
    </row>
    <row r="156" spans="1:5" x14ac:dyDescent="0.2">
      <c r="A156">
        <v>53</v>
      </c>
      <c r="B156" t="s">
        <v>37</v>
      </c>
      <c r="C156">
        <v>2005.18</v>
      </c>
      <c r="D156">
        <v>2035</v>
      </c>
      <c r="E156" t="s">
        <v>4</v>
      </c>
    </row>
    <row r="157" spans="1:5" x14ac:dyDescent="0.2">
      <c r="A157">
        <v>54</v>
      </c>
      <c r="B157" t="s">
        <v>37</v>
      </c>
      <c r="C157">
        <v>1946.04</v>
      </c>
      <c r="D157">
        <v>2035</v>
      </c>
      <c r="E157" t="s">
        <v>4</v>
      </c>
    </row>
    <row r="158" spans="1:5" x14ac:dyDescent="0.2">
      <c r="A158">
        <v>55</v>
      </c>
      <c r="B158" t="s">
        <v>37</v>
      </c>
      <c r="C158">
        <v>1912.6</v>
      </c>
      <c r="D158">
        <v>2035</v>
      </c>
      <c r="E158" t="s">
        <v>4</v>
      </c>
    </row>
    <row r="159" spans="1:5" x14ac:dyDescent="0.2">
      <c r="A159">
        <v>56</v>
      </c>
      <c r="B159" t="s">
        <v>37</v>
      </c>
      <c r="C159">
        <v>1807.62</v>
      </c>
      <c r="D159">
        <v>2035</v>
      </c>
      <c r="E159" t="s">
        <v>4</v>
      </c>
    </row>
    <row r="160" spans="1:5" x14ac:dyDescent="0.2">
      <c r="A160">
        <v>57</v>
      </c>
      <c r="B160" t="s">
        <v>37</v>
      </c>
      <c r="C160">
        <v>1701.67</v>
      </c>
      <c r="D160">
        <v>2035</v>
      </c>
      <c r="E160" t="s">
        <v>4</v>
      </c>
    </row>
    <row r="161" spans="1:5" x14ac:dyDescent="0.2">
      <c r="A161">
        <v>58</v>
      </c>
      <c r="B161" t="s">
        <v>37</v>
      </c>
      <c r="C161">
        <v>1666.23</v>
      </c>
      <c r="D161">
        <v>2035</v>
      </c>
      <c r="E161" t="s">
        <v>4</v>
      </c>
    </row>
    <row r="162" spans="1:5" x14ac:dyDescent="0.2">
      <c r="A162">
        <v>59</v>
      </c>
      <c r="B162" t="s">
        <v>37</v>
      </c>
      <c r="C162">
        <v>1588.9</v>
      </c>
      <c r="D162">
        <v>2035</v>
      </c>
      <c r="E162" t="s">
        <v>4</v>
      </c>
    </row>
    <row r="163" spans="1:5" x14ac:dyDescent="0.2">
      <c r="A163">
        <v>60</v>
      </c>
      <c r="B163" t="s">
        <v>37</v>
      </c>
      <c r="C163">
        <v>1571.76</v>
      </c>
      <c r="D163">
        <v>2035</v>
      </c>
      <c r="E163" t="s">
        <v>4</v>
      </c>
    </row>
    <row r="164" spans="1:5" x14ac:dyDescent="0.2">
      <c r="A164">
        <v>61</v>
      </c>
      <c r="B164" t="s">
        <v>37</v>
      </c>
      <c r="C164">
        <v>1515.25</v>
      </c>
      <c r="D164">
        <v>2035</v>
      </c>
      <c r="E164" t="s">
        <v>4</v>
      </c>
    </row>
    <row r="165" spans="1:5" x14ac:dyDescent="0.2">
      <c r="A165">
        <v>62</v>
      </c>
      <c r="B165" t="s">
        <v>37</v>
      </c>
      <c r="C165">
        <v>1518.1</v>
      </c>
      <c r="D165">
        <v>2035</v>
      </c>
      <c r="E165" t="s">
        <v>4</v>
      </c>
    </row>
    <row r="166" spans="1:5" x14ac:dyDescent="0.2">
      <c r="A166">
        <v>63</v>
      </c>
      <c r="B166" t="s">
        <v>37</v>
      </c>
      <c r="C166">
        <v>1511.3</v>
      </c>
      <c r="D166">
        <v>2035</v>
      </c>
      <c r="E166" t="s">
        <v>4</v>
      </c>
    </row>
    <row r="167" spans="1:5" x14ac:dyDescent="0.2">
      <c r="A167">
        <v>64</v>
      </c>
      <c r="B167" t="s">
        <v>37</v>
      </c>
      <c r="C167">
        <v>1585.3</v>
      </c>
      <c r="D167">
        <v>2035</v>
      </c>
      <c r="E167" t="s">
        <v>4</v>
      </c>
    </row>
    <row r="168" spans="1:5" x14ac:dyDescent="0.2">
      <c r="A168">
        <v>65</v>
      </c>
      <c r="B168" t="s">
        <v>37</v>
      </c>
      <c r="C168">
        <v>1684.75</v>
      </c>
      <c r="D168">
        <v>2035</v>
      </c>
      <c r="E168" t="s">
        <v>4</v>
      </c>
    </row>
    <row r="169" spans="1:5" x14ac:dyDescent="0.2">
      <c r="A169">
        <v>66</v>
      </c>
      <c r="B169" t="s">
        <v>37</v>
      </c>
      <c r="C169">
        <v>1545.98</v>
      </c>
      <c r="D169">
        <v>2035</v>
      </c>
      <c r="E169" t="s">
        <v>4</v>
      </c>
    </row>
    <row r="170" spans="1:5" x14ac:dyDescent="0.2">
      <c r="A170">
        <v>67</v>
      </c>
      <c r="B170" t="s">
        <v>37</v>
      </c>
      <c r="C170">
        <v>1531.43</v>
      </c>
      <c r="D170">
        <v>2035</v>
      </c>
      <c r="E170" t="s">
        <v>4</v>
      </c>
    </row>
    <row r="171" spans="1:5" x14ac:dyDescent="0.2">
      <c r="A171">
        <v>68</v>
      </c>
      <c r="B171" t="s">
        <v>37</v>
      </c>
      <c r="C171">
        <v>1556.84</v>
      </c>
      <c r="D171">
        <v>2035</v>
      </c>
      <c r="E171" t="s">
        <v>4</v>
      </c>
    </row>
    <row r="172" spans="1:5" x14ac:dyDescent="0.2">
      <c r="A172">
        <v>69</v>
      </c>
      <c r="B172" t="s">
        <v>37</v>
      </c>
      <c r="C172">
        <v>1539.74</v>
      </c>
      <c r="D172">
        <v>2035</v>
      </c>
      <c r="E172" t="s">
        <v>4</v>
      </c>
    </row>
    <row r="173" spans="1:5" x14ac:dyDescent="0.2">
      <c r="A173">
        <v>70</v>
      </c>
      <c r="B173" t="s">
        <v>37</v>
      </c>
      <c r="C173">
        <v>1660.95</v>
      </c>
      <c r="D173">
        <v>2035</v>
      </c>
      <c r="E173" t="s">
        <v>4</v>
      </c>
    </row>
    <row r="174" spans="1:5" x14ac:dyDescent="0.2">
      <c r="A174">
        <v>71</v>
      </c>
      <c r="B174" t="s">
        <v>37</v>
      </c>
      <c r="C174">
        <v>1685.51</v>
      </c>
      <c r="D174">
        <v>2035</v>
      </c>
      <c r="E174" t="s">
        <v>4</v>
      </c>
    </row>
    <row r="175" spans="1:5" x14ac:dyDescent="0.2">
      <c r="A175">
        <v>72</v>
      </c>
      <c r="B175" t="s">
        <v>37</v>
      </c>
      <c r="C175">
        <v>1762.51</v>
      </c>
      <c r="D175">
        <v>2035</v>
      </c>
      <c r="E175" t="s">
        <v>4</v>
      </c>
    </row>
    <row r="176" spans="1:5" x14ac:dyDescent="0.2">
      <c r="A176">
        <v>73</v>
      </c>
      <c r="B176" t="s">
        <v>37</v>
      </c>
      <c r="C176">
        <v>1762.23</v>
      </c>
      <c r="D176">
        <v>2035</v>
      </c>
      <c r="E176" t="s">
        <v>4</v>
      </c>
    </row>
    <row r="177" spans="1:5" x14ac:dyDescent="0.2">
      <c r="A177">
        <v>74</v>
      </c>
      <c r="B177" t="s">
        <v>37</v>
      </c>
      <c r="C177">
        <v>1805.03</v>
      </c>
      <c r="D177">
        <v>2035</v>
      </c>
      <c r="E177" t="s">
        <v>4</v>
      </c>
    </row>
    <row r="178" spans="1:5" x14ac:dyDescent="0.2">
      <c r="A178">
        <v>75</v>
      </c>
      <c r="B178" t="s">
        <v>37</v>
      </c>
      <c r="C178">
        <v>1800.24</v>
      </c>
      <c r="D178">
        <v>2035</v>
      </c>
      <c r="E178" t="s">
        <v>4</v>
      </c>
    </row>
    <row r="179" spans="1:5" x14ac:dyDescent="0.2">
      <c r="A179">
        <v>76</v>
      </c>
      <c r="B179" t="s">
        <v>37</v>
      </c>
      <c r="C179">
        <v>1688.04</v>
      </c>
      <c r="D179">
        <v>2035</v>
      </c>
      <c r="E179" t="s">
        <v>4</v>
      </c>
    </row>
    <row r="180" spans="1:5" x14ac:dyDescent="0.2">
      <c r="A180">
        <v>77</v>
      </c>
      <c r="B180" t="s">
        <v>37</v>
      </c>
      <c r="C180">
        <v>1600.89</v>
      </c>
      <c r="D180">
        <v>2035</v>
      </c>
      <c r="E180" t="s">
        <v>4</v>
      </c>
    </row>
    <row r="181" spans="1:5" x14ac:dyDescent="0.2">
      <c r="A181">
        <v>78</v>
      </c>
      <c r="B181" t="s">
        <v>37</v>
      </c>
      <c r="C181">
        <v>1568.56</v>
      </c>
      <c r="D181">
        <v>2035</v>
      </c>
      <c r="E181" t="s">
        <v>4</v>
      </c>
    </row>
    <row r="182" spans="1:5" x14ac:dyDescent="0.2">
      <c r="A182">
        <v>79</v>
      </c>
      <c r="B182" t="s">
        <v>37</v>
      </c>
      <c r="C182">
        <v>1524.44</v>
      </c>
      <c r="D182">
        <v>2035</v>
      </c>
      <c r="E182" t="s">
        <v>4</v>
      </c>
    </row>
    <row r="183" spans="1:5" x14ac:dyDescent="0.2">
      <c r="A183">
        <v>80</v>
      </c>
      <c r="B183" t="s">
        <v>37</v>
      </c>
      <c r="C183">
        <v>1483.25</v>
      </c>
      <c r="D183">
        <v>2035</v>
      </c>
      <c r="E183" t="s">
        <v>4</v>
      </c>
    </row>
    <row r="184" spans="1:5" x14ac:dyDescent="0.2">
      <c r="A184">
        <v>81</v>
      </c>
      <c r="B184" t="s">
        <v>37</v>
      </c>
      <c r="C184">
        <v>1360.43</v>
      </c>
      <c r="D184">
        <v>2035</v>
      </c>
      <c r="E184" t="s">
        <v>4</v>
      </c>
    </row>
    <row r="185" spans="1:5" x14ac:dyDescent="0.2">
      <c r="A185">
        <v>82</v>
      </c>
      <c r="B185" t="s">
        <v>37</v>
      </c>
      <c r="C185">
        <v>1290.54</v>
      </c>
      <c r="D185">
        <v>2035</v>
      </c>
      <c r="E185" t="s">
        <v>4</v>
      </c>
    </row>
    <row r="186" spans="1:5" x14ac:dyDescent="0.2">
      <c r="A186">
        <v>83</v>
      </c>
      <c r="B186" t="s">
        <v>37</v>
      </c>
      <c r="C186">
        <v>1183.3599999999999</v>
      </c>
      <c r="D186">
        <v>2035</v>
      </c>
      <c r="E186" t="s">
        <v>4</v>
      </c>
    </row>
    <row r="187" spans="1:5" x14ac:dyDescent="0.2">
      <c r="A187">
        <v>84</v>
      </c>
      <c r="B187" t="s">
        <v>37</v>
      </c>
      <c r="C187">
        <v>1115.22</v>
      </c>
      <c r="D187">
        <v>2035</v>
      </c>
      <c r="E187" t="s">
        <v>4</v>
      </c>
    </row>
    <row r="188" spans="1:5" x14ac:dyDescent="0.2">
      <c r="A188">
        <v>85</v>
      </c>
      <c r="B188" t="s">
        <v>37</v>
      </c>
      <c r="C188">
        <v>1103.71</v>
      </c>
      <c r="D188">
        <v>2035</v>
      </c>
      <c r="E188" t="s">
        <v>4</v>
      </c>
    </row>
    <row r="189" spans="1:5" x14ac:dyDescent="0.2">
      <c r="A189">
        <v>86</v>
      </c>
      <c r="B189" t="s">
        <v>37</v>
      </c>
      <c r="C189">
        <v>962.62</v>
      </c>
      <c r="D189">
        <v>2035</v>
      </c>
      <c r="E189" t="s">
        <v>4</v>
      </c>
    </row>
    <row r="190" spans="1:5" x14ac:dyDescent="0.2">
      <c r="A190">
        <v>87</v>
      </c>
      <c r="B190" t="s">
        <v>37</v>
      </c>
      <c r="C190">
        <v>891.35</v>
      </c>
      <c r="D190">
        <v>2035</v>
      </c>
      <c r="E190" t="s">
        <v>4</v>
      </c>
    </row>
    <row r="191" spans="1:5" x14ac:dyDescent="0.2">
      <c r="A191">
        <v>88</v>
      </c>
      <c r="B191" t="s">
        <v>37</v>
      </c>
      <c r="C191">
        <v>772.74</v>
      </c>
      <c r="D191">
        <v>2035</v>
      </c>
      <c r="E191" t="s">
        <v>4</v>
      </c>
    </row>
    <row r="192" spans="1:5" x14ac:dyDescent="0.2">
      <c r="A192">
        <v>89</v>
      </c>
      <c r="B192" t="s">
        <v>37</v>
      </c>
      <c r="C192">
        <v>544.22</v>
      </c>
      <c r="D192">
        <v>2035</v>
      </c>
      <c r="E192" t="s">
        <v>4</v>
      </c>
    </row>
    <row r="193" spans="1:5" x14ac:dyDescent="0.2">
      <c r="A193">
        <v>90</v>
      </c>
      <c r="B193" t="s">
        <v>37</v>
      </c>
      <c r="C193">
        <v>449.03</v>
      </c>
      <c r="D193">
        <v>2035</v>
      </c>
      <c r="E193" t="s">
        <v>4</v>
      </c>
    </row>
    <row r="194" spans="1:5" x14ac:dyDescent="0.2">
      <c r="A194">
        <v>91</v>
      </c>
      <c r="B194" t="s">
        <v>37</v>
      </c>
      <c r="C194">
        <v>379.39</v>
      </c>
      <c r="D194">
        <v>2035</v>
      </c>
      <c r="E194" t="s">
        <v>4</v>
      </c>
    </row>
    <row r="195" spans="1:5" x14ac:dyDescent="0.2">
      <c r="A195">
        <v>92</v>
      </c>
      <c r="B195" t="s">
        <v>37</v>
      </c>
      <c r="C195">
        <v>317.76</v>
      </c>
      <c r="D195">
        <v>2035</v>
      </c>
      <c r="E195" t="s">
        <v>4</v>
      </c>
    </row>
    <row r="196" spans="1:5" x14ac:dyDescent="0.2">
      <c r="A196">
        <v>93</v>
      </c>
      <c r="B196" t="s">
        <v>37</v>
      </c>
      <c r="C196">
        <v>228.99</v>
      </c>
      <c r="D196">
        <v>2035</v>
      </c>
      <c r="E196" t="s">
        <v>4</v>
      </c>
    </row>
    <row r="197" spans="1:5" x14ac:dyDescent="0.2">
      <c r="A197">
        <v>94</v>
      </c>
      <c r="B197" t="s">
        <v>37</v>
      </c>
      <c r="C197">
        <v>163.38</v>
      </c>
      <c r="D197">
        <v>2035</v>
      </c>
      <c r="E197" t="s">
        <v>4</v>
      </c>
    </row>
    <row r="198" spans="1:5" x14ac:dyDescent="0.2">
      <c r="A198">
        <v>95</v>
      </c>
      <c r="B198" t="s">
        <v>37</v>
      </c>
      <c r="C198">
        <v>127.99</v>
      </c>
      <c r="D198">
        <v>2035</v>
      </c>
      <c r="E198" t="s">
        <v>4</v>
      </c>
    </row>
    <row r="199" spans="1:5" x14ac:dyDescent="0.2">
      <c r="A199">
        <v>96</v>
      </c>
      <c r="B199" t="s">
        <v>37</v>
      </c>
      <c r="C199">
        <v>95.67</v>
      </c>
      <c r="D199">
        <v>2035</v>
      </c>
      <c r="E199" t="s">
        <v>4</v>
      </c>
    </row>
    <row r="200" spans="1:5" x14ac:dyDescent="0.2">
      <c r="A200">
        <v>97</v>
      </c>
      <c r="B200" t="s">
        <v>37</v>
      </c>
      <c r="C200">
        <v>67.64</v>
      </c>
      <c r="D200">
        <v>2035</v>
      </c>
      <c r="E200" t="s">
        <v>4</v>
      </c>
    </row>
    <row r="201" spans="1:5" x14ac:dyDescent="0.2">
      <c r="A201">
        <v>98</v>
      </c>
      <c r="B201" t="s">
        <v>37</v>
      </c>
      <c r="C201">
        <v>48.77</v>
      </c>
      <c r="D201">
        <v>2035</v>
      </c>
      <c r="E201" t="s">
        <v>4</v>
      </c>
    </row>
    <row r="202" spans="1:5" x14ac:dyDescent="0.2">
      <c r="A202">
        <v>99</v>
      </c>
      <c r="B202" t="s">
        <v>37</v>
      </c>
      <c r="C202">
        <v>35.35</v>
      </c>
      <c r="D202">
        <v>2035</v>
      </c>
      <c r="E202" t="s">
        <v>4</v>
      </c>
    </row>
    <row r="203" spans="1:5" x14ac:dyDescent="0.2">
      <c r="A203">
        <v>100</v>
      </c>
      <c r="B203" t="s">
        <v>37</v>
      </c>
      <c r="C203">
        <v>55.56</v>
      </c>
      <c r="D203">
        <v>2035</v>
      </c>
      <c r="E203" t="s">
        <v>4</v>
      </c>
    </row>
    <row r="204" spans="1:5" x14ac:dyDescent="0.2">
      <c r="A204">
        <v>0</v>
      </c>
      <c r="B204" t="s">
        <v>38</v>
      </c>
      <c r="C204">
        <v>323.95</v>
      </c>
      <c r="D204">
        <v>2035</v>
      </c>
      <c r="E204" t="s">
        <v>4</v>
      </c>
    </row>
    <row r="205" spans="1:5" x14ac:dyDescent="0.2">
      <c r="A205">
        <v>1</v>
      </c>
      <c r="B205" t="s">
        <v>38</v>
      </c>
      <c r="C205">
        <v>323.45</v>
      </c>
      <c r="D205">
        <v>2035</v>
      </c>
      <c r="E205" t="s">
        <v>4</v>
      </c>
    </row>
    <row r="206" spans="1:5" x14ac:dyDescent="0.2">
      <c r="A206">
        <v>2</v>
      </c>
      <c r="B206" t="s">
        <v>38</v>
      </c>
      <c r="C206">
        <v>324.42</v>
      </c>
      <c r="D206">
        <v>2035</v>
      </c>
      <c r="E206" t="s">
        <v>4</v>
      </c>
    </row>
    <row r="207" spans="1:5" x14ac:dyDescent="0.2">
      <c r="A207">
        <v>3</v>
      </c>
      <c r="B207" t="s">
        <v>38</v>
      </c>
      <c r="C207">
        <v>325.08999999999997</v>
      </c>
      <c r="D207">
        <v>2035</v>
      </c>
      <c r="E207" t="s">
        <v>4</v>
      </c>
    </row>
    <row r="208" spans="1:5" x14ac:dyDescent="0.2">
      <c r="A208">
        <v>4</v>
      </c>
      <c r="B208" t="s">
        <v>38</v>
      </c>
      <c r="C208">
        <v>327.22000000000003</v>
      </c>
      <c r="D208">
        <v>2035</v>
      </c>
      <c r="E208" t="s">
        <v>4</v>
      </c>
    </row>
    <row r="209" spans="1:5" x14ac:dyDescent="0.2">
      <c r="A209">
        <v>5</v>
      </c>
      <c r="B209" t="s">
        <v>38</v>
      </c>
      <c r="C209">
        <v>330.11</v>
      </c>
      <c r="D209">
        <v>2035</v>
      </c>
      <c r="E209" t="s">
        <v>4</v>
      </c>
    </row>
    <row r="210" spans="1:5" x14ac:dyDescent="0.2">
      <c r="A210">
        <v>6</v>
      </c>
      <c r="B210" t="s">
        <v>38</v>
      </c>
      <c r="C210">
        <v>335.11</v>
      </c>
      <c r="D210">
        <v>2035</v>
      </c>
      <c r="E210" t="s">
        <v>4</v>
      </c>
    </row>
    <row r="211" spans="1:5" x14ac:dyDescent="0.2">
      <c r="A211">
        <v>7</v>
      </c>
      <c r="B211" t="s">
        <v>38</v>
      </c>
      <c r="C211">
        <v>336.81</v>
      </c>
      <c r="D211">
        <v>2035</v>
      </c>
      <c r="E211" t="s">
        <v>4</v>
      </c>
    </row>
    <row r="212" spans="1:5" x14ac:dyDescent="0.2">
      <c r="A212">
        <v>8</v>
      </c>
      <c r="B212" t="s">
        <v>38</v>
      </c>
      <c r="C212">
        <v>337.96</v>
      </c>
      <c r="D212">
        <v>2035</v>
      </c>
      <c r="E212" t="s">
        <v>4</v>
      </c>
    </row>
    <row r="213" spans="1:5" x14ac:dyDescent="0.2">
      <c r="A213">
        <v>9</v>
      </c>
      <c r="B213" t="s">
        <v>38</v>
      </c>
      <c r="C213">
        <v>342.61</v>
      </c>
      <c r="D213">
        <v>2035</v>
      </c>
      <c r="E213" t="s">
        <v>4</v>
      </c>
    </row>
    <row r="214" spans="1:5" x14ac:dyDescent="0.2">
      <c r="A214">
        <v>10</v>
      </c>
      <c r="B214" t="s">
        <v>38</v>
      </c>
      <c r="C214">
        <v>348.06</v>
      </c>
      <c r="D214">
        <v>2035</v>
      </c>
      <c r="E214" t="s">
        <v>4</v>
      </c>
    </row>
    <row r="215" spans="1:5" x14ac:dyDescent="0.2">
      <c r="A215">
        <v>11</v>
      </c>
      <c r="B215" t="s">
        <v>38</v>
      </c>
      <c r="C215">
        <v>354.64</v>
      </c>
      <c r="D215">
        <v>2035</v>
      </c>
      <c r="E215" t="s">
        <v>4</v>
      </c>
    </row>
    <row r="216" spans="1:5" x14ac:dyDescent="0.2">
      <c r="A216">
        <v>12</v>
      </c>
      <c r="B216" t="s">
        <v>38</v>
      </c>
      <c r="C216">
        <v>359.63</v>
      </c>
      <c r="D216">
        <v>2035</v>
      </c>
      <c r="E216" t="s">
        <v>4</v>
      </c>
    </row>
    <row r="217" spans="1:5" x14ac:dyDescent="0.2">
      <c r="A217">
        <v>13</v>
      </c>
      <c r="B217" t="s">
        <v>38</v>
      </c>
      <c r="C217">
        <v>364.13</v>
      </c>
      <c r="D217">
        <v>2035</v>
      </c>
      <c r="E217" t="s">
        <v>4</v>
      </c>
    </row>
    <row r="218" spans="1:5" x14ac:dyDescent="0.2">
      <c r="A218">
        <v>14</v>
      </c>
      <c r="B218" t="s">
        <v>38</v>
      </c>
      <c r="C218">
        <v>369.36</v>
      </c>
      <c r="D218">
        <v>2035</v>
      </c>
      <c r="E218" t="s">
        <v>4</v>
      </c>
    </row>
    <row r="219" spans="1:5" x14ac:dyDescent="0.2">
      <c r="A219">
        <v>15</v>
      </c>
      <c r="B219" t="s">
        <v>38</v>
      </c>
      <c r="C219">
        <v>373.6</v>
      </c>
      <c r="D219">
        <v>2035</v>
      </c>
      <c r="E219" t="s">
        <v>4</v>
      </c>
    </row>
    <row r="220" spans="1:5" x14ac:dyDescent="0.2">
      <c r="A220">
        <v>16</v>
      </c>
      <c r="B220" t="s">
        <v>38</v>
      </c>
      <c r="C220">
        <v>376.65</v>
      </c>
      <c r="D220">
        <v>2035</v>
      </c>
      <c r="E220" t="s">
        <v>4</v>
      </c>
    </row>
    <row r="221" spans="1:5" x14ac:dyDescent="0.2">
      <c r="A221">
        <v>17</v>
      </c>
      <c r="B221" t="s">
        <v>38</v>
      </c>
      <c r="C221">
        <v>506.39</v>
      </c>
      <c r="D221">
        <v>2035</v>
      </c>
      <c r="E221" t="s">
        <v>4</v>
      </c>
    </row>
    <row r="222" spans="1:5" x14ac:dyDescent="0.2">
      <c r="A222">
        <v>18</v>
      </c>
      <c r="B222" t="s">
        <v>38</v>
      </c>
      <c r="C222">
        <v>465.22</v>
      </c>
      <c r="D222">
        <v>2035</v>
      </c>
      <c r="E222" t="s">
        <v>4</v>
      </c>
    </row>
    <row r="223" spans="1:5" x14ac:dyDescent="0.2">
      <c r="A223">
        <v>19</v>
      </c>
      <c r="B223" t="s">
        <v>38</v>
      </c>
      <c r="C223">
        <v>426.29</v>
      </c>
      <c r="D223">
        <v>2035</v>
      </c>
      <c r="E223" t="s">
        <v>4</v>
      </c>
    </row>
    <row r="224" spans="1:5" x14ac:dyDescent="0.2">
      <c r="A224">
        <v>20</v>
      </c>
      <c r="B224" t="s">
        <v>38</v>
      </c>
      <c r="C224">
        <v>390.81</v>
      </c>
      <c r="D224">
        <v>2035</v>
      </c>
      <c r="E224" t="s">
        <v>4</v>
      </c>
    </row>
    <row r="225" spans="1:5" x14ac:dyDescent="0.2">
      <c r="A225">
        <v>21</v>
      </c>
      <c r="B225" t="s">
        <v>38</v>
      </c>
      <c r="C225">
        <v>384.73</v>
      </c>
      <c r="D225">
        <v>2035</v>
      </c>
      <c r="E225" t="s">
        <v>4</v>
      </c>
    </row>
    <row r="226" spans="1:5" x14ac:dyDescent="0.2">
      <c r="A226">
        <v>22</v>
      </c>
      <c r="B226" t="s">
        <v>38</v>
      </c>
      <c r="C226">
        <v>382.3</v>
      </c>
      <c r="D226">
        <v>2035</v>
      </c>
      <c r="E226" t="s">
        <v>4</v>
      </c>
    </row>
    <row r="227" spans="1:5" x14ac:dyDescent="0.2">
      <c r="A227">
        <v>23</v>
      </c>
      <c r="B227" t="s">
        <v>38</v>
      </c>
      <c r="C227">
        <v>369.78</v>
      </c>
      <c r="D227">
        <v>2035</v>
      </c>
      <c r="E227" t="s">
        <v>4</v>
      </c>
    </row>
    <row r="228" spans="1:5" x14ac:dyDescent="0.2">
      <c r="A228">
        <v>24</v>
      </c>
      <c r="B228" t="s">
        <v>38</v>
      </c>
      <c r="C228">
        <v>363.04</v>
      </c>
      <c r="D228">
        <v>2035</v>
      </c>
      <c r="E228" t="s">
        <v>4</v>
      </c>
    </row>
    <row r="229" spans="1:5" x14ac:dyDescent="0.2">
      <c r="A229">
        <v>25</v>
      </c>
      <c r="B229" t="s">
        <v>38</v>
      </c>
      <c r="C229">
        <v>362.84</v>
      </c>
      <c r="D229">
        <v>2035</v>
      </c>
      <c r="E229" t="s">
        <v>4</v>
      </c>
    </row>
    <row r="230" spans="1:5" x14ac:dyDescent="0.2">
      <c r="A230">
        <v>26</v>
      </c>
      <c r="B230" t="s">
        <v>38</v>
      </c>
      <c r="C230">
        <v>337.49</v>
      </c>
      <c r="D230">
        <v>2035</v>
      </c>
      <c r="E230" t="s">
        <v>4</v>
      </c>
    </row>
    <row r="231" spans="1:5" x14ac:dyDescent="0.2">
      <c r="A231">
        <v>27</v>
      </c>
      <c r="B231" t="s">
        <v>38</v>
      </c>
      <c r="C231">
        <v>349.25</v>
      </c>
      <c r="D231">
        <v>2035</v>
      </c>
      <c r="E231" t="s">
        <v>4</v>
      </c>
    </row>
    <row r="232" spans="1:5" x14ac:dyDescent="0.2">
      <c r="A232">
        <v>28</v>
      </c>
      <c r="B232" t="s">
        <v>38</v>
      </c>
      <c r="C232">
        <v>338.82</v>
      </c>
      <c r="D232">
        <v>2035</v>
      </c>
      <c r="E232" t="s">
        <v>4</v>
      </c>
    </row>
    <row r="233" spans="1:5" x14ac:dyDescent="0.2">
      <c r="A233">
        <v>29</v>
      </c>
      <c r="B233" t="s">
        <v>38</v>
      </c>
      <c r="C233">
        <v>316.45</v>
      </c>
      <c r="D233">
        <v>2035</v>
      </c>
      <c r="E233" t="s">
        <v>4</v>
      </c>
    </row>
    <row r="234" spans="1:5" x14ac:dyDescent="0.2">
      <c r="A234">
        <v>30</v>
      </c>
      <c r="B234" t="s">
        <v>38</v>
      </c>
      <c r="C234">
        <v>309.04000000000002</v>
      </c>
      <c r="D234">
        <v>2035</v>
      </c>
      <c r="E234" t="s">
        <v>4</v>
      </c>
    </row>
    <row r="235" spans="1:5" x14ac:dyDescent="0.2">
      <c r="A235">
        <v>31</v>
      </c>
      <c r="B235" t="s">
        <v>38</v>
      </c>
      <c r="C235">
        <v>346.31</v>
      </c>
      <c r="D235">
        <v>2035</v>
      </c>
      <c r="E235" t="s">
        <v>4</v>
      </c>
    </row>
    <row r="236" spans="1:5" x14ac:dyDescent="0.2">
      <c r="A236">
        <v>32</v>
      </c>
      <c r="B236" t="s">
        <v>38</v>
      </c>
      <c r="C236">
        <v>337.21</v>
      </c>
      <c r="D236">
        <v>2035</v>
      </c>
      <c r="E236" t="s">
        <v>4</v>
      </c>
    </row>
    <row r="237" spans="1:5" x14ac:dyDescent="0.2">
      <c r="A237">
        <v>33</v>
      </c>
      <c r="B237" t="s">
        <v>38</v>
      </c>
      <c r="C237">
        <v>326.04000000000002</v>
      </c>
      <c r="D237">
        <v>2035</v>
      </c>
      <c r="E237" t="s">
        <v>4</v>
      </c>
    </row>
    <row r="238" spans="1:5" x14ac:dyDescent="0.2">
      <c r="A238">
        <v>34</v>
      </c>
      <c r="B238" t="s">
        <v>38</v>
      </c>
      <c r="C238">
        <v>334.5</v>
      </c>
      <c r="D238">
        <v>2035</v>
      </c>
      <c r="E238" t="s">
        <v>4</v>
      </c>
    </row>
    <row r="239" spans="1:5" x14ac:dyDescent="0.2">
      <c r="A239">
        <v>35</v>
      </c>
      <c r="B239" t="s">
        <v>38</v>
      </c>
      <c r="C239">
        <v>355.55</v>
      </c>
      <c r="D239">
        <v>2035</v>
      </c>
      <c r="E239" t="s">
        <v>4</v>
      </c>
    </row>
    <row r="240" spans="1:5" x14ac:dyDescent="0.2">
      <c r="A240">
        <v>36</v>
      </c>
      <c r="B240" t="s">
        <v>38</v>
      </c>
      <c r="C240">
        <v>355.92</v>
      </c>
      <c r="D240">
        <v>2035</v>
      </c>
      <c r="E240" t="s">
        <v>4</v>
      </c>
    </row>
    <row r="241" spans="1:5" x14ac:dyDescent="0.2">
      <c r="A241">
        <v>37</v>
      </c>
      <c r="B241" t="s">
        <v>38</v>
      </c>
      <c r="C241">
        <v>374.38</v>
      </c>
      <c r="D241">
        <v>2035</v>
      </c>
      <c r="E241" t="s">
        <v>4</v>
      </c>
    </row>
    <row r="242" spans="1:5" x14ac:dyDescent="0.2">
      <c r="A242">
        <v>38</v>
      </c>
      <c r="B242" t="s">
        <v>38</v>
      </c>
      <c r="C242">
        <v>372.28</v>
      </c>
      <c r="D242">
        <v>2035</v>
      </c>
      <c r="E242" t="s">
        <v>4</v>
      </c>
    </row>
    <row r="243" spans="1:5" x14ac:dyDescent="0.2">
      <c r="A243">
        <v>39</v>
      </c>
      <c r="B243" t="s">
        <v>38</v>
      </c>
      <c r="C243">
        <v>402.04</v>
      </c>
      <c r="D243">
        <v>2035</v>
      </c>
      <c r="E243" t="s">
        <v>4</v>
      </c>
    </row>
    <row r="244" spans="1:5" x14ac:dyDescent="0.2">
      <c r="A244">
        <v>40</v>
      </c>
      <c r="B244" t="s">
        <v>38</v>
      </c>
      <c r="C244">
        <v>418.56</v>
      </c>
      <c r="D244">
        <v>2035</v>
      </c>
      <c r="E244" t="s">
        <v>4</v>
      </c>
    </row>
    <row r="245" spans="1:5" x14ac:dyDescent="0.2">
      <c r="A245">
        <v>41</v>
      </c>
      <c r="B245" t="s">
        <v>38</v>
      </c>
      <c r="C245">
        <v>446.09</v>
      </c>
      <c r="D245">
        <v>2035</v>
      </c>
      <c r="E245" t="s">
        <v>4</v>
      </c>
    </row>
    <row r="246" spans="1:5" x14ac:dyDescent="0.2">
      <c r="A246">
        <v>42</v>
      </c>
      <c r="B246" t="s">
        <v>38</v>
      </c>
      <c r="C246">
        <v>322.58</v>
      </c>
      <c r="D246">
        <v>2035</v>
      </c>
      <c r="E246" t="s">
        <v>4</v>
      </c>
    </row>
    <row r="247" spans="1:5" x14ac:dyDescent="0.2">
      <c r="A247">
        <v>43</v>
      </c>
      <c r="B247" t="s">
        <v>38</v>
      </c>
      <c r="C247">
        <v>324.76</v>
      </c>
      <c r="D247">
        <v>2035</v>
      </c>
      <c r="E247" t="s">
        <v>4</v>
      </c>
    </row>
    <row r="248" spans="1:5" x14ac:dyDescent="0.2">
      <c r="A248">
        <v>44</v>
      </c>
      <c r="B248" t="s">
        <v>38</v>
      </c>
      <c r="C248">
        <v>402.9</v>
      </c>
      <c r="D248">
        <v>2035</v>
      </c>
      <c r="E248" t="s">
        <v>4</v>
      </c>
    </row>
    <row r="249" spans="1:5" x14ac:dyDescent="0.2">
      <c r="A249">
        <v>45</v>
      </c>
      <c r="B249" t="s">
        <v>38</v>
      </c>
      <c r="C249">
        <v>420.58</v>
      </c>
      <c r="D249">
        <v>2035</v>
      </c>
      <c r="E249" t="s">
        <v>4</v>
      </c>
    </row>
    <row r="250" spans="1:5" x14ac:dyDescent="0.2">
      <c r="A250">
        <v>46</v>
      </c>
      <c r="B250" t="s">
        <v>38</v>
      </c>
      <c r="C250">
        <v>429.82</v>
      </c>
      <c r="D250">
        <v>2035</v>
      </c>
      <c r="E250" t="s">
        <v>4</v>
      </c>
    </row>
    <row r="251" spans="1:5" x14ac:dyDescent="0.2">
      <c r="A251">
        <v>47</v>
      </c>
      <c r="B251" t="s">
        <v>38</v>
      </c>
      <c r="C251">
        <v>395.43</v>
      </c>
      <c r="D251">
        <v>2035</v>
      </c>
      <c r="E251" t="s">
        <v>4</v>
      </c>
    </row>
    <row r="252" spans="1:5" x14ac:dyDescent="0.2">
      <c r="A252">
        <v>48</v>
      </c>
      <c r="B252" t="s">
        <v>38</v>
      </c>
      <c r="C252">
        <v>370.04</v>
      </c>
      <c r="D252">
        <v>2035</v>
      </c>
      <c r="E252" t="s">
        <v>4</v>
      </c>
    </row>
    <row r="253" spans="1:5" x14ac:dyDescent="0.2">
      <c r="A253">
        <v>49</v>
      </c>
      <c r="B253" t="s">
        <v>38</v>
      </c>
      <c r="C253">
        <v>378.59</v>
      </c>
      <c r="D253">
        <v>2035</v>
      </c>
      <c r="E253" t="s">
        <v>4</v>
      </c>
    </row>
    <row r="254" spans="1:5" x14ac:dyDescent="0.2">
      <c r="A254">
        <v>50</v>
      </c>
      <c r="B254" t="s">
        <v>38</v>
      </c>
      <c r="C254">
        <v>340.73</v>
      </c>
      <c r="D254">
        <v>2035</v>
      </c>
      <c r="E254" t="s">
        <v>4</v>
      </c>
    </row>
    <row r="255" spans="1:5" x14ac:dyDescent="0.2">
      <c r="A255">
        <v>51</v>
      </c>
      <c r="B255" t="s">
        <v>38</v>
      </c>
      <c r="C255">
        <v>355.97</v>
      </c>
      <c r="D255">
        <v>2035</v>
      </c>
      <c r="E255" t="s">
        <v>4</v>
      </c>
    </row>
    <row r="256" spans="1:5" x14ac:dyDescent="0.2">
      <c r="A256">
        <v>52</v>
      </c>
      <c r="B256" t="s">
        <v>38</v>
      </c>
      <c r="C256">
        <v>361.63</v>
      </c>
      <c r="D256">
        <v>2035</v>
      </c>
      <c r="E256" t="s">
        <v>4</v>
      </c>
    </row>
    <row r="257" spans="1:5" x14ac:dyDescent="0.2">
      <c r="A257">
        <v>53</v>
      </c>
      <c r="B257" t="s">
        <v>38</v>
      </c>
      <c r="C257">
        <v>344.52</v>
      </c>
      <c r="D257">
        <v>2035</v>
      </c>
      <c r="E257" t="s">
        <v>4</v>
      </c>
    </row>
    <row r="258" spans="1:5" x14ac:dyDescent="0.2">
      <c r="A258">
        <v>54</v>
      </c>
      <c r="B258" t="s">
        <v>38</v>
      </c>
      <c r="C258">
        <v>353.36</v>
      </c>
      <c r="D258">
        <v>2035</v>
      </c>
      <c r="E258" t="s">
        <v>4</v>
      </c>
    </row>
    <row r="259" spans="1:5" x14ac:dyDescent="0.2">
      <c r="A259">
        <v>55</v>
      </c>
      <c r="B259" t="s">
        <v>38</v>
      </c>
      <c r="C259">
        <v>354.73</v>
      </c>
      <c r="D259">
        <v>2035</v>
      </c>
      <c r="E259" t="s">
        <v>4</v>
      </c>
    </row>
    <row r="260" spans="1:5" x14ac:dyDescent="0.2">
      <c r="A260">
        <v>56</v>
      </c>
      <c r="B260" t="s">
        <v>38</v>
      </c>
      <c r="C260">
        <v>310.61</v>
      </c>
      <c r="D260">
        <v>2035</v>
      </c>
      <c r="E260" t="s">
        <v>4</v>
      </c>
    </row>
    <row r="261" spans="1:5" x14ac:dyDescent="0.2">
      <c r="A261">
        <v>57</v>
      </c>
      <c r="B261" t="s">
        <v>38</v>
      </c>
      <c r="C261">
        <v>293.98</v>
      </c>
      <c r="D261">
        <v>2035</v>
      </c>
      <c r="E261" t="s">
        <v>4</v>
      </c>
    </row>
    <row r="262" spans="1:5" x14ac:dyDescent="0.2">
      <c r="A262">
        <v>58</v>
      </c>
      <c r="B262" t="s">
        <v>38</v>
      </c>
      <c r="C262">
        <v>286.77</v>
      </c>
      <c r="D262">
        <v>2035</v>
      </c>
      <c r="E262" t="s">
        <v>4</v>
      </c>
    </row>
    <row r="263" spans="1:5" x14ac:dyDescent="0.2">
      <c r="A263">
        <v>59</v>
      </c>
      <c r="B263" t="s">
        <v>38</v>
      </c>
      <c r="C263">
        <v>291.8</v>
      </c>
      <c r="D263">
        <v>2035</v>
      </c>
      <c r="E263" t="s">
        <v>4</v>
      </c>
    </row>
    <row r="264" spans="1:5" x14ac:dyDescent="0.2">
      <c r="A264">
        <v>60</v>
      </c>
      <c r="B264" t="s">
        <v>38</v>
      </c>
      <c r="C264">
        <v>287.55</v>
      </c>
      <c r="D264">
        <v>2035</v>
      </c>
      <c r="E264" t="s">
        <v>4</v>
      </c>
    </row>
    <row r="265" spans="1:5" x14ac:dyDescent="0.2">
      <c r="A265">
        <v>61</v>
      </c>
      <c r="B265" t="s">
        <v>38</v>
      </c>
      <c r="C265">
        <v>257.79000000000002</v>
      </c>
      <c r="D265">
        <v>2035</v>
      </c>
      <c r="E265" t="s">
        <v>4</v>
      </c>
    </row>
    <row r="266" spans="1:5" x14ac:dyDescent="0.2">
      <c r="A266">
        <v>62</v>
      </c>
      <c r="B266" t="s">
        <v>38</v>
      </c>
      <c r="C266">
        <v>272.63</v>
      </c>
      <c r="D266">
        <v>2035</v>
      </c>
      <c r="E266" t="s">
        <v>4</v>
      </c>
    </row>
    <row r="267" spans="1:5" x14ac:dyDescent="0.2">
      <c r="A267">
        <v>63</v>
      </c>
      <c r="B267" t="s">
        <v>38</v>
      </c>
      <c r="C267">
        <v>286.79000000000002</v>
      </c>
      <c r="D267">
        <v>2035</v>
      </c>
      <c r="E267" t="s">
        <v>4</v>
      </c>
    </row>
    <row r="268" spans="1:5" x14ac:dyDescent="0.2">
      <c r="A268">
        <v>64</v>
      </c>
      <c r="B268" t="s">
        <v>38</v>
      </c>
      <c r="C268">
        <v>301.35000000000002</v>
      </c>
      <c r="D268">
        <v>2035</v>
      </c>
      <c r="E268" t="s">
        <v>4</v>
      </c>
    </row>
    <row r="269" spans="1:5" x14ac:dyDescent="0.2">
      <c r="A269">
        <v>65</v>
      </c>
      <c r="B269" t="s">
        <v>38</v>
      </c>
      <c r="C269">
        <v>298.23</v>
      </c>
      <c r="D269">
        <v>2035</v>
      </c>
      <c r="E269" t="s">
        <v>4</v>
      </c>
    </row>
    <row r="270" spans="1:5" x14ac:dyDescent="0.2">
      <c r="A270">
        <v>66</v>
      </c>
      <c r="B270" t="s">
        <v>38</v>
      </c>
      <c r="C270">
        <v>305.14999999999998</v>
      </c>
      <c r="D270">
        <v>2035</v>
      </c>
      <c r="E270" t="s">
        <v>4</v>
      </c>
    </row>
    <row r="271" spans="1:5" x14ac:dyDescent="0.2">
      <c r="A271">
        <v>67</v>
      </c>
      <c r="B271" t="s">
        <v>38</v>
      </c>
      <c r="C271">
        <v>301.77999999999997</v>
      </c>
      <c r="D271">
        <v>2035</v>
      </c>
      <c r="E271" t="s">
        <v>4</v>
      </c>
    </row>
    <row r="272" spans="1:5" x14ac:dyDescent="0.2">
      <c r="A272">
        <v>68</v>
      </c>
      <c r="B272" t="s">
        <v>38</v>
      </c>
      <c r="C272">
        <v>274.82</v>
      </c>
      <c r="D272">
        <v>2035</v>
      </c>
      <c r="E272" t="s">
        <v>4</v>
      </c>
    </row>
    <row r="273" spans="1:5" x14ac:dyDescent="0.2">
      <c r="A273">
        <v>69</v>
      </c>
      <c r="B273" t="s">
        <v>38</v>
      </c>
      <c r="C273">
        <v>273.8</v>
      </c>
      <c r="D273">
        <v>2035</v>
      </c>
      <c r="E273" t="s">
        <v>4</v>
      </c>
    </row>
    <row r="274" spans="1:5" x14ac:dyDescent="0.2">
      <c r="A274">
        <v>70</v>
      </c>
      <c r="B274" t="s">
        <v>38</v>
      </c>
      <c r="C274">
        <v>286.7</v>
      </c>
      <c r="D274">
        <v>2035</v>
      </c>
      <c r="E274" t="s">
        <v>4</v>
      </c>
    </row>
    <row r="275" spans="1:5" x14ac:dyDescent="0.2">
      <c r="A275">
        <v>71</v>
      </c>
      <c r="B275" t="s">
        <v>38</v>
      </c>
      <c r="C275">
        <v>297.38</v>
      </c>
      <c r="D275">
        <v>2035</v>
      </c>
      <c r="E275" t="s">
        <v>4</v>
      </c>
    </row>
    <row r="276" spans="1:5" x14ac:dyDescent="0.2">
      <c r="A276">
        <v>72</v>
      </c>
      <c r="B276" t="s">
        <v>38</v>
      </c>
      <c r="C276">
        <v>288.61</v>
      </c>
      <c r="D276">
        <v>2035</v>
      </c>
      <c r="E276" t="s">
        <v>4</v>
      </c>
    </row>
    <row r="277" spans="1:5" x14ac:dyDescent="0.2">
      <c r="A277">
        <v>73</v>
      </c>
      <c r="B277" t="s">
        <v>38</v>
      </c>
      <c r="C277">
        <v>294.8</v>
      </c>
      <c r="D277">
        <v>2035</v>
      </c>
      <c r="E277" t="s">
        <v>4</v>
      </c>
    </row>
    <row r="278" spans="1:5" x14ac:dyDescent="0.2">
      <c r="A278">
        <v>74</v>
      </c>
      <c r="B278" t="s">
        <v>38</v>
      </c>
      <c r="C278">
        <v>291.58999999999997</v>
      </c>
      <c r="D278">
        <v>2035</v>
      </c>
      <c r="E278" t="s">
        <v>4</v>
      </c>
    </row>
    <row r="279" spans="1:5" x14ac:dyDescent="0.2">
      <c r="A279">
        <v>75</v>
      </c>
      <c r="B279" t="s">
        <v>38</v>
      </c>
      <c r="C279">
        <v>296.02</v>
      </c>
      <c r="D279">
        <v>2035</v>
      </c>
      <c r="E279" t="s">
        <v>4</v>
      </c>
    </row>
    <row r="280" spans="1:5" x14ac:dyDescent="0.2">
      <c r="A280">
        <v>76</v>
      </c>
      <c r="B280" t="s">
        <v>38</v>
      </c>
      <c r="C280">
        <v>274.64999999999998</v>
      </c>
      <c r="D280">
        <v>2035</v>
      </c>
      <c r="E280" t="s">
        <v>4</v>
      </c>
    </row>
    <row r="281" spans="1:5" x14ac:dyDescent="0.2">
      <c r="A281">
        <v>77</v>
      </c>
      <c r="B281" t="s">
        <v>38</v>
      </c>
      <c r="C281">
        <v>252.43</v>
      </c>
      <c r="D281">
        <v>2035</v>
      </c>
      <c r="E281" t="s">
        <v>4</v>
      </c>
    </row>
    <row r="282" spans="1:5" x14ac:dyDescent="0.2">
      <c r="A282">
        <v>78</v>
      </c>
      <c r="B282" t="s">
        <v>38</v>
      </c>
      <c r="C282">
        <v>221</v>
      </c>
      <c r="D282">
        <v>2035</v>
      </c>
      <c r="E282" t="s">
        <v>4</v>
      </c>
    </row>
    <row r="283" spans="1:5" x14ac:dyDescent="0.2">
      <c r="A283">
        <v>79</v>
      </c>
      <c r="B283" t="s">
        <v>38</v>
      </c>
      <c r="C283">
        <v>213.39</v>
      </c>
      <c r="D283">
        <v>2035</v>
      </c>
      <c r="E283" t="s">
        <v>4</v>
      </c>
    </row>
    <row r="284" spans="1:5" x14ac:dyDescent="0.2">
      <c r="A284">
        <v>80</v>
      </c>
      <c r="B284" t="s">
        <v>38</v>
      </c>
      <c r="C284">
        <v>224.62</v>
      </c>
      <c r="D284">
        <v>2035</v>
      </c>
      <c r="E284" t="s">
        <v>4</v>
      </c>
    </row>
    <row r="285" spans="1:5" x14ac:dyDescent="0.2">
      <c r="A285">
        <v>81</v>
      </c>
      <c r="B285" t="s">
        <v>38</v>
      </c>
      <c r="C285">
        <v>190.34</v>
      </c>
      <c r="D285">
        <v>2035</v>
      </c>
      <c r="E285" t="s">
        <v>4</v>
      </c>
    </row>
    <row r="286" spans="1:5" x14ac:dyDescent="0.2">
      <c r="A286">
        <v>82</v>
      </c>
      <c r="B286" t="s">
        <v>38</v>
      </c>
      <c r="C286">
        <v>152.66</v>
      </c>
      <c r="D286">
        <v>2035</v>
      </c>
      <c r="E286" t="s">
        <v>4</v>
      </c>
    </row>
    <row r="287" spans="1:5" x14ac:dyDescent="0.2">
      <c r="A287">
        <v>83</v>
      </c>
      <c r="B287" t="s">
        <v>38</v>
      </c>
      <c r="C287">
        <v>138.76</v>
      </c>
      <c r="D287">
        <v>2035</v>
      </c>
      <c r="E287" t="s">
        <v>4</v>
      </c>
    </row>
    <row r="288" spans="1:5" x14ac:dyDescent="0.2">
      <c r="A288">
        <v>84</v>
      </c>
      <c r="B288" t="s">
        <v>38</v>
      </c>
      <c r="C288">
        <v>137.71</v>
      </c>
      <c r="D288">
        <v>2035</v>
      </c>
      <c r="E288" t="s">
        <v>4</v>
      </c>
    </row>
    <row r="289" spans="1:5" x14ac:dyDescent="0.2">
      <c r="A289">
        <v>85</v>
      </c>
      <c r="B289" t="s">
        <v>38</v>
      </c>
      <c r="C289">
        <v>137.99</v>
      </c>
      <c r="D289">
        <v>2035</v>
      </c>
      <c r="E289" t="s">
        <v>4</v>
      </c>
    </row>
    <row r="290" spans="1:5" x14ac:dyDescent="0.2">
      <c r="A290">
        <v>86</v>
      </c>
      <c r="B290" t="s">
        <v>38</v>
      </c>
      <c r="C290">
        <v>118.25</v>
      </c>
      <c r="D290">
        <v>2035</v>
      </c>
      <c r="E290" t="s">
        <v>4</v>
      </c>
    </row>
    <row r="291" spans="1:5" x14ac:dyDescent="0.2">
      <c r="A291">
        <v>87</v>
      </c>
      <c r="B291" t="s">
        <v>38</v>
      </c>
      <c r="C291">
        <v>107.94</v>
      </c>
      <c r="D291">
        <v>2035</v>
      </c>
      <c r="E291" t="s">
        <v>4</v>
      </c>
    </row>
    <row r="292" spans="1:5" x14ac:dyDescent="0.2">
      <c r="A292">
        <v>88</v>
      </c>
      <c r="B292" t="s">
        <v>38</v>
      </c>
      <c r="C292">
        <v>80.67</v>
      </c>
      <c r="D292">
        <v>2035</v>
      </c>
      <c r="E292" t="s">
        <v>4</v>
      </c>
    </row>
    <row r="293" spans="1:5" x14ac:dyDescent="0.2">
      <c r="A293">
        <v>89</v>
      </c>
      <c r="B293" t="s">
        <v>38</v>
      </c>
      <c r="C293">
        <v>56.71</v>
      </c>
      <c r="D293">
        <v>2035</v>
      </c>
      <c r="E293" t="s">
        <v>4</v>
      </c>
    </row>
    <row r="294" spans="1:5" x14ac:dyDescent="0.2">
      <c r="A294">
        <v>90</v>
      </c>
      <c r="B294" t="s">
        <v>38</v>
      </c>
      <c r="C294">
        <v>44.98</v>
      </c>
      <c r="D294">
        <v>2035</v>
      </c>
      <c r="E294" t="s">
        <v>4</v>
      </c>
    </row>
    <row r="295" spans="1:5" x14ac:dyDescent="0.2">
      <c r="A295">
        <v>91</v>
      </c>
      <c r="B295" t="s">
        <v>38</v>
      </c>
      <c r="C295">
        <v>40</v>
      </c>
      <c r="D295">
        <v>2035</v>
      </c>
      <c r="E295" t="s">
        <v>4</v>
      </c>
    </row>
    <row r="296" spans="1:5" x14ac:dyDescent="0.2">
      <c r="A296">
        <v>92</v>
      </c>
      <c r="B296" t="s">
        <v>38</v>
      </c>
      <c r="C296">
        <v>34.020000000000003</v>
      </c>
      <c r="D296">
        <v>2035</v>
      </c>
      <c r="E296" t="s">
        <v>4</v>
      </c>
    </row>
    <row r="297" spans="1:5" x14ac:dyDescent="0.2">
      <c r="A297">
        <v>93</v>
      </c>
      <c r="B297" t="s">
        <v>38</v>
      </c>
      <c r="C297">
        <v>29.1</v>
      </c>
      <c r="D297">
        <v>2035</v>
      </c>
      <c r="E297" t="s">
        <v>4</v>
      </c>
    </row>
    <row r="298" spans="1:5" x14ac:dyDescent="0.2">
      <c r="A298">
        <v>94</v>
      </c>
      <c r="B298" t="s">
        <v>38</v>
      </c>
      <c r="C298">
        <v>24.37</v>
      </c>
      <c r="D298">
        <v>2035</v>
      </c>
      <c r="E298" t="s">
        <v>4</v>
      </c>
    </row>
    <row r="299" spans="1:5" x14ac:dyDescent="0.2">
      <c r="A299">
        <v>95</v>
      </c>
      <c r="B299" t="s">
        <v>38</v>
      </c>
      <c r="C299">
        <v>17.68</v>
      </c>
      <c r="D299">
        <v>2035</v>
      </c>
      <c r="E299" t="s">
        <v>4</v>
      </c>
    </row>
    <row r="300" spans="1:5" x14ac:dyDescent="0.2">
      <c r="A300">
        <v>96</v>
      </c>
      <c r="B300" t="s">
        <v>38</v>
      </c>
      <c r="C300">
        <v>13.11</v>
      </c>
      <c r="D300">
        <v>2035</v>
      </c>
      <c r="E300" t="s">
        <v>4</v>
      </c>
    </row>
    <row r="301" spans="1:5" x14ac:dyDescent="0.2">
      <c r="A301">
        <v>97</v>
      </c>
      <c r="B301" t="s">
        <v>38</v>
      </c>
      <c r="C301">
        <v>9.7100000000000009</v>
      </c>
      <c r="D301">
        <v>2035</v>
      </c>
      <c r="E301" t="s">
        <v>4</v>
      </c>
    </row>
    <row r="302" spans="1:5" x14ac:dyDescent="0.2">
      <c r="A302">
        <v>98</v>
      </c>
      <c r="B302" t="s">
        <v>38</v>
      </c>
      <c r="C302">
        <v>8.85</v>
      </c>
      <c r="D302">
        <v>2035</v>
      </c>
      <c r="E302" t="s">
        <v>4</v>
      </c>
    </row>
    <row r="303" spans="1:5" x14ac:dyDescent="0.2">
      <c r="A303">
        <v>99</v>
      </c>
      <c r="B303" t="s">
        <v>38</v>
      </c>
      <c r="C303">
        <v>6.63</v>
      </c>
      <c r="D303">
        <v>2035</v>
      </c>
      <c r="E303" t="s">
        <v>4</v>
      </c>
    </row>
    <row r="304" spans="1:5" x14ac:dyDescent="0.2">
      <c r="A304">
        <v>100</v>
      </c>
      <c r="B304" t="s">
        <v>38</v>
      </c>
      <c r="C304">
        <v>4.87</v>
      </c>
      <c r="D304">
        <v>2035</v>
      </c>
      <c r="E304" t="s">
        <v>4</v>
      </c>
    </row>
    <row r="305" spans="1:5" x14ac:dyDescent="0.2">
      <c r="A305">
        <v>0</v>
      </c>
      <c r="B305" t="s">
        <v>37</v>
      </c>
      <c r="C305">
        <v>348.75</v>
      </c>
      <c r="D305">
        <v>2035</v>
      </c>
      <c r="E305" t="s">
        <v>4</v>
      </c>
    </row>
    <row r="306" spans="1:5" x14ac:dyDescent="0.2">
      <c r="A306">
        <v>1</v>
      </c>
      <c r="B306" t="s">
        <v>37</v>
      </c>
      <c r="C306">
        <v>346.75</v>
      </c>
      <c r="D306">
        <v>2035</v>
      </c>
      <c r="E306" t="s">
        <v>4</v>
      </c>
    </row>
    <row r="307" spans="1:5" x14ac:dyDescent="0.2">
      <c r="A307">
        <v>2</v>
      </c>
      <c r="B307" t="s">
        <v>37</v>
      </c>
      <c r="C307">
        <v>347.42</v>
      </c>
      <c r="D307">
        <v>2035</v>
      </c>
      <c r="E307" t="s">
        <v>4</v>
      </c>
    </row>
    <row r="308" spans="1:5" x14ac:dyDescent="0.2">
      <c r="A308">
        <v>3</v>
      </c>
      <c r="B308" t="s">
        <v>37</v>
      </c>
      <c r="C308">
        <v>347.95</v>
      </c>
      <c r="D308">
        <v>2035</v>
      </c>
      <c r="E308" t="s">
        <v>4</v>
      </c>
    </row>
    <row r="309" spans="1:5" x14ac:dyDescent="0.2">
      <c r="A309">
        <v>4</v>
      </c>
      <c r="B309" t="s">
        <v>37</v>
      </c>
      <c r="C309">
        <v>350.08</v>
      </c>
      <c r="D309">
        <v>2035</v>
      </c>
      <c r="E309" t="s">
        <v>4</v>
      </c>
    </row>
    <row r="310" spans="1:5" x14ac:dyDescent="0.2">
      <c r="A310">
        <v>5</v>
      </c>
      <c r="B310" t="s">
        <v>37</v>
      </c>
      <c r="C310">
        <v>352.96</v>
      </c>
      <c r="D310">
        <v>2035</v>
      </c>
      <c r="E310" t="s">
        <v>4</v>
      </c>
    </row>
    <row r="311" spans="1:5" x14ac:dyDescent="0.2">
      <c r="A311">
        <v>6</v>
      </c>
      <c r="B311" t="s">
        <v>37</v>
      </c>
      <c r="C311">
        <v>358.06</v>
      </c>
      <c r="D311">
        <v>2035</v>
      </c>
      <c r="E311" t="s">
        <v>4</v>
      </c>
    </row>
    <row r="312" spans="1:5" x14ac:dyDescent="0.2">
      <c r="A312">
        <v>7</v>
      </c>
      <c r="B312" t="s">
        <v>37</v>
      </c>
      <c r="C312">
        <v>359.64</v>
      </c>
      <c r="D312">
        <v>2035</v>
      </c>
      <c r="E312" t="s">
        <v>4</v>
      </c>
    </row>
    <row r="313" spans="1:5" x14ac:dyDescent="0.2">
      <c r="A313">
        <v>8</v>
      </c>
      <c r="B313" t="s">
        <v>37</v>
      </c>
      <c r="C313">
        <v>361.16</v>
      </c>
      <c r="D313">
        <v>2035</v>
      </c>
      <c r="E313" t="s">
        <v>4</v>
      </c>
    </row>
    <row r="314" spans="1:5" x14ac:dyDescent="0.2">
      <c r="A314">
        <v>9</v>
      </c>
      <c r="B314" t="s">
        <v>37</v>
      </c>
      <c r="C314">
        <v>366.31</v>
      </c>
      <c r="D314">
        <v>2035</v>
      </c>
      <c r="E314" t="s">
        <v>4</v>
      </c>
    </row>
    <row r="315" spans="1:5" x14ac:dyDescent="0.2">
      <c r="A315">
        <v>10</v>
      </c>
      <c r="B315" t="s">
        <v>37</v>
      </c>
      <c r="C315">
        <v>371.93</v>
      </c>
      <c r="D315">
        <v>2035</v>
      </c>
      <c r="E315" t="s">
        <v>4</v>
      </c>
    </row>
    <row r="316" spans="1:5" x14ac:dyDescent="0.2">
      <c r="A316">
        <v>11</v>
      </c>
      <c r="B316" t="s">
        <v>37</v>
      </c>
      <c r="C316">
        <v>378.06</v>
      </c>
      <c r="D316">
        <v>2035</v>
      </c>
      <c r="E316" t="s">
        <v>4</v>
      </c>
    </row>
    <row r="317" spans="1:5" x14ac:dyDescent="0.2">
      <c r="A317">
        <v>12</v>
      </c>
      <c r="B317" t="s">
        <v>37</v>
      </c>
      <c r="C317">
        <v>382.02</v>
      </c>
      <c r="D317">
        <v>2035</v>
      </c>
      <c r="E317" t="s">
        <v>4</v>
      </c>
    </row>
    <row r="318" spans="1:5" x14ac:dyDescent="0.2">
      <c r="A318">
        <v>13</v>
      </c>
      <c r="B318" t="s">
        <v>37</v>
      </c>
      <c r="C318">
        <v>385.62</v>
      </c>
      <c r="D318">
        <v>2035</v>
      </c>
      <c r="E318" t="s">
        <v>4</v>
      </c>
    </row>
    <row r="319" spans="1:5" x14ac:dyDescent="0.2">
      <c r="A319">
        <v>14</v>
      </c>
      <c r="B319" t="s">
        <v>37</v>
      </c>
      <c r="C319">
        <v>390.71</v>
      </c>
      <c r="D319">
        <v>2035</v>
      </c>
      <c r="E319" t="s">
        <v>4</v>
      </c>
    </row>
    <row r="320" spans="1:5" x14ac:dyDescent="0.2">
      <c r="A320">
        <v>15</v>
      </c>
      <c r="B320" t="s">
        <v>37</v>
      </c>
      <c r="C320">
        <v>394.29</v>
      </c>
      <c r="D320">
        <v>2035</v>
      </c>
      <c r="E320" t="s">
        <v>4</v>
      </c>
    </row>
    <row r="321" spans="1:5" x14ac:dyDescent="0.2">
      <c r="A321">
        <v>16</v>
      </c>
      <c r="B321" t="s">
        <v>37</v>
      </c>
      <c r="C321">
        <v>396.28</v>
      </c>
      <c r="D321">
        <v>2035</v>
      </c>
      <c r="E321" t="s">
        <v>4</v>
      </c>
    </row>
    <row r="322" spans="1:5" x14ac:dyDescent="0.2">
      <c r="A322">
        <v>17</v>
      </c>
      <c r="B322" t="s">
        <v>37</v>
      </c>
      <c r="C322">
        <v>395.82</v>
      </c>
      <c r="D322">
        <v>2035</v>
      </c>
      <c r="E322" t="s">
        <v>4</v>
      </c>
    </row>
    <row r="323" spans="1:5" x14ac:dyDescent="0.2">
      <c r="A323">
        <v>18</v>
      </c>
      <c r="B323" t="s">
        <v>37</v>
      </c>
      <c r="C323">
        <v>497.76</v>
      </c>
      <c r="D323">
        <v>2035</v>
      </c>
      <c r="E323" t="s">
        <v>4</v>
      </c>
    </row>
    <row r="324" spans="1:5" x14ac:dyDescent="0.2">
      <c r="A324">
        <v>19</v>
      </c>
      <c r="B324" t="s">
        <v>37</v>
      </c>
      <c r="C324">
        <v>463.9</v>
      </c>
      <c r="D324">
        <v>2035</v>
      </c>
      <c r="E324" t="s">
        <v>4</v>
      </c>
    </row>
    <row r="325" spans="1:5" x14ac:dyDescent="0.2">
      <c r="A325">
        <v>20</v>
      </c>
      <c r="B325" t="s">
        <v>37</v>
      </c>
      <c r="C325">
        <v>432.51</v>
      </c>
      <c r="D325">
        <v>2035</v>
      </c>
      <c r="E325" t="s">
        <v>4</v>
      </c>
    </row>
    <row r="326" spans="1:5" x14ac:dyDescent="0.2">
      <c r="A326">
        <v>21</v>
      </c>
      <c r="B326" t="s">
        <v>37</v>
      </c>
      <c r="C326">
        <v>404.74</v>
      </c>
      <c r="D326">
        <v>2035</v>
      </c>
      <c r="E326" t="s">
        <v>4</v>
      </c>
    </row>
    <row r="327" spans="1:5" x14ac:dyDescent="0.2">
      <c r="A327">
        <v>22</v>
      </c>
      <c r="B327" t="s">
        <v>37</v>
      </c>
      <c r="C327">
        <v>404.68</v>
      </c>
      <c r="D327">
        <v>2035</v>
      </c>
      <c r="E327" t="s">
        <v>4</v>
      </c>
    </row>
    <row r="328" spans="1:5" x14ac:dyDescent="0.2">
      <c r="A328">
        <v>23</v>
      </c>
      <c r="B328" t="s">
        <v>37</v>
      </c>
      <c r="C328">
        <v>403.5</v>
      </c>
      <c r="D328">
        <v>2035</v>
      </c>
      <c r="E328" t="s">
        <v>4</v>
      </c>
    </row>
    <row r="329" spans="1:5" x14ac:dyDescent="0.2">
      <c r="A329">
        <v>24</v>
      </c>
      <c r="B329" t="s">
        <v>37</v>
      </c>
      <c r="C329">
        <v>399.07</v>
      </c>
      <c r="D329">
        <v>2035</v>
      </c>
      <c r="E329" t="s">
        <v>4</v>
      </c>
    </row>
    <row r="330" spans="1:5" x14ac:dyDescent="0.2">
      <c r="A330">
        <v>25</v>
      </c>
      <c r="B330" t="s">
        <v>37</v>
      </c>
      <c r="C330">
        <v>327.37</v>
      </c>
      <c r="D330">
        <v>2035</v>
      </c>
      <c r="E330" t="s">
        <v>4</v>
      </c>
    </row>
    <row r="331" spans="1:5" x14ac:dyDescent="0.2">
      <c r="A331">
        <v>26</v>
      </c>
      <c r="B331" t="s">
        <v>37</v>
      </c>
      <c r="C331">
        <v>343.8</v>
      </c>
      <c r="D331">
        <v>2035</v>
      </c>
      <c r="E331" t="s">
        <v>4</v>
      </c>
    </row>
    <row r="332" spans="1:5" x14ac:dyDescent="0.2">
      <c r="A332">
        <v>27</v>
      </c>
      <c r="B332" t="s">
        <v>37</v>
      </c>
      <c r="C332">
        <v>377.42</v>
      </c>
      <c r="D332">
        <v>2035</v>
      </c>
      <c r="E332" t="s">
        <v>4</v>
      </c>
    </row>
    <row r="333" spans="1:5" x14ac:dyDescent="0.2">
      <c r="A333">
        <v>28</v>
      </c>
      <c r="B333" t="s">
        <v>37</v>
      </c>
      <c r="C333">
        <v>379.13</v>
      </c>
      <c r="D333">
        <v>2035</v>
      </c>
      <c r="E333" t="s">
        <v>4</v>
      </c>
    </row>
    <row r="334" spans="1:5" x14ac:dyDescent="0.2">
      <c r="A334">
        <v>29</v>
      </c>
      <c r="B334" t="s">
        <v>37</v>
      </c>
      <c r="C334">
        <v>355.6</v>
      </c>
      <c r="D334">
        <v>2035</v>
      </c>
      <c r="E334" t="s">
        <v>4</v>
      </c>
    </row>
    <row r="335" spans="1:5" x14ac:dyDescent="0.2">
      <c r="A335">
        <v>30</v>
      </c>
      <c r="B335" t="s">
        <v>37</v>
      </c>
      <c r="C335">
        <v>369.61</v>
      </c>
      <c r="D335">
        <v>2035</v>
      </c>
      <c r="E335" t="s">
        <v>4</v>
      </c>
    </row>
    <row r="336" spans="1:5" x14ac:dyDescent="0.2">
      <c r="A336">
        <v>31</v>
      </c>
      <c r="B336" t="s">
        <v>37</v>
      </c>
      <c r="C336">
        <v>347.32</v>
      </c>
      <c r="D336">
        <v>2035</v>
      </c>
      <c r="E336" t="s">
        <v>4</v>
      </c>
    </row>
    <row r="337" spans="1:5" x14ac:dyDescent="0.2">
      <c r="A337">
        <v>32</v>
      </c>
      <c r="B337" t="s">
        <v>37</v>
      </c>
      <c r="C337">
        <v>358.95</v>
      </c>
      <c r="D337">
        <v>2035</v>
      </c>
      <c r="E337" t="s">
        <v>4</v>
      </c>
    </row>
    <row r="338" spans="1:5" x14ac:dyDescent="0.2">
      <c r="A338">
        <v>33</v>
      </c>
      <c r="B338" t="s">
        <v>37</v>
      </c>
      <c r="C338">
        <v>361.41</v>
      </c>
      <c r="D338">
        <v>2035</v>
      </c>
      <c r="E338" t="s">
        <v>4</v>
      </c>
    </row>
    <row r="339" spans="1:5" x14ac:dyDescent="0.2">
      <c r="A339">
        <v>34</v>
      </c>
      <c r="B339" t="s">
        <v>37</v>
      </c>
      <c r="C339">
        <v>390.8</v>
      </c>
      <c r="D339">
        <v>2035</v>
      </c>
      <c r="E339" t="s">
        <v>4</v>
      </c>
    </row>
    <row r="340" spans="1:5" x14ac:dyDescent="0.2">
      <c r="A340">
        <v>35</v>
      </c>
      <c r="B340" t="s">
        <v>37</v>
      </c>
      <c r="C340">
        <v>380.94</v>
      </c>
      <c r="D340">
        <v>2035</v>
      </c>
      <c r="E340" t="s">
        <v>4</v>
      </c>
    </row>
    <row r="341" spans="1:5" x14ac:dyDescent="0.2">
      <c r="A341">
        <v>36</v>
      </c>
      <c r="B341" t="s">
        <v>37</v>
      </c>
      <c r="C341">
        <v>363.86</v>
      </c>
      <c r="D341">
        <v>2035</v>
      </c>
      <c r="E341" t="s">
        <v>4</v>
      </c>
    </row>
    <row r="342" spans="1:5" x14ac:dyDescent="0.2">
      <c r="A342">
        <v>37</v>
      </c>
      <c r="B342" t="s">
        <v>37</v>
      </c>
      <c r="C342">
        <v>366.53</v>
      </c>
      <c r="D342">
        <v>2035</v>
      </c>
      <c r="E342" t="s">
        <v>4</v>
      </c>
    </row>
    <row r="343" spans="1:5" x14ac:dyDescent="0.2">
      <c r="A343">
        <v>38</v>
      </c>
      <c r="B343" t="s">
        <v>37</v>
      </c>
      <c r="C343">
        <v>376.47</v>
      </c>
      <c r="D343">
        <v>2035</v>
      </c>
      <c r="E343" t="s">
        <v>4</v>
      </c>
    </row>
    <row r="344" spans="1:5" x14ac:dyDescent="0.2">
      <c r="A344">
        <v>39</v>
      </c>
      <c r="B344" t="s">
        <v>37</v>
      </c>
      <c r="C344">
        <v>381.98</v>
      </c>
      <c r="D344">
        <v>2035</v>
      </c>
      <c r="E344" t="s">
        <v>4</v>
      </c>
    </row>
    <row r="345" spans="1:5" x14ac:dyDescent="0.2">
      <c r="A345">
        <v>40</v>
      </c>
      <c r="B345" t="s">
        <v>37</v>
      </c>
      <c r="C345">
        <v>385.3</v>
      </c>
      <c r="D345">
        <v>2035</v>
      </c>
      <c r="E345" t="s">
        <v>4</v>
      </c>
    </row>
    <row r="346" spans="1:5" x14ac:dyDescent="0.2">
      <c r="A346">
        <v>41</v>
      </c>
      <c r="B346" t="s">
        <v>37</v>
      </c>
      <c r="C346">
        <v>404.15</v>
      </c>
      <c r="D346">
        <v>2035</v>
      </c>
      <c r="E346" t="s">
        <v>4</v>
      </c>
    </row>
    <row r="347" spans="1:5" x14ac:dyDescent="0.2">
      <c r="A347">
        <v>42</v>
      </c>
      <c r="B347" t="s">
        <v>37</v>
      </c>
      <c r="C347">
        <v>398.56</v>
      </c>
      <c r="D347">
        <v>2035</v>
      </c>
      <c r="E347" t="s">
        <v>4</v>
      </c>
    </row>
    <row r="348" spans="1:5" x14ac:dyDescent="0.2">
      <c r="A348">
        <v>43</v>
      </c>
      <c r="B348" t="s">
        <v>37</v>
      </c>
      <c r="C348">
        <v>378.93</v>
      </c>
      <c r="D348">
        <v>2035</v>
      </c>
      <c r="E348" t="s">
        <v>4</v>
      </c>
    </row>
    <row r="349" spans="1:5" x14ac:dyDescent="0.2">
      <c r="A349">
        <v>44</v>
      </c>
      <c r="B349" t="s">
        <v>37</v>
      </c>
      <c r="C349">
        <v>415.74</v>
      </c>
      <c r="D349">
        <v>2035</v>
      </c>
      <c r="E349" t="s">
        <v>4</v>
      </c>
    </row>
    <row r="350" spans="1:5" x14ac:dyDescent="0.2">
      <c r="A350">
        <v>45</v>
      </c>
      <c r="B350" t="s">
        <v>37</v>
      </c>
      <c r="C350">
        <v>413.01</v>
      </c>
      <c r="D350">
        <v>2035</v>
      </c>
      <c r="E350" t="s">
        <v>4</v>
      </c>
    </row>
    <row r="351" spans="1:5" x14ac:dyDescent="0.2">
      <c r="A351">
        <v>46</v>
      </c>
      <c r="B351" t="s">
        <v>37</v>
      </c>
      <c r="C351">
        <v>401.83</v>
      </c>
      <c r="D351">
        <v>2035</v>
      </c>
      <c r="E351" t="s">
        <v>4</v>
      </c>
    </row>
    <row r="352" spans="1:5" x14ac:dyDescent="0.2">
      <c r="A352">
        <v>47</v>
      </c>
      <c r="B352" t="s">
        <v>37</v>
      </c>
      <c r="C352">
        <v>424.1</v>
      </c>
      <c r="D352">
        <v>2035</v>
      </c>
      <c r="E352" t="s">
        <v>4</v>
      </c>
    </row>
    <row r="353" spans="1:5" x14ac:dyDescent="0.2">
      <c r="A353">
        <v>48</v>
      </c>
      <c r="B353" t="s">
        <v>37</v>
      </c>
      <c r="C353">
        <v>382.84</v>
      </c>
      <c r="D353">
        <v>2035</v>
      </c>
      <c r="E353" t="s">
        <v>4</v>
      </c>
    </row>
    <row r="354" spans="1:5" x14ac:dyDescent="0.2">
      <c r="A354">
        <v>49</v>
      </c>
      <c r="B354" t="s">
        <v>37</v>
      </c>
      <c r="C354">
        <v>351.27</v>
      </c>
      <c r="D354">
        <v>2035</v>
      </c>
      <c r="E354" t="s">
        <v>4</v>
      </c>
    </row>
    <row r="355" spans="1:5" x14ac:dyDescent="0.2">
      <c r="A355">
        <v>50</v>
      </c>
      <c r="B355" t="s">
        <v>37</v>
      </c>
      <c r="C355">
        <v>357.46</v>
      </c>
      <c r="D355">
        <v>2035</v>
      </c>
      <c r="E355" t="s">
        <v>4</v>
      </c>
    </row>
    <row r="356" spans="1:5" x14ac:dyDescent="0.2">
      <c r="A356">
        <v>51</v>
      </c>
      <c r="B356" t="s">
        <v>37</v>
      </c>
      <c r="C356">
        <v>336.83</v>
      </c>
      <c r="D356">
        <v>2035</v>
      </c>
      <c r="E356" t="s">
        <v>4</v>
      </c>
    </row>
    <row r="357" spans="1:5" x14ac:dyDescent="0.2">
      <c r="A357">
        <v>52</v>
      </c>
      <c r="B357" t="s">
        <v>37</v>
      </c>
      <c r="C357">
        <v>374.56</v>
      </c>
      <c r="D357">
        <v>2035</v>
      </c>
      <c r="E357" t="s">
        <v>4</v>
      </c>
    </row>
    <row r="358" spans="1:5" x14ac:dyDescent="0.2">
      <c r="A358">
        <v>53</v>
      </c>
      <c r="B358" t="s">
        <v>37</v>
      </c>
      <c r="C358">
        <v>352.98</v>
      </c>
      <c r="D358">
        <v>2035</v>
      </c>
      <c r="E358" t="s">
        <v>4</v>
      </c>
    </row>
    <row r="359" spans="1:5" x14ac:dyDescent="0.2">
      <c r="A359">
        <v>54</v>
      </c>
      <c r="B359" t="s">
        <v>37</v>
      </c>
      <c r="C359">
        <v>347.23</v>
      </c>
      <c r="D359">
        <v>2035</v>
      </c>
      <c r="E359" t="s">
        <v>4</v>
      </c>
    </row>
    <row r="360" spans="1:5" x14ac:dyDescent="0.2">
      <c r="A360">
        <v>55</v>
      </c>
      <c r="B360" t="s">
        <v>37</v>
      </c>
      <c r="C360">
        <v>356.73</v>
      </c>
      <c r="D360">
        <v>2035</v>
      </c>
      <c r="E360" t="s">
        <v>4</v>
      </c>
    </row>
    <row r="361" spans="1:5" x14ac:dyDescent="0.2">
      <c r="A361">
        <v>56</v>
      </c>
      <c r="B361" t="s">
        <v>37</v>
      </c>
      <c r="C361">
        <v>332.03</v>
      </c>
      <c r="D361">
        <v>2035</v>
      </c>
      <c r="E361" t="s">
        <v>4</v>
      </c>
    </row>
    <row r="362" spans="1:5" x14ac:dyDescent="0.2">
      <c r="A362">
        <v>57</v>
      </c>
      <c r="B362" t="s">
        <v>37</v>
      </c>
      <c r="C362">
        <v>293.88</v>
      </c>
      <c r="D362">
        <v>2035</v>
      </c>
      <c r="E362" t="s">
        <v>4</v>
      </c>
    </row>
    <row r="363" spans="1:5" x14ac:dyDescent="0.2">
      <c r="A363">
        <v>58</v>
      </c>
      <c r="B363" t="s">
        <v>37</v>
      </c>
      <c r="C363">
        <v>303.99</v>
      </c>
      <c r="D363">
        <v>2035</v>
      </c>
      <c r="E363" t="s">
        <v>4</v>
      </c>
    </row>
    <row r="364" spans="1:5" x14ac:dyDescent="0.2">
      <c r="A364">
        <v>59</v>
      </c>
      <c r="B364" t="s">
        <v>37</v>
      </c>
      <c r="C364">
        <v>290.58</v>
      </c>
      <c r="D364">
        <v>2035</v>
      </c>
      <c r="E364" t="s">
        <v>4</v>
      </c>
    </row>
    <row r="365" spans="1:5" x14ac:dyDescent="0.2">
      <c r="A365">
        <v>60</v>
      </c>
      <c r="B365" t="s">
        <v>37</v>
      </c>
      <c r="C365">
        <v>273.70999999999998</v>
      </c>
      <c r="D365">
        <v>2035</v>
      </c>
      <c r="E365" t="s">
        <v>4</v>
      </c>
    </row>
    <row r="366" spans="1:5" x14ac:dyDescent="0.2">
      <c r="A366">
        <v>61</v>
      </c>
      <c r="B366" t="s">
        <v>37</v>
      </c>
      <c r="C366">
        <v>277.16000000000003</v>
      </c>
      <c r="D366">
        <v>2035</v>
      </c>
      <c r="E366" t="s">
        <v>4</v>
      </c>
    </row>
    <row r="367" spans="1:5" x14ac:dyDescent="0.2">
      <c r="A367">
        <v>62</v>
      </c>
      <c r="B367" t="s">
        <v>37</v>
      </c>
      <c r="C367">
        <v>283.99</v>
      </c>
      <c r="D367">
        <v>2035</v>
      </c>
      <c r="E367" t="s">
        <v>4</v>
      </c>
    </row>
    <row r="368" spans="1:5" x14ac:dyDescent="0.2">
      <c r="A368">
        <v>63</v>
      </c>
      <c r="B368" t="s">
        <v>37</v>
      </c>
      <c r="C368">
        <v>284.64999999999998</v>
      </c>
      <c r="D368">
        <v>2035</v>
      </c>
      <c r="E368" t="s">
        <v>4</v>
      </c>
    </row>
    <row r="369" spans="1:5" x14ac:dyDescent="0.2">
      <c r="A369">
        <v>64</v>
      </c>
      <c r="B369" t="s">
        <v>37</v>
      </c>
      <c r="C369">
        <v>332</v>
      </c>
      <c r="D369">
        <v>2035</v>
      </c>
      <c r="E369" t="s">
        <v>4</v>
      </c>
    </row>
    <row r="370" spans="1:5" x14ac:dyDescent="0.2">
      <c r="A370">
        <v>65</v>
      </c>
      <c r="B370" t="s">
        <v>37</v>
      </c>
      <c r="C370">
        <v>331.14</v>
      </c>
      <c r="D370">
        <v>2035</v>
      </c>
      <c r="E370" t="s">
        <v>4</v>
      </c>
    </row>
    <row r="371" spans="1:5" x14ac:dyDescent="0.2">
      <c r="A371">
        <v>66</v>
      </c>
      <c r="B371" t="s">
        <v>37</v>
      </c>
      <c r="C371">
        <v>304.72000000000003</v>
      </c>
      <c r="D371">
        <v>2035</v>
      </c>
      <c r="E371" t="s">
        <v>4</v>
      </c>
    </row>
    <row r="372" spans="1:5" x14ac:dyDescent="0.2">
      <c r="A372">
        <v>67</v>
      </c>
      <c r="B372" t="s">
        <v>37</v>
      </c>
      <c r="C372">
        <v>306.08999999999997</v>
      </c>
      <c r="D372">
        <v>2035</v>
      </c>
      <c r="E372" t="s">
        <v>4</v>
      </c>
    </row>
    <row r="373" spans="1:5" x14ac:dyDescent="0.2">
      <c r="A373">
        <v>68</v>
      </c>
      <c r="B373" t="s">
        <v>37</v>
      </c>
      <c r="C373">
        <v>323.60000000000002</v>
      </c>
      <c r="D373">
        <v>2035</v>
      </c>
      <c r="E373" t="s">
        <v>4</v>
      </c>
    </row>
    <row r="374" spans="1:5" x14ac:dyDescent="0.2">
      <c r="A374">
        <v>69</v>
      </c>
      <c r="B374" t="s">
        <v>37</v>
      </c>
      <c r="C374">
        <v>313.39</v>
      </c>
      <c r="D374">
        <v>2035</v>
      </c>
      <c r="E374" t="s">
        <v>4</v>
      </c>
    </row>
    <row r="375" spans="1:5" x14ac:dyDescent="0.2">
      <c r="A375">
        <v>70</v>
      </c>
      <c r="B375" t="s">
        <v>37</v>
      </c>
      <c r="C375">
        <v>304.81</v>
      </c>
      <c r="D375">
        <v>2035</v>
      </c>
      <c r="E375" t="s">
        <v>4</v>
      </c>
    </row>
    <row r="376" spans="1:5" x14ac:dyDescent="0.2">
      <c r="A376">
        <v>71</v>
      </c>
      <c r="B376" t="s">
        <v>37</v>
      </c>
      <c r="C376">
        <v>290.12</v>
      </c>
      <c r="D376">
        <v>2035</v>
      </c>
      <c r="E376" t="s">
        <v>4</v>
      </c>
    </row>
    <row r="377" spans="1:5" x14ac:dyDescent="0.2">
      <c r="A377">
        <v>72</v>
      </c>
      <c r="B377" t="s">
        <v>37</v>
      </c>
      <c r="C377">
        <v>304.94</v>
      </c>
      <c r="D377">
        <v>2035</v>
      </c>
      <c r="E377" t="s">
        <v>4</v>
      </c>
    </row>
    <row r="378" spans="1:5" x14ac:dyDescent="0.2">
      <c r="A378">
        <v>73</v>
      </c>
      <c r="B378" t="s">
        <v>37</v>
      </c>
      <c r="C378">
        <v>303.7</v>
      </c>
      <c r="D378">
        <v>2035</v>
      </c>
      <c r="E378" t="s">
        <v>4</v>
      </c>
    </row>
    <row r="379" spans="1:5" x14ac:dyDescent="0.2">
      <c r="A379">
        <v>74</v>
      </c>
      <c r="B379" t="s">
        <v>37</v>
      </c>
      <c r="C379">
        <v>291.57</v>
      </c>
      <c r="D379">
        <v>2035</v>
      </c>
      <c r="E379" t="s">
        <v>4</v>
      </c>
    </row>
    <row r="380" spans="1:5" x14ac:dyDescent="0.2">
      <c r="A380">
        <v>75</v>
      </c>
      <c r="B380" t="s">
        <v>37</v>
      </c>
      <c r="C380">
        <v>281.20999999999998</v>
      </c>
      <c r="D380">
        <v>2035</v>
      </c>
      <c r="E380" t="s">
        <v>4</v>
      </c>
    </row>
    <row r="381" spans="1:5" x14ac:dyDescent="0.2">
      <c r="A381">
        <v>76</v>
      </c>
      <c r="B381" t="s">
        <v>37</v>
      </c>
      <c r="C381">
        <v>264.89</v>
      </c>
      <c r="D381">
        <v>2035</v>
      </c>
      <c r="E381" t="s">
        <v>4</v>
      </c>
    </row>
    <row r="382" spans="1:5" x14ac:dyDescent="0.2">
      <c r="A382">
        <v>77</v>
      </c>
      <c r="B382" t="s">
        <v>37</v>
      </c>
      <c r="C382">
        <v>242.57</v>
      </c>
      <c r="D382">
        <v>2035</v>
      </c>
      <c r="E382" t="s">
        <v>4</v>
      </c>
    </row>
    <row r="383" spans="1:5" x14ac:dyDescent="0.2">
      <c r="A383">
        <v>78</v>
      </c>
      <c r="B383" t="s">
        <v>37</v>
      </c>
      <c r="C383">
        <v>214.9</v>
      </c>
      <c r="D383">
        <v>2035</v>
      </c>
      <c r="E383" t="s">
        <v>4</v>
      </c>
    </row>
    <row r="384" spans="1:5" x14ac:dyDescent="0.2">
      <c r="A384">
        <v>79</v>
      </c>
      <c r="B384" t="s">
        <v>37</v>
      </c>
      <c r="C384">
        <v>202.85</v>
      </c>
      <c r="D384">
        <v>2035</v>
      </c>
      <c r="E384" t="s">
        <v>4</v>
      </c>
    </row>
    <row r="385" spans="1:5" x14ac:dyDescent="0.2">
      <c r="A385">
        <v>80</v>
      </c>
      <c r="B385" t="s">
        <v>37</v>
      </c>
      <c r="C385">
        <v>191.62</v>
      </c>
      <c r="D385">
        <v>2035</v>
      </c>
      <c r="E385" t="s">
        <v>4</v>
      </c>
    </row>
    <row r="386" spans="1:5" x14ac:dyDescent="0.2">
      <c r="A386">
        <v>81</v>
      </c>
      <c r="B386" t="s">
        <v>37</v>
      </c>
      <c r="C386">
        <v>166.05</v>
      </c>
      <c r="D386">
        <v>2035</v>
      </c>
      <c r="E386" t="s">
        <v>4</v>
      </c>
    </row>
    <row r="387" spans="1:5" x14ac:dyDescent="0.2">
      <c r="A387">
        <v>82</v>
      </c>
      <c r="B387" t="s">
        <v>37</v>
      </c>
      <c r="C387">
        <v>138.53</v>
      </c>
      <c r="D387">
        <v>2035</v>
      </c>
      <c r="E387" t="s">
        <v>4</v>
      </c>
    </row>
    <row r="388" spans="1:5" x14ac:dyDescent="0.2">
      <c r="A388">
        <v>83</v>
      </c>
      <c r="B388" t="s">
        <v>37</v>
      </c>
      <c r="C388">
        <v>125.32</v>
      </c>
      <c r="D388">
        <v>2035</v>
      </c>
      <c r="E388" t="s">
        <v>4</v>
      </c>
    </row>
    <row r="389" spans="1:5" x14ac:dyDescent="0.2">
      <c r="A389">
        <v>84</v>
      </c>
      <c r="B389" t="s">
        <v>37</v>
      </c>
      <c r="C389">
        <v>106.46</v>
      </c>
      <c r="D389">
        <v>2035</v>
      </c>
      <c r="E389" t="s">
        <v>4</v>
      </c>
    </row>
    <row r="390" spans="1:5" x14ac:dyDescent="0.2">
      <c r="A390">
        <v>85</v>
      </c>
      <c r="B390" t="s">
        <v>37</v>
      </c>
      <c r="C390">
        <v>98.21</v>
      </c>
      <c r="D390">
        <v>2035</v>
      </c>
      <c r="E390" t="s">
        <v>4</v>
      </c>
    </row>
    <row r="391" spans="1:5" x14ac:dyDescent="0.2">
      <c r="A391">
        <v>86</v>
      </c>
      <c r="B391" t="s">
        <v>37</v>
      </c>
      <c r="C391">
        <v>79.36</v>
      </c>
      <c r="D391">
        <v>2035</v>
      </c>
      <c r="E391" t="s">
        <v>4</v>
      </c>
    </row>
    <row r="392" spans="1:5" x14ac:dyDescent="0.2">
      <c r="A392">
        <v>87</v>
      </c>
      <c r="B392" t="s">
        <v>37</v>
      </c>
      <c r="C392">
        <v>66.66</v>
      </c>
      <c r="D392">
        <v>2035</v>
      </c>
      <c r="E392" t="s">
        <v>4</v>
      </c>
    </row>
    <row r="393" spans="1:5" x14ac:dyDescent="0.2">
      <c r="A393">
        <v>88</v>
      </c>
      <c r="B393" t="s">
        <v>37</v>
      </c>
      <c r="C393">
        <v>50.54</v>
      </c>
      <c r="D393">
        <v>2035</v>
      </c>
      <c r="E393" t="s">
        <v>4</v>
      </c>
    </row>
    <row r="394" spans="1:5" x14ac:dyDescent="0.2">
      <c r="A394">
        <v>89</v>
      </c>
      <c r="B394" t="s">
        <v>37</v>
      </c>
      <c r="C394">
        <v>42.08</v>
      </c>
      <c r="D394">
        <v>2035</v>
      </c>
      <c r="E394" t="s">
        <v>4</v>
      </c>
    </row>
    <row r="395" spans="1:5" x14ac:dyDescent="0.2">
      <c r="A395">
        <v>90</v>
      </c>
      <c r="B395" t="s">
        <v>37</v>
      </c>
      <c r="C395">
        <v>34.08</v>
      </c>
      <c r="D395">
        <v>2035</v>
      </c>
      <c r="E395" t="s">
        <v>4</v>
      </c>
    </row>
    <row r="396" spans="1:5" x14ac:dyDescent="0.2">
      <c r="A396">
        <v>91</v>
      </c>
      <c r="B396" t="s">
        <v>37</v>
      </c>
      <c r="C396">
        <v>27.29</v>
      </c>
      <c r="D396">
        <v>2035</v>
      </c>
      <c r="E396" t="s">
        <v>4</v>
      </c>
    </row>
    <row r="397" spans="1:5" x14ac:dyDescent="0.2">
      <c r="A397">
        <v>92</v>
      </c>
      <c r="B397" t="s">
        <v>37</v>
      </c>
      <c r="C397">
        <v>18.82</v>
      </c>
      <c r="D397">
        <v>2035</v>
      </c>
      <c r="E397" t="s">
        <v>4</v>
      </c>
    </row>
    <row r="398" spans="1:5" x14ac:dyDescent="0.2">
      <c r="A398">
        <v>93</v>
      </c>
      <c r="B398" t="s">
        <v>37</v>
      </c>
      <c r="C398">
        <v>16.010000000000002</v>
      </c>
      <c r="D398">
        <v>2035</v>
      </c>
      <c r="E398" t="s">
        <v>4</v>
      </c>
    </row>
    <row r="399" spans="1:5" x14ac:dyDescent="0.2">
      <c r="A399">
        <v>94</v>
      </c>
      <c r="B399" t="s">
        <v>37</v>
      </c>
      <c r="C399">
        <v>11.97</v>
      </c>
      <c r="D399">
        <v>2035</v>
      </c>
      <c r="E399" t="s">
        <v>4</v>
      </c>
    </row>
    <row r="400" spans="1:5" x14ac:dyDescent="0.2">
      <c r="A400">
        <v>95</v>
      </c>
      <c r="B400" t="s">
        <v>37</v>
      </c>
      <c r="C400">
        <v>9.14</v>
      </c>
      <c r="D400">
        <v>2035</v>
      </c>
      <c r="E400" t="s">
        <v>4</v>
      </c>
    </row>
    <row r="401" spans="1:5" x14ac:dyDescent="0.2">
      <c r="A401">
        <v>96</v>
      </c>
      <c r="B401" t="s">
        <v>37</v>
      </c>
      <c r="C401">
        <v>7.48</v>
      </c>
      <c r="D401">
        <v>2035</v>
      </c>
      <c r="E401" t="s">
        <v>4</v>
      </c>
    </row>
    <row r="402" spans="1:5" x14ac:dyDescent="0.2">
      <c r="A402">
        <v>97</v>
      </c>
      <c r="B402" t="s">
        <v>37</v>
      </c>
      <c r="C402">
        <v>5.66</v>
      </c>
      <c r="D402">
        <v>2035</v>
      </c>
      <c r="E402" t="s">
        <v>4</v>
      </c>
    </row>
    <row r="403" spans="1:5" x14ac:dyDescent="0.2">
      <c r="A403">
        <v>98</v>
      </c>
      <c r="B403" t="s">
        <v>37</v>
      </c>
      <c r="C403">
        <v>4.5</v>
      </c>
      <c r="D403">
        <v>2035</v>
      </c>
      <c r="E403" t="s">
        <v>4</v>
      </c>
    </row>
    <row r="404" spans="1:5" x14ac:dyDescent="0.2">
      <c r="A404">
        <v>99</v>
      </c>
      <c r="B404" t="s">
        <v>37</v>
      </c>
      <c r="C404">
        <v>2.61</v>
      </c>
      <c r="D404">
        <v>2035</v>
      </c>
      <c r="E404" t="s">
        <v>4</v>
      </c>
    </row>
    <row r="405" spans="1:5" x14ac:dyDescent="0.2">
      <c r="A405">
        <v>100</v>
      </c>
      <c r="B405" t="s">
        <v>37</v>
      </c>
      <c r="C405">
        <v>1.93</v>
      </c>
      <c r="D405">
        <v>2035</v>
      </c>
      <c r="E405" t="s">
        <v>4</v>
      </c>
    </row>
    <row r="406" spans="1:5" x14ac:dyDescent="0.2">
      <c r="A406">
        <v>0</v>
      </c>
      <c r="B406" t="s">
        <v>38</v>
      </c>
      <c r="C406">
        <v>41.05</v>
      </c>
      <c r="D406">
        <v>2035</v>
      </c>
      <c r="E406" t="s">
        <v>4</v>
      </c>
    </row>
    <row r="407" spans="1:5" x14ac:dyDescent="0.2">
      <c r="A407">
        <v>1</v>
      </c>
      <c r="B407" t="s">
        <v>38</v>
      </c>
      <c r="C407">
        <v>41.45</v>
      </c>
      <c r="D407">
        <v>2035</v>
      </c>
      <c r="E407" t="s">
        <v>4</v>
      </c>
    </row>
    <row r="408" spans="1:5" x14ac:dyDescent="0.2">
      <c r="A408">
        <v>2</v>
      </c>
      <c r="B408" t="s">
        <v>38</v>
      </c>
      <c r="C408">
        <v>41.74</v>
      </c>
      <c r="D408">
        <v>2035</v>
      </c>
      <c r="E408" t="s">
        <v>4</v>
      </c>
    </row>
    <row r="409" spans="1:5" x14ac:dyDescent="0.2">
      <c r="A409">
        <v>3</v>
      </c>
      <c r="B409" t="s">
        <v>38</v>
      </c>
      <c r="C409">
        <v>41.67</v>
      </c>
      <c r="D409">
        <v>2035</v>
      </c>
      <c r="E409" t="s">
        <v>4</v>
      </c>
    </row>
    <row r="410" spans="1:5" x14ac:dyDescent="0.2">
      <c r="A410">
        <v>4</v>
      </c>
      <c r="B410" t="s">
        <v>38</v>
      </c>
      <c r="C410">
        <v>42.65</v>
      </c>
      <c r="D410">
        <v>2035</v>
      </c>
      <c r="E410" t="s">
        <v>4</v>
      </c>
    </row>
    <row r="411" spans="1:5" x14ac:dyDescent="0.2">
      <c r="A411">
        <v>5</v>
      </c>
      <c r="B411" t="s">
        <v>38</v>
      </c>
      <c r="C411">
        <v>43.74</v>
      </c>
      <c r="D411">
        <v>2035</v>
      </c>
      <c r="E411" t="s">
        <v>4</v>
      </c>
    </row>
    <row r="412" spans="1:5" x14ac:dyDescent="0.2">
      <c r="A412">
        <v>6</v>
      </c>
      <c r="B412" t="s">
        <v>38</v>
      </c>
      <c r="C412">
        <v>45.47</v>
      </c>
      <c r="D412">
        <v>2035</v>
      </c>
      <c r="E412" t="s">
        <v>4</v>
      </c>
    </row>
    <row r="413" spans="1:5" x14ac:dyDescent="0.2">
      <c r="A413">
        <v>7</v>
      </c>
      <c r="B413" t="s">
        <v>38</v>
      </c>
      <c r="C413">
        <v>47.61</v>
      </c>
      <c r="D413">
        <v>2035</v>
      </c>
      <c r="E413" t="s">
        <v>4</v>
      </c>
    </row>
    <row r="414" spans="1:5" x14ac:dyDescent="0.2">
      <c r="A414">
        <v>8</v>
      </c>
      <c r="B414" t="s">
        <v>38</v>
      </c>
      <c r="C414">
        <v>49.82</v>
      </c>
      <c r="D414">
        <v>2035</v>
      </c>
      <c r="E414" t="s">
        <v>4</v>
      </c>
    </row>
    <row r="415" spans="1:5" x14ac:dyDescent="0.2">
      <c r="A415">
        <v>9</v>
      </c>
      <c r="B415" t="s">
        <v>38</v>
      </c>
      <c r="C415">
        <v>52.8</v>
      </c>
      <c r="D415">
        <v>2035</v>
      </c>
      <c r="E415" t="s">
        <v>4</v>
      </c>
    </row>
    <row r="416" spans="1:5" x14ac:dyDescent="0.2">
      <c r="A416">
        <v>10</v>
      </c>
      <c r="B416" t="s">
        <v>38</v>
      </c>
      <c r="C416">
        <v>54.61</v>
      </c>
      <c r="D416">
        <v>2035</v>
      </c>
      <c r="E416" t="s">
        <v>4</v>
      </c>
    </row>
    <row r="417" spans="1:5" x14ac:dyDescent="0.2">
      <c r="A417">
        <v>11</v>
      </c>
      <c r="B417" t="s">
        <v>38</v>
      </c>
      <c r="C417">
        <v>55.55</v>
      </c>
      <c r="D417">
        <v>2035</v>
      </c>
      <c r="E417" t="s">
        <v>4</v>
      </c>
    </row>
    <row r="418" spans="1:5" x14ac:dyDescent="0.2">
      <c r="A418">
        <v>12</v>
      </c>
      <c r="B418" t="s">
        <v>38</v>
      </c>
      <c r="C418">
        <v>56.27</v>
      </c>
      <c r="D418">
        <v>2035</v>
      </c>
      <c r="E418" t="s">
        <v>4</v>
      </c>
    </row>
    <row r="419" spans="1:5" x14ac:dyDescent="0.2">
      <c r="A419">
        <v>13</v>
      </c>
      <c r="B419" t="s">
        <v>38</v>
      </c>
      <c r="C419">
        <v>56.95</v>
      </c>
      <c r="D419">
        <v>2035</v>
      </c>
      <c r="E419" t="s">
        <v>4</v>
      </c>
    </row>
    <row r="420" spans="1:5" x14ac:dyDescent="0.2">
      <c r="A420">
        <v>14</v>
      </c>
      <c r="B420" t="s">
        <v>38</v>
      </c>
      <c r="C420">
        <v>57.35</v>
      </c>
      <c r="D420">
        <v>2035</v>
      </c>
      <c r="E420" t="s">
        <v>4</v>
      </c>
    </row>
    <row r="421" spans="1:5" x14ac:dyDescent="0.2">
      <c r="A421">
        <v>15</v>
      </c>
      <c r="B421" t="s">
        <v>38</v>
      </c>
      <c r="C421">
        <v>58.03</v>
      </c>
      <c r="D421">
        <v>2035</v>
      </c>
      <c r="E421" t="s">
        <v>4</v>
      </c>
    </row>
    <row r="422" spans="1:5" x14ac:dyDescent="0.2">
      <c r="A422">
        <v>16</v>
      </c>
      <c r="B422" t="s">
        <v>38</v>
      </c>
      <c r="C422">
        <v>59.13</v>
      </c>
      <c r="D422">
        <v>2035</v>
      </c>
      <c r="E422" t="s">
        <v>4</v>
      </c>
    </row>
    <row r="423" spans="1:5" x14ac:dyDescent="0.2">
      <c r="A423">
        <v>17</v>
      </c>
      <c r="B423" t="s">
        <v>38</v>
      </c>
      <c r="C423">
        <v>61.03</v>
      </c>
      <c r="D423">
        <v>2035</v>
      </c>
      <c r="E423" t="s">
        <v>4</v>
      </c>
    </row>
    <row r="424" spans="1:5" x14ac:dyDescent="0.2">
      <c r="A424">
        <v>18</v>
      </c>
      <c r="B424" t="s">
        <v>38</v>
      </c>
      <c r="C424">
        <v>62.44</v>
      </c>
      <c r="D424">
        <v>2035</v>
      </c>
      <c r="E424" t="s">
        <v>4</v>
      </c>
    </row>
    <row r="425" spans="1:5" x14ac:dyDescent="0.2">
      <c r="A425">
        <v>19</v>
      </c>
      <c r="B425" t="s">
        <v>38</v>
      </c>
      <c r="C425">
        <v>62.08</v>
      </c>
      <c r="D425">
        <v>2035</v>
      </c>
      <c r="E425" t="s">
        <v>4</v>
      </c>
    </row>
    <row r="426" spans="1:5" x14ac:dyDescent="0.2">
      <c r="A426">
        <v>20</v>
      </c>
      <c r="B426" t="s">
        <v>38</v>
      </c>
      <c r="C426">
        <v>63.11</v>
      </c>
      <c r="D426">
        <v>2035</v>
      </c>
      <c r="E426" t="s">
        <v>4</v>
      </c>
    </row>
    <row r="427" spans="1:5" x14ac:dyDescent="0.2">
      <c r="A427">
        <v>21</v>
      </c>
      <c r="B427" t="s">
        <v>38</v>
      </c>
      <c r="C427">
        <v>63.26</v>
      </c>
      <c r="D427">
        <v>2035</v>
      </c>
      <c r="E427" t="s">
        <v>4</v>
      </c>
    </row>
    <row r="428" spans="1:5" x14ac:dyDescent="0.2">
      <c r="A428">
        <v>22</v>
      </c>
      <c r="B428" t="s">
        <v>38</v>
      </c>
      <c r="C428">
        <v>63.42</v>
      </c>
      <c r="D428">
        <v>2035</v>
      </c>
      <c r="E428" t="s">
        <v>4</v>
      </c>
    </row>
    <row r="429" spans="1:5" x14ac:dyDescent="0.2">
      <c r="A429">
        <v>23</v>
      </c>
      <c r="B429" t="s">
        <v>38</v>
      </c>
      <c r="C429">
        <v>62.87</v>
      </c>
      <c r="D429">
        <v>2035</v>
      </c>
      <c r="E429" t="s">
        <v>4</v>
      </c>
    </row>
    <row r="430" spans="1:5" x14ac:dyDescent="0.2">
      <c r="A430">
        <v>24</v>
      </c>
      <c r="B430" t="s">
        <v>38</v>
      </c>
      <c r="C430">
        <v>31.66</v>
      </c>
      <c r="D430">
        <v>2035</v>
      </c>
      <c r="E430" t="s">
        <v>4</v>
      </c>
    </row>
    <row r="431" spans="1:5" x14ac:dyDescent="0.2">
      <c r="A431">
        <v>25</v>
      </c>
      <c r="B431" t="s">
        <v>38</v>
      </c>
      <c r="C431">
        <v>38.57</v>
      </c>
      <c r="D431">
        <v>2035</v>
      </c>
      <c r="E431" t="s">
        <v>4</v>
      </c>
    </row>
    <row r="432" spans="1:5" x14ac:dyDescent="0.2">
      <c r="A432">
        <v>26</v>
      </c>
      <c r="B432" t="s">
        <v>38</v>
      </c>
      <c r="C432">
        <v>39.22</v>
      </c>
      <c r="D432">
        <v>2035</v>
      </c>
      <c r="E432" t="s">
        <v>4</v>
      </c>
    </row>
    <row r="433" spans="1:5" x14ac:dyDescent="0.2">
      <c r="A433">
        <v>27</v>
      </c>
      <c r="B433" t="s">
        <v>38</v>
      </c>
      <c r="C433">
        <v>37.799999999999997</v>
      </c>
      <c r="D433">
        <v>2035</v>
      </c>
      <c r="E433" t="s">
        <v>4</v>
      </c>
    </row>
    <row r="434" spans="1:5" x14ac:dyDescent="0.2">
      <c r="A434">
        <v>28</v>
      </c>
      <c r="B434" t="s">
        <v>38</v>
      </c>
      <c r="C434">
        <v>33.07</v>
      </c>
      <c r="D434">
        <v>2035</v>
      </c>
      <c r="E434" t="s">
        <v>4</v>
      </c>
    </row>
    <row r="435" spans="1:5" x14ac:dyDescent="0.2">
      <c r="A435">
        <v>29</v>
      </c>
      <c r="B435" t="s">
        <v>38</v>
      </c>
      <c r="C435">
        <v>42.35</v>
      </c>
      <c r="D435">
        <v>2035</v>
      </c>
      <c r="E435" t="s">
        <v>4</v>
      </c>
    </row>
    <row r="436" spans="1:5" x14ac:dyDescent="0.2">
      <c r="A436">
        <v>30</v>
      </c>
      <c r="B436" t="s">
        <v>38</v>
      </c>
      <c r="C436">
        <v>44.78</v>
      </c>
      <c r="D436">
        <v>2035</v>
      </c>
      <c r="E436" t="s">
        <v>4</v>
      </c>
    </row>
    <row r="437" spans="1:5" x14ac:dyDescent="0.2">
      <c r="A437">
        <v>31</v>
      </c>
      <c r="B437" t="s">
        <v>38</v>
      </c>
      <c r="C437">
        <v>45.83</v>
      </c>
      <c r="D437">
        <v>2035</v>
      </c>
      <c r="E437" t="s">
        <v>4</v>
      </c>
    </row>
    <row r="438" spans="1:5" x14ac:dyDescent="0.2">
      <c r="A438">
        <v>32</v>
      </c>
      <c r="B438" t="s">
        <v>38</v>
      </c>
      <c r="C438">
        <v>47.09</v>
      </c>
      <c r="D438">
        <v>2035</v>
      </c>
      <c r="E438" t="s">
        <v>4</v>
      </c>
    </row>
    <row r="439" spans="1:5" x14ac:dyDescent="0.2">
      <c r="A439">
        <v>33</v>
      </c>
      <c r="B439" t="s">
        <v>38</v>
      </c>
      <c r="C439">
        <v>37.96</v>
      </c>
      <c r="D439">
        <v>2035</v>
      </c>
      <c r="E439" t="s">
        <v>4</v>
      </c>
    </row>
    <row r="440" spans="1:5" x14ac:dyDescent="0.2">
      <c r="A440">
        <v>34</v>
      </c>
      <c r="B440" t="s">
        <v>38</v>
      </c>
      <c r="C440">
        <v>38.659999999999997</v>
      </c>
      <c r="D440">
        <v>2035</v>
      </c>
      <c r="E440" t="s">
        <v>4</v>
      </c>
    </row>
    <row r="441" spans="1:5" x14ac:dyDescent="0.2">
      <c r="A441">
        <v>35</v>
      </c>
      <c r="B441" t="s">
        <v>38</v>
      </c>
      <c r="C441">
        <v>33.53</v>
      </c>
      <c r="D441">
        <v>2035</v>
      </c>
      <c r="E441" t="s">
        <v>4</v>
      </c>
    </row>
    <row r="442" spans="1:5" x14ac:dyDescent="0.2">
      <c r="A442">
        <v>36</v>
      </c>
      <c r="B442" t="s">
        <v>38</v>
      </c>
      <c r="C442">
        <v>30.62</v>
      </c>
      <c r="D442">
        <v>2035</v>
      </c>
      <c r="E442" t="s">
        <v>4</v>
      </c>
    </row>
    <row r="443" spans="1:5" x14ac:dyDescent="0.2">
      <c r="A443">
        <v>37</v>
      </c>
      <c r="B443" t="s">
        <v>38</v>
      </c>
      <c r="C443">
        <v>25.77</v>
      </c>
      <c r="D443">
        <v>2035</v>
      </c>
      <c r="E443" t="s">
        <v>4</v>
      </c>
    </row>
    <row r="444" spans="1:5" x14ac:dyDescent="0.2">
      <c r="A444">
        <v>38</v>
      </c>
      <c r="B444" t="s">
        <v>38</v>
      </c>
      <c r="C444">
        <v>33.83</v>
      </c>
      <c r="D444">
        <v>2035</v>
      </c>
      <c r="E444" t="s">
        <v>4</v>
      </c>
    </row>
    <row r="445" spans="1:5" x14ac:dyDescent="0.2">
      <c r="A445">
        <v>39</v>
      </c>
      <c r="B445" t="s">
        <v>38</v>
      </c>
      <c r="C445">
        <v>36.4</v>
      </c>
      <c r="D445">
        <v>2035</v>
      </c>
      <c r="E445" t="s">
        <v>4</v>
      </c>
    </row>
    <row r="446" spans="1:5" x14ac:dyDescent="0.2">
      <c r="A446">
        <v>40</v>
      </c>
      <c r="B446" t="s">
        <v>38</v>
      </c>
      <c r="C446">
        <v>33.49</v>
      </c>
      <c r="D446">
        <v>2035</v>
      </c>
      <c r="E446" t="s">
        <v>4</v>
      </c>
    </row>
    <row r="447" spans="1:5" x14ac:dyDescent="0.2">
      <c r="A447">
        <v>41</v>
      </c>
      <c r="B447" t="s">
        <v>38</v>
      </c>
      <c r="C447">
        <v>41.77</v>
      </c>
      <c r="D447">
        <v>2035</v>
      </c>
      <c r="E447" t="s">
        <v>4</v>
      </c>
    </row>
    <row r="448" spans="1:5" x14ac:dyDescent="0.2">
      <c r="A448">
        <v>42</v>
      </c>
      <c r="B448" t="s">
        <v>38</v>
      </c>
      <c r="C448">
        <v>47.89</v>
      </c>
      <c r="D448">
        <v>2035</v>
      </c>
      <c r="E448" t="s">
        <v>4</v>
      </c>
    </row>
    <row r="449" spans="1:5" x14ac:dyDescent="0.2">
      <c r="A449">
        <v>43</v>
      </c>
      <c r="B449" t="s">
        <v>38</v>
      </c>
      <c r="C449">
        <v>48.67</v>
      </c>
      <c r="D449">
        <v>2035</v>
      </c>
      <c r="E449" t="s">
        <v>4</v>
      </c>
    </row>
    <row r="450" spans="1:5" x14ac:dyDescent="0.2">
      <c r="A450">
        <v>44</v>
      </c>
      <c r="B450" t="s">
        <v>38</v>
      </c>
      <c r="C450">
        <v>36.31</v>
      </c>
      <c r="D450">
        <v>2035</v>
      </c>
      <c r="E450" t="s">
        <v>4</v>
      </c>
    </row>
    <row r="451" spans="1:5" x14ac:dyDescent="0.2">
      <c r="A451">
        <v>45</v>
      </c>
      <c r="B451" t="s">
        <v>38</v>
      </c>
      <c r="C451">
        <v>43.32</v>
      </c>
      <c r="D451">
        <v>2035</v>
      </c>
      <c r="E451" t="s">
        <v>4</v>
      </c>
    </row>
    <row r="452" spans="1:5" x14ac:dyDescent="0.2">
      <c r="A452">
        <v>46</v>
      </c>
      <c r="B452" t="s">
        <v>38</v>
      </c>
      <c r="C452">
        <v>39.85</v>
      </c>
      <c r="D452">
        <v>2035</v>
      </c>
      <c r="E452" t="s">
        <v>4</v>
      </c>
    </row>
    <row r="453" spans="1:5" x14ac:dyDescent="0.2">
      <c r="A453">
        <v>47</v>
      </c>
      <c r="B453" t="s">
        <v>38</v>
      </c>
      <c r="C453">
        <v>41.91</v>
      </c>
      <c r="D453">
        <v>2035</v>
      </c>
      <c r="E453" t="s">
        <v>4</v>
      </c>
    </row>
    <row r="454" spans="1:5" x14ac:dyDescent="0.2">
      <c r="A454">
        <v>48</v>
      </c>
      <c r="B454" t="s">
        <v>38</v>
      </c>
      <c r="C454">
        <v>31.59</v>
      </c>
      <c r="D454">
        <v>2035</v>
      </c>
      <c r="E454" t="s">
        <v>4</v>
      </c>
    </row>
    <row r="455" spans="1:5" x14ac:dyDescent="0.2">
      <c r="A455">
        <v>49</v>
      </c>
      <c r="B455" t="s">
        <v>38</v>
      </c>
      <c r="C455">
        <v>36.71</v>
      </c>
      <c r="D455">
        <v>2035</v>
      </c>
      <c r="E455" t="s">
        <v>4</v>
      </c>
    </row>
    <row r="456" spans="1:5" x14ac:dyDescent="0.2">
      <c r="A456">
        <v>50</v>
      </c>
      <c r="B456" t="s">
        <v>38</v>
      </c>
      <c r="C456">
        <v>37.01</v>
      </c>
      <c r="D456">
        <v>2035</v>
      </c>
      <c r="E456" t="s">
        <v>4</v>
      </c>
    </row>
    <row r="457" spans="1:5" x14ac:dyDescent="0.2">
      <c r="A457">
        <v>51</v>
      </c>
      <c r="B457" t="s">
        <v>38</v>
      </c>
      <c r="C457">
        <v>46.72</v>
      </c>
      <c r="D457">
        <v>2035</v>
      </c>
      <c r="E457" t="s">
        <v>4</v>
      </c>
    </row>
    <row r="458" spans="1:5" x14ac:dyDescent="0.2">
      <c r="A458">
        <v>52</v>
      </c>
      <c r="B458" t="s">
        <v>38</v>
      </c>
      <c r="C458">
        <v>29.89</v>
      </c>
      <c r="D458">
        <v>2035</v>
      </c>
      <c r="E458" t="s">
        <v>4</v>
      </c>
    </row>
    <row r="459" spans="1:5" x14ac:dyDescent="0.2">
      <c r="A459">
        <v>53</v>
      </c>
      <c r="B459" t="s">
        <v>38</v>
      </c>
      <c r="C459">
        <v>27.77</v>
      </c>
      <c r="D459">
        <v>2035</v>
      </c>
      <c r="E459" t="s">
        <v>4</v>
      </c>
    </row>
    <row r="460" spans="1:5" x14ac:dyDescent="0.2">
      <c r="A460">
        <v>54</v>
      </c>
      <c r="B460" t="s">
        <v>38</v>
      </c>
      <c r="C460">
        <v>39.82</v>
      </c>
      <c r="D460">
        <v>2035</v>
      </c>
      <c r="E460" t="s">
        <v>4</v>
      </c>
    </row>
    <row r="461" spans="1:5" x14ac:dyDescent="0.2">
      <c r="A461">
        <v>55</v>
      </c>
      <c r="B461" t="s">
        <v>38</v>
      </c>
      <c r="C461">
        <v>34.630000000000003</v>
      </c>
      <c r="D461">
        <v>2035</v>
      </c>
      <c r="E461" t="s">
        <v>4</v>
      </c>
    </row>
    <row r="462" spans="1:5" x14ac:dyDescent="0.2">
      <c r="A462">
        <v>56</v>
      </c>
      <c r="B462" t="s">
        <v>38</v>
      </c>
      <c r="C462">
        <v>37.86</v>
      </c>
      <c r="D462">
        <v>2035</v>
      </c>
      <c r="E462" t="s">
        <v>4</v>
      </c>
    </row>
    <row r="463" spans="1:5" x14ac:dyDescent="0.2">
      <c r="A463">
        <v>57</v>
      </c>
      <c r="B463" t="s">
        <v>38</v>
      </c>
      <c r="C463">
        <v>36.35</v>
      </c>
      <c r="D463">
        <v>2035</v>
      </c>
      <c r="E463" t="s">
        <v>4</v>
      </c>
    </row>
    <row r="464" spans="1:5" x14ac:dyDescent="0.2">
      <c r="A464">
        <v>58</v>
      </c>
      <c r="B464" t="s">
        <v>38</v>
      </c>
      <c r="C464">
        <v>28.05</v>
      </c>
      <c r="D464">
        <v>2035</v>
      </c>
      <c r="E464" t="s">
        <v>4</v>
      </c>
    </row>
    <row r="465" spans="1:5" x14ac:dyDescent="0.2">
      <c r="A465">
        <v>59</v>
      </c>
      <c r="B465" t="s">
        <v>38</v>
      </c>
      <c r="C465">
        <v>34.619999999999997</v>
      </c>
      <c r="D465">
        <v>2035</v>
      </c>
      <c r="E465" t="s">
        <v>4</v>
      </c>
    </row>
    <row r="466" spans="1:5" x14ac:dyDescent="0.2">
      <c r="A466">
        <v>60</v>
      </c>
      <c r="B466" t="s">
        <v>38</v>
      </c>
      <c r="C466">
        <v>35.020000000000003</v>
      </c>
      <c r="D466">
        <v>2035</v>
      </c>
      <c r="E466" t="s">
        <v>4</v>
      </c>
    </row>
    <row r="467" spans="1:5" x14ac:dyDescent="0.2">
      <c r="A467">
        <v>61</v>
      </c>
      <c r="B467" t="s">
        <v>38</v>
      </c>
      <c r="C467">
        <v>32.86</v>
      </c>
      <c r="D467">
        <v>2035</v>
      </c>
      <c r="E467" t="s">
        <v>4</v>
      </c>
    </row>
    <row r="468" spans="1:5" x14ac:dyDescent="0.2">
      <c r="A468">
        <v>62</v>
      </c>
      <c r="B468" t="s">
        <v>38</v>
      </c>
      <c r="C468">
        <v>36.47</v>
      </c>
      <c r="D468">
        <v>2035</v>
      </c>
      <c r="E468" t="s">
        <v>4</v>
      </c>
    </row>
    <row r="469" spans="1:5" x14ac:dyDescent="0.2">
      <c r="A469">
        <v>63</v>
      </c>
      <c r="B469" t="s">
        <v>38</v>
      </c>
      <c r="C469">
        <v>32.44</v>
      </c>
      <c r="D469">
        <v>2035</v>
      </c>
      <c r="E469" t="s">
        <v>4</v>
      </c>
    </row>
    <row r="470" spans="1:5" x14ac:dyDescent="0.2">
      <c r="A470">
        <v>64</v>
      </c>
      <c r="B470" t="s">
        <v>38</v>
      </c>
      <c r="C470">
        <v>37.53</v>
      </c>
      <c r="D470">
        <v>2035</v>
      </c>
      <c r="E470" t="s">
        <v>4</v>
      </c>
    </row>
    <row r="471" spans="1:5" x14ac:dyDescent="0.2">
      <c r="A471">
        <v>65</v>
      </c>
      <c r="B471" t="s">
        <v>38</v>
      </c>
      <c r="C471">
        <v>37.32</v>
      </c>
      <c r="D471">
        <v>2035</v>
      </c>
      <c r="E471" t="s">
        <v>4</v>
      </c>
    </row>
    <row r="472" spans="1:5" x14ac:dyDescent="0.2">
      <c r="A472">
        <v>66</v>
      </c>
      <c r="B472" t="s">
        <v>38</v>
      </c>
      <c r="C472">
        <v>37.22</v>
      </c>
      <c r="D472">
        <v>2035</v>
      </c>
      <c r="E472" t="s">
        <v>4</v>
      </c>
    </row>
    <row r="473" spans="1:5" x14ac:dyDescent="0.2">
      <c r="A473">
        <v>67</v>
      </c>
      <c r="B473" t="s">
        <v>38</v>
      </c>
      <c r="C473">
        <v>31.34</v>
      </c>
      <c r="D473">
        <v>2035</v>
      </c>
      <c r="E473" t="s">
        <v>4</v>
      </c>
    </row>
    <row r="474" spans="1:5" x14ac:dyDescent="0.2">
      <c r="A474">
        <v>68</v>
      </c>
      <c r="B474" t="s">
        <v>38</v>
      </c>
      <c r="C474">
        <v>30.14</v>
      </c>
      <c r="D474">
        <v>2035</v>
      </c>
      <c r="E474" t="s">
        <v>4</v>
      </c>
    </row>
    <row r="475" spans="1:5" x14ac:dyDescent="0.2">
      <c r="A475">
        <v>69</v>
      </c>
      <c r="B475" t="s">
        <v>38</v>
      </c>
      <c r="C475">
        <v>28.33</v>
      </c>
      <c r="D475">
        <v>2035</v>
      </c>
      <c r="E475" t="s">
        <v>4</v>
      </c>
    </row>
    <row r="476" spans="1:5" x14ac:dyDescent="0.2">
      <c r="A476">
        <v>70</v>
      </c>
      <c r="B476" t="s">
        <v>38</v>
      </c>
      <c r="C476">
        <v>37.46</v>
      </c>
      <c r="D476">
        <v>2035</v>
      </c>
      <c r="E476" t="s">
        <v>4</v>
      </c>
    </row>
    <row r="477" spans="1:5" x14ac:dyDescent="0.2">
      <c r="A477">
        <v>71</v>
      </c>
      <c r="B477" t="s">
        <v>38</v>
      </c>
      <c r="C477">
        <v>44.71</v>
      </c>
      <c r="D477">
        <v>2035</v>
      </c>
      <c r="E477" t="s">
        <v>4</v>
      </c>
    </row>
    <row r="478" spans="1:5" x14ac:dyDescent="0.2">
      <c r="A478">
        <v>72</v>
      </c>
      <c r="B478" t="s">
        <v>38</v>
      </c>
      <c r="C478">
        <v>40.15</v>
      </c>
      <c r="D478">
        <v>2035</v>
      </c>
      <c r="E478" t="s">
        <v>4</v>
      </c>
    </row>
    <row r="479" spans="1:5" x14ac:dyDescent="0.2">
      <c r="A479">
        <v>73</v>
      </c>
      <c r="B479" t="s">
        <v>38</v>
      </c>
      <c r="C479">
        <v>27.67</v>
      </c>
      <c r="D479">
        <v>2035</v>
      </c>
      <c r="E479" t="s">
        <v>4</v>
      </c>
    </row>
    <row r="480" spans="1:5" x14ac:dyDescent="0.2">
      <c r="A480">
        <v>74</v>
      </c>
      <c r="B480" t="s">
        <v>38</v>
      </c>
      <c r="C480">
        <v>24.94</v>
      </c>
      <c r="D480">
        <v>2035</v>
      </c>
      <c r="E480" t="s">
        <v>4</v>
      </c>
    </row>
    <row r="481" spans="1:5" x14ac:dyDescent="0.2">
      <c r="A481">
        <v>75</v>
      </c>
      <c r="B481" t="s">
        <v>38</v>
      </c>
      <c r="C481">
        <v>37.01</v>
      </c>
      <c r="D481">
        <v>2035</v>
      </c>
      <c r="E481" t="s">
        <v>4</v>
      </c>
    </row>
    <row r="482" spans="1:5" x14ac:dyDescent="0.2">
      <c r="A482">
        <v>76</v>
      </c>
      <c r="B482" t="s">
        <v>38</v>
      </c>
      <c r="C482">
        <v>35.54</v>
      </c>
      <c r="D482">
        <v>2035</v>
      </c>
      <c r="E482" t="s">
        <v>4</v>
      </c>
    </row>
    <row r="483" spans="1:5" x14ac:dyDescent="0.2">
      <c r="A483">
        <v>77</v>
      </c>
      <c r="B483" t="s">
        <v>38</v>
      </c>
      <c r="C483">
        <v>31.63</v>
      </c>
      <c r="D483">
        <v>2035</v>
      </c>
      <c r="E483" t="s">
        <v>4</v>
      </c>
    </row>
    <row r="484" spans="1:5" x14ac:dyDescent="0.2">
      <c r="A484">
        <v>78</v>
      </c>
      <c r="B484" t="s">
        <v>38</v>
      </c>
      <c r="C484">
        <v>29.85</v>
      </c>
      <c r="D484">
        <v>2035</v>
      </c>
      <c r="E484" t="s">
        <v>4</v>
      </c>
    </row>
    <row r="485" spans="1:5" x14ac:dyDescent="0.2">
      <c r="A485">
        <v>79</v>
      </c>
      <c r="B485" t="s">
        <v>38</v>
      </c>
      <c r="C485">
        <v>28.37</v>
      </c>
      <c r="D485">
        <v>2035</v>
      </c>
      <c r="E485" t="s">
        <v>4</v>
      </c>
    </row>
    <row r="486" spans="1:5" x14ac:dyDescent="0.2">
      <c r="A486">
        <v>80</v>
      </c>
      <c r="B486" t="s">
        <v>38</v>
      </c>
      <c r="C486">
        <v>24.64</v>
      </c>
      <c r="D486">
        <v>2035</v>
      </c>
      <c r="E486" t="s">
        <v>4</v>
      </c>
    </row>
    <row r="487" spans="1:5" x14ac:dyDescent="0.2">
      <c r="A487">
        <v>81</v>
      </c>
      <c r="B487" t="s">
        <v>38</v>
      </c>
      <c r="C487">
        <v>22.73</v>
      </c>
      <c r="D487">
        <v>2035</v>
      </c>
      <c r="E487" t="s">
        <v>4</v>
      </c>
    </row>
    <row r="488" spans="1:5" x14ac:dyDescent="0.2">
      <c r="A488">
        <v>82</v>
      </c>
      <c r="B488" t="s">
        <v>38</v>
      </c>
      <c r="C488">
        <v>23.08</v>
      </c>
      <c r="D488">
        <v>2035</v>
      </c>
      <c r="E488" t="s">
        <v>4</v>
      </c>
    </row>
    <row r="489" spans="1:5" x14ac:dyDescent="0.2">
      <c r="A489">
        <v>83</v>
      </c>
      <c r="B489" t="s">
        <v>38</v>
      </c>
      <c r="C489">
        <v>20.97</v>
      </c>
      <c r="D489">
        <v>2035</v>
      </c>
      <c r="E489" t="s">
        <v>4</v>
      </c>
    </row>
    <row r="490" spans="1:5" x14ac:dyDescent="0.2">
      <c r="A490">
        <v>84</v>
      </c>
      <c r="B490" t="s">
        <v>38</v>
      </c>
      <c r="C490">
        <v>17.89</v>
      </c>
      <c r="D490">
        <v>2035</v>
      </c>
      <c r="E490" t="s">
        <v>4</v>
      </c>
    </row>
    <row r="491" spans="1:5" x14ac:dyDescent="0.2">
      <c r="A491">
        <v>85</v>
      </c>
      <c r="B491" t="s">
        <v>38</v>
      </c>
      <c r="C491">
        <v>15.45</v>
      </c>
      <c r="D491">
        <v>2035</v>
      </c>
      <c r="E491" t="s">
        <v>4</v>
      </c>
    </row>
    <row r="492" spans="1:5" x14ac:dyDescent="0.2">
      <c r="A492">
        <v>86</v>
      </c>
      <c r="B492" t="s">
        <v>38</v>
      </c>
      <c r="C492">
        <v>15.62</v>
      </c>
      <c r="D492">
        <v>2035</v>
      </c>
      <c r="E492" t="s">
        <v>4</v>
      </c>
    </row>
    <row r="493" spans="1:5" x14ac:dyDescent="0.2">
      <c r="A493">
        <v>87</v>
      </c>
      <c r="B493" t="s">
        <v>38</v>
      </c>
      <c r="C493">
        <v>12.24</v>
      </c>
      <c r="D493">
        <v>2035</v>
      </c>
      <c r="E493" t="s">
        <v>4</v>
      </c>
    </row>
    <row r="494" spans="1:5" x14ac:dyDescent="0.2">
      <c r="A494">
        <v>88</v>
      </c>
      <c r="B494" t="s">
        <v>38</v>
      </c>
      <c r="C494">
        <v>11.4</v>
      </c>
      <c r="D494">
        <v>2035</v>
      </c>
      <c r="E494" t="s">
        <v>4</v>
      </c>
    </row>
    <row r="495" spans="1:5" x14ac:dyDescent="0.2">
      <c r="A495">
        <v>89</v>
      </c>
      <c r="B495" t="s">
        <v>38</v>
      </c>
      <c r="C495">
        <v>9.11</v>
      </c>
      <c r="D495">
        <v>2035</v>
      </c>
      <c r="E495" t="s">
        <v>4</v>
      </c>
    </row>
    <row r="496" spans="1:5" x14ac:dyDescent="0.2">
      <c r="A496">
        <v>90</v>
      </c>
      <c r="B496" t="s">
        <v>38</v>
      </c>
      <c r="C496">
        <v>10.25</v>
      </c>
      <c r="D496">
        <v>2035</v>
      </c>
      <c r="E496" t="s">
        <v>4</v>
      </c>
    </row>
    <row r="497" spans="1:5" x14ac:dyDescent="0.2">
      <c r="A497">
        <v>91</v>
      </c>
      <c r="B497" t="s">
        <v>38</v>
      </c>
      <c r="C497">
        <v>7.71</v>
      </c>
      <c r="D497">
        <v>2035</v>
      </c>
      <c r="E497" t="s">
        <v>4</v>
      </c>
    </row>
    <row r="498" spans="1:5" x14ac:dyDescent="0.2">
      <c r="A498">
        <v>92</v>
      </c>
      <c r="B498" t="s">
        <v>38</v>
      </c>
      <c r="C498">
        <v>7.92</v>
      </c>
      <c r="D498">
        <v>2035</v>
      </c>
      <c r="E498" t="s">
        <v>4</v>
      </c>
    </row>
    <row r="499" spans="1:5" x14ac:dyDescent="0.2">
      <c r="A499">
        <v>93</v>
      </c>
      <c r="B499" t="s">
        <v>38</v>
      </c>
      <c r="C499">
        <v>6.36</v>
      </c>
      <c r="D499">
        <v>2035</v>
      </c>
      <c r="E499" t="s">
        <v>4</v>
      </c>
    </row>
    <row r="500" spans="1:5" x14ac:dyDescent="0.2">
      <c r="A500">
        <v>94</v>
      </c>
      <c r="B500" t="s">
        <v>38</v>
      </c>
      <c r="C500">
        <v>4.6399999999999997</v>
      </c>
      <c r="D500">
        <v>2035</v>
      </c>
      <c r="E500" t="s">
        <v>4</v>
      </c>
    </row>
    <row r="501" spans="1:5" x14ac:dyDescent="0.2">
      <c r="A501">
        <v>95</v>
      </c>
      <c r="B501" t="s">
        <v>38</v>
      </c>
      <c r="C501">
        <v>3.31</v>
      </c>
      <c r="D501">
        <v>2035</v>
      </c>
      <c r="E501" t="s">
        <v>4</v>
      </c>
    </row>
    <row r="502" spans="1:5" x14ac:dyDescent="0.2">
      <c r="A502">
        <v>96</v>
      </c>
      <c r="B502" t="s">
        <v>38</v>
      </c>
      <c r="C502">
        <v>2.77</v>
      </c>
      <c r="D502">
        <v>2035</v>
      </c>
      <c r="E502" t="s">
        <v>4</v>
      </c>
    </row>
    <row r="503" spans="1:5" x14ac:dyDescent="0.2">
      <c r="A503">
        <v>97</v>
      </c>
      <c r="B503" t="s">
        <v>38</v>
      </c>
      <c r="C503">
        <v>2.31</v>
      </c>
      <c r="D503">
        <v>2035</v>
      </c>
      <c r="E503" t="s">
        <v>4</v>
      </c>
    </row>
    <row r="504" spans="1:5" x14ac:dyDescent="0.2">
      <c r="A504">
        <v>98</v>
      </c>
      <c r="B504" t="s">
        <v>38</v>
      </c>
      <c r="C504">
        <v>1.1100000000000001</v>
      </c>
      <c r="D504">
        <v>2035</v>
      </c>
      <c r="E504" t="s">
        <v>4</v>
      </c>
    </row>
    <row r="505" spans="1:5" x14ac:dyDescent="0.2">
      <c r="A505">
        <v>99</v>
      </c>
      <c r="B505" t="s">
        <v>38</v>
      </c>
      <c r="C505">
        <v>1.28</v>
      </c>
      <c r="D505">
        <v>2035</v>
      </c>
      <c r="E505" t="s">
        <v>4</v>
      </c>
    </row>
    <row r="506" spans="1:5" x14ac:dyDescent="0.2">
      <c r="A506">
        <v>100</v>
      </c>
      <c r="B506" t="s">
        <v>38</v>
      </c>
      <c r="C506">
        <v>0.93</v>
      </c>
      <c r="D506">
        <v>2035</v>
      </c>
      <c r="E506" t="s">
        <v>4</v>
      </c>
    </row>
    <row r="507" spans="1:5" x14ac:dyDescent="0.2">
      <c r="A507">
        <v>0</v>
      </c>
      <c r="B507" t="s">
        <v>37</v>
      </c>
      <c r="C507">
        <v>44.98</v>
      </c>
      <c r="D507">
        <v>2035</v>
      </c>
      <c r="E507" t="s">
        <v>4</v>
      </c>
    </row>
    <row r="508" spans="1:5" x14ac:dyDescent="0.2">
      <c r="A508">
        <v>1</v>
      </c>
      <c r="B508" t="s">
        <v>37</v>
      </c>
      <c r="C508">
        <v>46.67</v>
      </c>
      <c r="D508">
        <v>2035</v>
      </c>
      <c r="E508" t="s">
        <v>4</v>
      </c>
    </row>
    <row r="509" spans="1:5" x14ac:dyDescent="0.2">
      <c r="A509">
        <v>2</v>
      </c>
      <c r="B509" t="s">
        <v>37</v>
      </c>
      <c r="C509">
        <v>48.87</v>
      </c>
      <c r="D509">
        <v>2035</v>
      </c>
      <c r="E509" t="s">
        <v>4</v>
      </c>
    </row>
    <row r="510" spans="1:5" x14ac:dyDescent="0.2">
      <c r="A510">
        <v>3</v>
      </c>
      <c r="B510" t="s">
        <v>37</v>
      </c>
      <c r="C510">
        <v>50.09</v>
      </c>
      <c r="D510">
        <v>2035</v>
      </c>
      <c r="E510" t="s">
        <v>4</v>
      </c>
    </row>
    <row r="511" spans="1:5" x14ac:dyDescent="0.2">
      <c r="A511">
        <v>4</v>
      </c>
      <c r="B511" t="s">
        <v>37</v>
      </c>
      <c r="C511">
        <v>52.57</v>
      </c>
      <c r="D511">
        <v>2035</v>
      </c>
      <c r="E511" t="s">
        <v>4</v>
      </c>
    </row>
    <row r="512" spans="1:5" x14ac:dyDescent="0.2">
      <c r="A512">
        <v>5</v>
      </c>
      <c r="B512" t="s">
        <v>37</v>
      </c>
      <c r="C512">
        <v>54.69</v>
      </c>
      <c r="D512">
        <v>2035</v>
      </c>
      <c r="E512" t="s">
        <v>4</v>
      </c>
    </row>
    <row r="513" spans="1:5" x14ac:dyDescent="0.2">
      <c r="A513">
        <v>6</v>
      </c>
      <c r="B513" t="s">
        <v>37</v>
      </c>
      <c r="C513">
        <v>57.08</v>
      </c>
      <c r="D513">
        <v>2035</v>
      </c>
      <c r="E513" t="s">
        <v>4</v>
      </c>
    </row>
    <row r="514" spans="1:5" x14ac:dyDescent="0.2">
      <c r="A514">
        <v>7</v>
      </c>
      <c r="B514" t="s">
        <v>37</v>
      </c>
      <c r="C514">
        <v>59.61</v>
      </c>
      <c r="D514">
        <v>2035</v>
      </c>
      <c r="E514" t="s">
        <v>4</v>
      </c>
    </row>
    <row r="515" spans="1:5" x14ac:dyDescent="0.2">
      <c r="A515">
        <v>8</v>
      </c>
      <c r="B515" t="s">
        <v>37</v>
      </c>
      <c r="C515">
        <v>62.01</v>
      </c>
      <c r="D515">
        <v>2035</v>
      </c>
      <c r="E515" t="s">
        <v>4</v>
      </c>
    </row>
    <row r="516" spans="1:5" x14ac:dyDescent="0.2">
      <c r="A516">
        <v>9</v>
      </c>
      <c r="B516" t="s">
        <v>37</v>
      </c>
      <c r="C516">
        <v>64.33</v>
      </c>
      <c r="D516">
        <v>2035</v>
      </c>
      <c r="E516" t="s">
        <v>4</v>
      </c>
    </row>
    <row r="517" spans="1:5" x14ac:dyDescent="0.2">
      <c r="A517">
        <v>10</v>
      </c>
      <c r="B517" t="s">
        <v>37</v>
      </c>
      <c r="C517">
        <v>65.739999999999995</v>
      </c>
      <c r="D517">
        <v>2035</v>
      </c>
      <c r="E517" t="s">
        <v>4</v>
      </c>
    </row>
    <row r="518" spans="1:5" x14ac:dyDescent="0.2">
      <c r="A518">
        <v>11</v>
      </c>
      <c r="B518" t="s">
        <v>37</v>
      </c>
      <c r="C518">
        <v>66.88</v>
      </c>
      <c r="D518">
        <v>2035</v>
      </c>
      <c r="E518" t="s">
        <v>4</v>
      </c>
    </row>
    <row r="519" spans="1:5" x14ac:dyDescent="0.2">
      <c r="A519">
        <v>12</v>
      </c>
      <c r="B519" t="s">
        <v>37</v>
      </c>
      <c r="C519">
        <v>67.84</v>
      </c>
      <c r="D519">
        <v>2035</v>
      </c>
      <c r="E519" t="s">
        <v>4</v>
      </c>
    </row>
    <row r="520" spans="1:5" x14ac:dyDescent="0.2">
      <c r="A520">
        <v>13</v>
      </c>
      <c r="B520" t="s">
        <v>37</v>
      </c>
      <c r="C520">
        <v>68.98</v>
      </c>
      <c r="D520">
        <v>2035</v>
      </c>
      <c r="E520" t="s">
        <v>4</v>
      </c>
    </row>
    <row r="521" spans="1:5" x14ac:dyDescent="0.2">
      <c r="A521">
        <v>14</v>
      </c>
      <c r="B521" t="s">
        <v>37</v>
      </c>
      <c r="C521">
        <v>69.5</v>
      </c>
      <c r="D521">
        <v>2035</v>
      </c>
      <c r="E521" t="s">
        <v>4</v>
      </c>
    </row>
    <row r="522" spans="1:5" x14ac:dyDescent="0.2">
      <c r="A522">
        <v>15</v>
      </c>
      <c r="B522" t="s">
        <v>37</v>
      </c>
      <c r="C522">
        <v>70.239999999999995</v>
      </c>
      <c r="D522">
        <v>2035</v>
      </c>
      <c r="E522" t="s">
        <v>4</v>
      </c>
    </row>
    <row r="523" spans="1:5" x14ac:dyDescent="0.2">
      <c r="A523">
        <v>16</v>
      </c>
      <c r="B523" t="s">
        <v>37</v>
      </c>
      <c r="C523">
        <v>71.680000000000007</v>
      </c>
      <c r="D523">
        <v>2035</v>
      </c>
      <c r="E523" t="s">
        <v>4</v>
      </c>
    </row>
    <row r="524" spans="1:5" x14ac:dyDescent="0.2">
      <c r="A524">
        <v>17</v>
      </c>
      <c r="B524" t="s">
        <v>37</v>
      </c>
      <c r="C524">
        <v>72.739999999999995</v>
      </c>
      <c r="D524">
        <v>2035</v>
      </c>
      <c r="E524" t="s">
        <v>4</v>
      </c>
    </row>
    <row r="525" spans="1:5" x14ac:dyDescent="0.2">
      <c r="A525">
        <v>18</v>
      </c>
      <c r="B525" t="s">
        <v>37</v>
      </c>
      <c r="C525">
        <v>74.09</v>
      </c>
      <c r="D525">
        <v>2035</v>
      </c>
      <c r="E525" t="s">
        <v>4</v>
      </c>
    </row>
    <row r="526" spans="1:5" x14ac:dyDescent="0.2">
      <c r="A526">
        <v>19</v>
      </c>
      <c r="B526" t="s">
        <v>37</v>
      </c>
      <c r="C526">
        <v>76.06</v>
      </c>
      <c r="D526">
        <v>2035</v>
      </c>
      <c r="E526" t="s">
        <v>4</v>
      </c>
    </row>
    <row r="527" spans="1:5" x14ac:dyDescent="0.2">
      <c r="A527">
        <v>20</v>
      </c>
      <c r="B527" t="s">
        <v>37</v>
      </c>
      <c r="C527">
        <v>76</v>
      </c>
      <c r="D527">
        <v>2035</v>
      </c>
      <c r="E527" t="s">
        <v>4</v>
      </c>
    </row>
    <row r="528" spans="1:5" x14ac:dyDescent="0.2">
      <c r="A528">
        <v>21</v>
      </c>
      <c r="B528" t="s">
        <v>37</v>
      </c>
      <c r="C528">
        <v>77.19</v>
      </c>
      <c r="D528">
        <v>2035</v>
      </c>
      <c r="E528" t="s">
        <v>4</v>
      </c>
    </row>
    <row r="529" spans="1:5" x14ac:dyDescent="0.2">
      <c r="A529">
        <v>22</v>
      </c>
      <c r="B529" t="s">
        <v>37</v>
      </c>
      <c r="C529">
        <v>76.86</v>
      </c>
      <c r="D529">
        <v>2035</v>
      </c>
      <c r="E529" t="s">
        <v>4</v>
      </c>
    </row>
    <row r="530" spans="1:5" x14ac:dyDescent="0.2">
      <c r="A530">
        <v>23</v>
      </c>
      <c r="B530" t="s">
        <v>37</v>
      </c>
      <c r="C530">
        <v>76.39</v>
      </c>
      <c r="D530">
        <v>2035</v>
      </c>
      <c r="E530" t="s">
        <v>4</v>
      </c>
    </row>
    <row r="531" spans="1:5" x14ac:dyDescent="0.2">
      <c r="A531">
        <v>24</v>
      </c>
      <c r="B531" t="s">
        <v>37</v>
      </c>
      <c r="C531">
        <v>38.58</v>
      </c>
      <c r="D531">
        <v>2035</v>
      </c>
      <c r="E531" t="s">
        <v>4</v>
      </c>
    </row>
    <row r="532" spans="1:5" x14ac:dyDescent="0.2">
      <c r="A532">
        <v>25</v>
      </c>
      <c r="B532" t="s">
        <v>37</v>
      </c>
      <c r="C532">
        <v>56.88</v>
      </c>
      <c r="D532">
        <v>2035</v>
      </c>
      <c r="E532" t="s">
        <v>4</v>
      </c>
    </row>
    <row r="533" spans="1:5" x14ac:dyDescent="0.2">
      <c r="A533">
        <v>26</v>
      </c>
      <c r="B533" t="s">
        <v>37</v>
      </c>
      <c r="C533">
        <v>51.58</v>
      </c>
      <c r="D533">
        <v>2035</v>
      </c>
      <c r="E533" t="s">
        <v>4</v>
      </c>
    </row>
    <row r="534" spans="1:5" x14ac:dyDescent="0.2">
      <c r="A534">
        <v>27</v>
      </c>
      <c r="B534" t="s">
        <v>37</v>
      </c>
      <c r="C534">
        <v>58.23</v>
      </c>
      <c r="D534">
        <v>2035</v>
      </c>
      <c r="E534" t="s">
        <v>4</v>
      </c>
    </row>
    <row r="535" spans="1:5" x14ac:dyDescent="0.2">
      <c r="A535">
        <v>28</v>
      </c>
      <c r="B535" t="s">
        <v>37</v>
      </c>
      <c r="C535">
        <v>54.66</v>
      </c>
      <c r="D535">
        <v>2035</v>
      </c>
      <c r="E535" t="s">
        <v>4</v>
      </c>
    </row>
    <row r="536" spans="1:5" x14ac:dyDescent="0.2">
      <c r="A536">
        <v>29</v>
      </c>
      <c r="B536" t="s">
        <v>37</v>
      </c>
      <c r="C536">
        <v>49</v>
      </c>
      <c r="D536">
        <v>2035</v>
      </c>
      <c r="E536" t="s">
        <v>4</v>
      </c>
    </row>
    <row r="537" spans="1:5" x14ac:dyDescent="0.2">
      <c r="A537">
        <v>30</v>
      </c>
      <c r="B537" t="s">
        <v>37</v>
      </c>
      <c r="C537">
        <v>41.79</v>
      </c>
      <c r="D537">
        <v>2035</v>
      </c>
      <c r="E537" t="s">
        <v>4</v>
      </c>
    </row>
    <row r="538" spans="1:5" x14ac:dyDescent="0.2">
      <c r="A538">
        <v>31</v>
      </c>
      <c r="B538" t="s">
        <v>37</v>
      </c>
      <c r="C538">
        <v>35.69</v>
      </c>
      <c r="D538">
        <v>2035</v>
      </c>
      <c r="E538" t="s">
        <v>4</v>
      </c>
    </row>
    <row r="539" spans="1:5" x14ac:dyDescent="0.2">
      <c r="A539">
        <v>32</v>
      </c>
      <c r="B539" t="s">
        <v>37</v>
      </c>
      <c r="C539">
        <v>33</v>
      </c>
      <c r="D539">
        <v>2035</v>
      </c>
      <c r="E539" t="s">
        <v>4</v>
      </c>
    </row>
    <row r="540" spans="1:5" x14ac:dyDescent="0.2">
      <c r="A540">
        <v>33</v>
      </c>
      <c r="B540" t="s">
        <v>37</v>
      </c>
      <c r="C540">
        <v>36.270000000000003</v>
      </c>
      <c r="D540">
        <v>2035</v>
      </c>
      <c r="E540" t="s">
        <v>4</v>
      </c>
    </row>
    <row r="541" spans="1:5" x14ac:dyDescent="0.2">
      <c r="A541">
        <v>34</v>
      </c>
      <c r="B541" t="s">
        <v>37</v>
      </c>
      <c r="C541">
        <v>41.04</v>
      </c>
      <c r="D541">
        <v>2035</v>
      </c>
      <c r="E541" t="s">
        <v>4</v>
      </c>
    </row>
    <row r="542" spans="1:5" x14ac:dyDescent="0.2">
      <c r="A542">
        <v>35</v>
      </c>
      <c r="B542" t="s">
        <v>37</v>
      </c>
      <c r="C542">
        <v>36.49</v>
      </c>
      <c r="D542">
        <v>2035</v>
      </c>
      <c r="E542" t="s">
        <v>4</v>
      </c>
    </row>
    <row r="543" spans="1:5" x14ac:dyDescent="0.2">
      <c r="A543">
        <v>36</v>
      </c>
      <c r="B543" t="s">
        <v>37</v>
      </c>
      <c r="C543">
        <v>40.58</v>
      </c>
      <c r="D543">
        <v>2035</v>
      </c>
      <c r="E543" t="s">
        <v>4</v>
      </c>
    </row>
    <row r="544" spans="1:5" x14ac:dyDescent="0.2">
      <c r="A544">
        <v>37</v>
      </c>
      <c r="B544" t="s">
        <v>37</v>
      </c>
      <c r="C544">
        <v>44.06</v>
      </c>
      <c r="D544">
        <v>2035</v>
      </c>
      <c r="E544" t="s">
        <v>4</v>
      </c>
    </row>
    <row r="545" spans="1:5" x14ac:dyDescent="0.2">
      <c r="A545">
        <v>38</v>
      </c>
      <c r="B545" t="s">
        <v>37</v>
      </c>
      <c r="C545">
        <v>44.61</v>
      </c>
      <c r="D545">
        <v>2035</v>
      </c>
      <c r="E545" t="s">
        <v>4</v>
      </c>
    </row>
    <row r="546" spans="1:5" x14ac:dyDescent="0.2">
      <c r="A546">
        <v>39</v>
      </c>
      <c r="B546" t="s">
        <v>37</v>
      </c>
      <c r="C546">
        <v>37.69</v>
      </c>
      <c r="D546">
        <v>2035</v>
      </c>
      <c r="E546" t="s">
        <v>4</v>
      </c>
    </row>
    <row r="547" spans="1:5" x14ac:dyDescent="0.2">
      <c r="A547">
        <v>40</v>
      </c>
      <c r="B547" t="s">
        <v>37</v>
      </c>
      <c r="C547">
        <v>46.56</v>
      </c>
      <c r="D547">
        <v>2035</v>
      </c>
      <c r="E547" t="s">
        <v>4</v>
      </c>
    </row>
    <row r="548" spans="1:5" x14ac:dyDescent="0.2">
      <c r="A548">
        <v>41</v>
      </c>
      <c r="B548" t="s">
        <v>37</v>
      </c>
      <c r="C548">
        <v>47.09</v>
      </c>
      <c r="D548">
        <v>2035</v>
      </c>
      <c r="E548" t="s">
        <v>4</v>
      </c>
    </row>
    <row r="549" spans="1:5" x14ac:dyDescent="0.2">
      <c r="A549">
        <v>42</v>
      </c>
      <c r="B549" t="s">
        <v>37</v>
      </c>
      <c r="C549">
        <v>50.45</v>
      </c>
      <c r="D549">
        <v>2035</v>
      </c>
      <c r="E549" t="s">
        <v>4</v>
      </c>
    </row>
    <row r="550" spans="1:5" x14ac:dyDescent="0.2">
      <c r="A550">
        <v>43</v>
      </c>
      <c r="B550" t="s">
        <v>37</v>
      </c>
      <c r="C550">
        <v>50.84</v>
      </c>
      <c r="D550">
        <v>2035</v>
      </c>
      <c r="E550" t="s">
        <v>4</v>
      </c>
    </row>
    <row r="551" spans="1:5" x14ac:dyDescent="0.2">
      <c r="A551">
        <v>44</v>
      </c>
      <c r="B551" t="s">
        <v>37</v>
      </c>
      <c r="C551">
        <v>32.31</v>
      </c>
      <c r="D551">
        <v>2035</v>
      </c>
      <c r="E551" t="s">
        <v>4</v>
      </c>
    </row>
    <row r="552" spans="1:5" x14ac:dyDescent="0.2">
      <c r="A552">
        <v>45</v>
      </c>
      <c r="B552" t="s">
        <v>37</v>
      </c>
      <c r="C552">
        <v>41.46</v>
      </c>
      <c r="D552">
        <v>2035</v>
      </c>
      <c r="E552" t="s">
        <v>4</v>
      </c>
    </row>
    <row r="553" spans="1:5" x14ac:dyDescent="0.2">
      <c r="A553">
        <v>46</v>
      </c>
      <c r="B553" t="s">
        <v>37</v>
      </c>
      <c r="C553">
        <v>37.58</v>
      </c>
      <c r="D553">
        <v>2035</v>
      </c>
      <c r="E553" t="s">
        <v>4</v>
      </c>
    </row>
    <row r="554" spans="1:5" x14ac:dyDescent="0.2">
      <c r="A554">
        <v>47</v>
      </c>
      <c r="B554" t="s">
        <v>37</v>
      </c>
      <c r="C554">
        <v>37.92</v>
      </c>
      <c r="D554">
        <v>2035</v>
      </c>
      <c r="E554" t="s">
        <v>4</v>
      </c>
    </row>
    <row r="555" spans="1:5" x14ac:dyDescent="0.2">
      <c r="A555">
        <v>48</v>
      </c>
      <c r="B555" t="s">
        <v>37</v>
      </c>
      <c r="C555">
        <v>38.380000000000003</v>
      </c>
      <c r="D555">
        <v>2035</v>
      </c>
      <c r="E555" t="s">
        <v>4</v>
      </c>
    </row>
    <row r="556" spans="1:5" x14ac:dyDescent="0.2">
      <c r="A556">
        <v>49</v>
      </c>
      <c r="B556" t="s">
        <v>37</v>
      </c>
      <c r="C556">
        <v>32.97</v>
      </c>
      <c r="D556">
        <v>2035</v>
      </c>
      <c r="E556" t="s">
        <v>4</v>
      </c>
    </row>
    <row r="557" spans="1:5" x14ac:dyDescent="0.2">
      <c r="A557">
        <v>50</v>
      </c>
      <c r="B557" t="s">
        <v>37</v>
      </c>
      <c r="C557">
        <v>33.75</v>
      </c>
      <c r="D557">
        <v>2035</v>
      </c>
      <c r="E557" t="s">
        <v>4</v>
      </c>
    </row>
    <row r="558" spans="1:5" x14ac:dyDescent="0.2">
      <c r="A558">
        <v>51</v>
      </c>
      <c r="B558" t="s">
        <v>37</v>
      </c>
      <c r="C558">
        <v>39.22</v>
      </c>
      <c r="D558">
        <v>2035</v>
      </c>
      <c r="E558" t="s">
        <v>4</v>
      </c>
    </row>
    <row r="559" spans="1:5" x14ac:dyDescent="0.2">
      <c r="A559">
        <v>52</v>
      </c>
      <c r="B559" t="s">
        <v>37</v>
      </c>
      <c r="C559">
        <v>43.01</v>
      </c>
      <c r="D559">
        <v>2035</v>
      </c>
      <c r="E559" t="s">
        <v>4</v>
      </c>
    </row>
    <row r="560" spans="1:5" x14ac:dyDescent="0.2">
      <c r="A560">
        <v>53</v>
      </c>
      <c r="B560" t="s">
        <v>37</v>
      </c>
      <c r="C560">
        <v>40.22</v>
      </c>
      <c r="D560">
        <v>2035</v>
      </c>
      <c r="E560" t="s">
        <v>4</v>
      </c>
    </row>
    <row r="561" spans="1:5" x14ac:dyDescent="0.2">
      <c r="A561">
        <v>54</v>
      </c>
      <c r="B561" t="s">
        <v>37</v>
      </c>
      <c r="C561">
        <v>33.92</v>
      </c>
      <c r="D561">
        <v>2035</v>
      </c>
      <c r="E561" t="s">
        <v>4</v>
      </c>
    </row>
    <row r="562" spans="1:5" x14ac:dyDescent="0.2">
      <c r="A562">
        <v>55</v>
      </c>
      <c r="B562" t="s">
        <v>37</v>
      </c>
      <c r="C562">
        <v>38.159999999999997</v>
      </c>
      <c r="D562">
        <v>2035</v>
      </c>
      <c r="E562" t="s">
        <v>4</v>
      </c>
    </row>
    <row r="563" spans="1:5" x14ac:dyDescent="0.2">
      <c r="A563">
        <v>56</v>
      </c>
      <c r="B563" t="s">
        <v>37</v>
      </c>
      <c r="C563">
        <v>34.799999999999997</v>
      </c>
      <c r="D563">
        <v>2035</v>
      </c>
      <c r="E563" t="s">
        <v>4</v>
      </c>
    </row>
    <row r="564" spans="1:5" x14ac:dyDescent="0.2">
      <c r="A564">
        <v>57</v>
      </c>
      <c r="B564" t="s">
        <v>37</v>
      </c>
      <c r="C564">
        <v>35.880000000000003</v>
      </c>
      <c r="D564">
        <v>2035</v>
      </c>
      <c r="E564" t="s">
        <v>4</v>
      </c>
    </row>
    <row r="565" spans="1:5" x14ac:dyDescent="0.2">
      <c r="A565">
        <v>58</v>
      </c>
      <c r="B565" t="s">
        <v>37</v>
      </c>
      <c r="C565">
        <v>32.24</v>
      </c>
      <c r="D565">
        <v>2035</v>
      </c>
      <c r="E565" t="s">
        <v>4</v>
      </c>
    </row>
    <row r="566" spans="1:5" x14ac:dyDescent="0.2">
      <c r="A566">
        <v>59</v>
      </c>
      <c r="B566" t="s">
        <v>37</v>
      </c>
      <c r="C566">
        <v>38</v>
      </c>
      <c r="D566">
        <v>2035</v>
      </c>
      <c r="E566" t="s">
        <v>4</v>
      </c>
    </row>
    <row r="567" spans="1:5" x14ac:dyDescent="0.2">
      <c r="A567">
        <v>60</v>
      </c>
      <c r="B567" t="s">
        <v>37</v>
      </c>
      <c r="C567">
        <v>41.37</v>
      </c>
      <c r="D567">
        <v>2035</v>
      </c>
      <c r="E567" t="s">
        <v>4</v>
      </c>
    </row>
    <row r="568" spans="1:5" x14ac:dyDescent="0.2">
      <c r="A568">
        <v>61</v>
      </c>
      <c r="B568" t="s">
        <v>37</v>
      </c>
      <c r="C568">
        <v>38.909999999999997</v>
      </c>
      <c r="D568">
        <v>2035</v>
      </c>
      <c r="E568" t="s">
        <v>4</v>
      </c>
    </row>
    <row r="569" spans="1:5" x14ac:dyDescent="0.2">
      <c r="A569">
        <v>62</v>
      </c>
      <c r="B569" t="s">
        <v>37</v>
      </c>
      <c r="C569">
        <v>36.630000000000003</v>
      </c>
      <c r="D569">
        <v>2035</v>
      </c>
      <c r="E569" t="s">
        <v>4</v>
      </c>
    </row>
    <row r="570" spans="1:5" x14ac:dyDescent="0.2">
      <c r="A570">
        <v>63</v>
      </c>
      <c r="B570" t="s">
        <v>37</v>
      </c>
      <c r="C570">
        <v>39.06</v>
      </c>
      <c r="D570">
        <v>2035</v>
      </c>
      <c r="E570" t="s">
        <v>4</v>
      </c>
    </row>
    <row r="571" spans="1:5" x14ac:dyDescent="0.2">
      <c r="A571">
        <v>64</v>
      </c>
      <c r="B571" t="s">
        <v>37</v>
      </c>
      <c r="C571">
        <v>41.51</v>
      </c>
      <c r="D571">
        <v>2035</v>
      </c>
      <c r="E571" t="s">
        <v>4</v>
      </c>
    </row>
    <row r="572" spans="1:5" x14ac:dyDescent="0.2">
      <c r="A572">
        <v>65</v>
      </c>
      <c r="B572" t="s">
        <v>37</v>
      </c>
      <c r="C572">
        <v>31.79</v>
      </c>
      <c r="D572">
        <v>2035</v>
      </c>
      <c r="E572" t="s">
        <v>4</v>
      </c>
    </row>
    <row r="573" spans="1:5" x14ac:dyDescent="0.2">
      <c r="A573">
        <v>66</v>
      </c>
      <c r="B573" t="s">
        <v>37</v>
      </c>
      <c r="C573">
        <v>31.27</v>
      </c>
      <c r="D573">
        <v>2035</v>
      </c>
      <c r="E573" t="s">
        <v>4</v>
      </c>
    </row>
    <row r="574" spans="1:5" x14ac:dyDescent="0.2">
      <c r="A574">
        <v>67</v>
      </c>
      <c r="B574" t="s">
        <v>37</v>
      </c>
      <c r="C574">
        <v>33.85</v>
      </c>
      <c r="D574">
        <v>2035</v>
      </c>
      <c r="E574" t="s">
        <v>4</v>
      </c>
    </row>
    <row r="575" spans="1:5" x14ac:dyDescent="0.2">
      <c r="A575">
        <v>68</v>
      </c>
      <c r="B575" t="s">
        <v>37</v>
      </c>
      <c r="C575">
        <v>33.49</v>
      </c>
      <c r="D575">
        <v>2035</v>
      </c>
      <c r="E575" t="s">
        <v>4</v>
      </c>
    </row>
    <row r="576" spans="1:5" x14ac:dyDescent="0.2">
      <c r="A576">
        <v>69</v>
      </c>
      <c r="B576" t="s">
        <v>37</v>
      </c>
      <c r="C576">
        <v>36.57</v>
      </c>
      <c r="D576">
        <v>2035</v>
      </c>
      <c r="E576" t="s">
        <v>4</v>
      </c>
    </row>
    <row r="577" spans="1:5" x14ac:dyDescent="0.2">
      <c r="A577">
        <v>70</v>
      </c>
      <c r="B577" t="s">
        <v>37</v>
      </c>
      <c r="C577">
        <v>42.37</v>
      </c>
      <c r="D577">
        <v>2035</v>
      </c>
      <c r="E577" t="s">
        <v>4</v>
      </c>
    </row>
    <row r="578" spans="1:5" x14ac:dyDescent="0.2">
      <c r="A578">
        <v>71</v>
      </c>
      <c r="B578" t="s">
        <v>37</v>
      </c>
      <c r="C578">
        <v>40.07</v>
      </c>
      <c r="D578">
        <v>2035</v>
      </c>
      <c r="E578" t="s">
        <v>4</v>
      </c>
    </row>
    <row r="579" spans="1:5" x14ac:dyDescent="0.2">
      <c r="A579">
        <v>72</v>
      </c>
      <c r="B579" t="s">
        <v>37</v>
      </c>
      <c r="C579">
        <v>35.85</v>
      </c>
      <c r="D579">
        <v>2035</v>
      </c>
      <c r="E579" t="s">
        <v>4</v>
      </c>
    </row>
    <row r="580" spans="1:5" x14ac:dyDescent="0.2">
      <c r="A580">
        <v>73</v>
      </c>
      <c r="B580" t="s">
        <v>37</v>
      </c>
      <c r="C580">
        <v>33.68</v>
      </c>
      <c r="D580">
        <v>2035</v>
      </c>
      <c r="E580" t="s">
        <v>4</v>
      </c>
    </row>
    <row r="581" spans="1:5" x14ac:dyDescent="0.2">
      <c r="A581">
        <v>74</v>
      </c>
      <c r="B581" t="s">
        <v>37</v>
      </c>
      <c r="C581">
        <v>28.09</v>
      </c>
      <c r="D581">
        <v>2035</v>
      </c>
      <c r="E581" t="s">
        <v>4</v>
      </c>
    </row>
    <row r="582" spans="1:5" x14ac:dyDescent="0.2">
      <c r="A582">
        <v>75</v>
      </c>
      <c r="B582" t="s">
        <v>37</v>
      </c>
      <c r="C582">
        <v>31.98</v>
      </c>
      <c r="D582">
        <v>2035</v>
      </c>
      <c r="E582" t="s">
        <v>4</v>
      </c>
    </row>
    <row r="583" spans="1:5" x14ac:dyDescent="0.2">
      <c r="A583">
        <v>76</v>
      </c>
      <c r="B583" t="s">
        <v>37</v>
      </c>
      <c r="C583">
        <v>34.229999999999997</v>
      </c>
      <c r="D583">
        <v>2035</v>
      </c>
      <c r="E583" t="s">
        <v>4</v>
      </c>
    </row>
    <row r="584" spans="1:5" x14ac:dyDescent="0.2">
      <c r="A584">
        <v>77</v>
      </c>
      <c r="B584" t="s">
        <v>37</v>
      </c>
      <c r="C584">
        <v>27.38</v>
      </c>
      <c r="D584">
        <v>2035</v>
      </c>
      <c r="E584" t="s">
        <v>4</v>
      </c>
    </row>
    <row r="585" spans="1:5" x14ac:dyDescent="0.2">
      <c r="A585">
        <v>78</v>
      </c>
      <c r="B585" t="s">
        <v>37</v>
      </c>
      <c r="C585">
        <v>21.25</v>
      </c>
      <c r="D585">
        <v>2035</v>
      </c>
      <c r="E585" t="s">
        <v>4</v>
      </c>
    </row>
    <row r="586" spans="1:5" x14ac:dyDescent="0.2">
      <c r="A586">
        <v>79</v>
      </c>
      <c r="B586" t="s">
        <v>37</v>
      </c>
      <c r="C586">
        <v>22.52</v>
      </c>
      <c r="D586">
        <v>2035</v>
      </c>
      <c r="E586" t="s">
        <v>4</v>
      </c>
    </row>
    <row r="587" spans="1:5" x14ac:dyDescent="0.2">
      <c r="A587">
        <v>80</v>
      </c>
      <c r="B587" t="s">
        <v>37</v>
      </c>
      <c r="C587">
        <v>23.93</v>
      </c>
      <c r="D587">
        <v>2035</v>
      </c>
      <c r="E587" t="s">
        <v>4</v>
      </c>
    </row>
    <row r="588" spans="1:5" x14ac:dyDescent="0.2">
      <c r="A588">
        <v>81</v>
      </c>
      <c r="B588" t="s">
        <v>37</v>
      </c>
      <c r="C588">
        <v>20.16</v>
      </c>
      <c r="D588">
        <v>2035</v>
      </c>
      <c r="E588" t="s">
        <v>4</v>
      </c>
    </row>
    <row r="589" spans="1:5" x14ac:dyDescent="0.2">
      <c r="A589">
        <v>82</v>
      </c>
      <c r="B589" t="s">
        <v>37</v>
      </c>
      <c r="C589">
        <v>16.32</v>
      </c>
      <c r="D589">
        <v>2035</v>
      </c>
      <c r="E589" t="s">
        <v>4</v>
      </c>
    </row>
    <row r="590" spans="1:5" x14ac:dyDescent="0.2">
      <c r="A590">
        <v>83</v>
      </c>
      <c r="B590" t="s">
        <v>37</v>
      </c>
      <c r="C590">
        <v>17.37</v>
      </c>
      <c r="D590">
        <v>2035</v>
      </c>
      <c r="E590" t="s">
        <v>4</v>
      </c>
    </row>
    <row r="591" spans="1:5" x14ac:dyDescent="0.2">
      <c r="A591">
        <v>84</v>
      </c>
      <c r="B591" t="s">
        <v>37</v>
      </c>
      <c r="C591">
        <v>15.86</v>
      </c>
      <c r="D591">
        <v>2035</v>
      </c>
      <c r="E591" t="s">
        <v>4</v>
      </c>
    </row>
    <row r="592" spans="1:5" x14ac:dyDescent="0.2">
      <c r="A592">
        <v>85</v>
      </c>
      <c r="B592" t="s">
        <v>37</v>
      </c>
      <c r="C592">
        <v>15.94</v>
      </c>
      <c r="D592">
        <v>2035</v>
      </c>
      <c r="E592" t="s">
        <v>4</v>
      </c>
    </row>
    <row r="593" spans="1:5" x14ac:dyDescent="0.2">
      <c r="A593">
        <v>86</v>
      </c>
      <c r="B593" t="s">
        <v>37</v>
      </c>
      <c r="C593">
        <v>14.46</v>
      </c>
      <c r="D593">
        <v>2035</v>
      </c>
      <c r="E593" t="s">
        <v>4</v>
      </c>
    </row>
    <row r="594" spans="1:5" x14ac:dyDescent="0.2">
      <c r="A594">
        <v>87</v>
      </c>
      <c r="B594" t="s">
        <v>37</v>
      </c>
      <c r="C594">
        <v>14.84</v>
      </c>
      <c r="D594">
        <v>2035</v>
      </c>
      <c r="E594" t="s">
        <v>4</v>
      </c>
    </row>
    <row r="595" spans="1:5" x14ac:dyDescent="0.2">
      <c r="A595">
        <v>88</v>
      </c>
      <c r="B595" t="s">
        <v>37</v>
      </c>
      <c r="C595">
        <v>12.04</v>
      </c>
      <c r="D595">
        <v>2035</v>
      </c>
      <c r="E595" t="s">
        <v>4</v>
      </c>
    </row>
    <row r="596" spans="1:5" x14ac:dyDescent="0.2">
      <c r="A596">
        <v>89</v>
      </c>
      <c r="B596" t="s">
        <v>37</v>
      </c>
      <c r="C596">
        <v>11.95</v>
      </c>
      <c r="D596">
        <v>2035</v>
      </c>
      <c r="E596" t="s">
        <v>4</v>
      </c>
    </row>
    <row r="597" spans="1:5" x14ac:dyDescent="0.2">
      <c r="A597">
        <v>90</v>
      </c>
      <c r="B597" t="s">
        <v>37</v>
      </c>
      <c r="C597">
        <v>7.6</v>
      </c>
      <c r="D597">
        <v>2035</v>
      </c>
      <c r="E597" t="s">
        <v>4</v>
      </c>
    </row>
    <row r="598" spans="1:5" x14ac:dyDescent="0.2">
      <c r="A598">
        <v>91</v>
      </c>
      <c r="B598" t="s">
        <v>37</v>
      </c>
      <c r="C598">
        <v>9.0299999999999994</v>
      </c>
      <c r="D598">
        <v>2035</v>
      </c>
      <c r="E598" t="s">
        <v>4</v>
      </c>
    </row>
    <row r="599" spans="1:5" x14ac:dyDescent="0.2">
      <c r="A599">
        <v>92</v>
      </c>
      <c r="B599" t="s">
        <v>37</v>
      </c>
      <c r="C599">
        <v>6.16</v>
      </c>
      <c r="D599">
        <v>2035</v>
      </c>
      <c r="E599" t="s">
        <v>4</v>
      </c>
    </row>
    <row r="600" spans="1:5" x14ac:dyDescent="0.2">
      <c r="A600">
        <v>93</v>
      </c>
      <c r="B600" t="s">
        <v>37</v>
      </c>
      <c r="C600">
        <v>4.33</v>
      </c>
      <c r="D600">
        <v>2035</v>
      </c>
      <c r="E600" t="s">
        <v>4</v>
      </c>
    </row>
    <row r="601" spans="1:5" x14ac:dyDescent="0.2">
      <c r="A601">
        <v>94</v>
      </c>
      <c r="B601" t="s">
        <v>37</v>
      </c>
      <c r="C601">
        <v>6.3</v>
      </c>
      <c r="D601">
        <v>2035</v>
      </c>
      <c r="E601" t="s">
        <v>4</v>
      </c>
    </row>
    <row r="602" spans="1:5" x14ac:dyDescent="0.2">
      <c r="A602">
        <v>95</v>
      </c>
      <c r="B602" t="s">
        <v>37</v>
      </c>
      <c r="C602">
        <v>2.38</v>
      </c>
      <c r="D602">
        <v>2035</v>
      </c>
      <c r="E602" t="s">
        <v>4</v>
      </c>
    </row>
    <row r="603" spans="1:5" x14ac:dyDescent="0.2">
      <c r="A603">
        <v>96</v>
      </c>
      <c r="B603" t="s">
        <v>37</v>
      </c>
      <c r="C603">
        <v>1.81</v>
      </c>
      <c r="D603">
        <v>2035</v>
      </c>
      <c r="E603" t="s">
        <v>4</v>
      </c>
    </row>
    <row r="604" spans="1:5" x14ac:dyDescent="0.2">
      <c r="A604">
        <v>97</v>
      </c>
      <c r="B604" t="s">
        <v>37</v>
      </c>
      <c r="C604">
        <v>1.61</v>
      </c>
      <c r="D604">
        <v>2035</v>
      </c>
      <c r="E604" t="s">
        <v>4</v>
      </c>
    </row>
    <row r="605" spans="1:5" x14ac:dyDescent="0.2">
      <c r="A605">
        <v>98</v>
      </c>
      <c r="B605" t="s">
        <v>37</v>
      </c>
      <c r="C605">
        <v>1.2</v>
      </c>
      <c r="D605">
        <v>2035</v>
      </c>
      <c r="E605" t="s">
        <v>4</v>
      </c>
    </row>
    <row r="606" spans="1:5" x14ac:dyDescent="0.2">
      <c r="A606">
        <v>99</v>
      </c>
      <c r="B606" t="s">
        <v>37</v>
      </c>
      <c r="C606">
        <v>0.93</v>
      </c>
      <c r="D606">
        <v>2035</v>
      </c>
      <c r="E606" t="s">
        <v>4</v>
      </c>
    </row>
    <row r="607" spans="1:5" x14ac:dyDescent="0.2">
      <c r="A607">
        <v>100</v>
      </c>
      <c r="B607" t="s">
        <v>37</v>
      </c>
      <c r="C607">
        <v>0.97</v>
      </c>
      <c r="D607">
        <v>2035</v>
      </c>
      <c r="E607" t="s">
        <v>4</v>
      </c>
    </row>
    <row r="608" spans="1:5" x14ac:dyDescent="0.2">
      <c r="A608">
        <v>0</v>
      </c>
      <c r="B608" t="s">
        <v>38</v>
      </c>
      <c r="C608">
        <v>717.82</v>
      </c>
      <c r="D608">
        <v>2035</v>
      </c>
      <c r="E608" t="s">
        <v>4</v>
      </c>
    </row>
    <row r="609" spans="1:5" x14ac:dyDescent="0.2">
      <c r="A609">
        <v>1</v>
      </c>
      <c r="B609" t="s">
        <v>38</v>
      </c>
      <c r="C609">
        <v>726.1</v>
      </c>
      <c r="D609">
        <v>2035</v>
      </c>
      <c r="E609" t="s">
        <v>4</v>
      </c>
    </row>
    <row r="610" spans="1:5" x14ac:dyDescent="0.2">
      <c r="A610">
        <v>2</v>
      </c>
      <c r="B610" t="s">
        <v>38</v>
      </c>
      <c r="C610">
        <v>736.94</v>
      </c>
      <c r="D610">
        <v>2035</v>
      </c>
      <c r="E610" t="s">
        <v>4</v>
      </c>
    </row>
    <row r="611" spans="1:5" x14ac:dyDescent="0.2">
      <c r="A611">
        <v>3</v>
      </c>
      <c r="B611" t="s">
        <v>38</v>
      </c>
      <c r="C611">
        <v>747.58</v>
      </c>
      <c r="D611">
        <v>2035</v>
      </c>
      <c r="E611" t="s">
        <v>4</v>
      </c>
    </row>
    <row r="612" spans="1:5" x14ac:dyDescent="0.2">
      <c r="A612">
        <v>4</v>
      </c>
      <c r="B612" t="s">
        <v>38</v>
      </c>
      <c r="C612">
        <v>759.07</v>
      </c>
      <c r="D612">
        <v>2035</v>
      </c>
      <c r="E612" t="s">
        <v>4</v>
      </c>
    </row>
    <row r="613" spans="1:5" x14ac:dyDescent="0.2">
      <c r="A613">
        <v>5</v>
      </c>
      <c r="B613" t="s">
        <v>38</v>
      </c>
      <c r="C613">
        <v>771.08</v>
      </c>
      <c r="D613">
        <v>2035</v>
      </c>
      <c r="E613" t="s">
        <v>4</v>
      </c>
    </row>
    <row r="614" spans="1:5" x14ac:dyDescent="0.2">
      <c r="A614">
        <v>6</v>
      </c>
      <c r="B614" t="s">
        <v>38</v>
      </c>
      <c r="C614">
        <v>788</v>
      </c>
      <c r="D614">
        <v>2035</v>
      </c>
      <c r="E614" t="s">
        <v>4</v>
      </c>
    </row>
    <row r="615" spans="1:5" x14ac:dyDescent="0.2">
      <c r="A615">
        <v>7</v>
      </c>
      <c r="B615" t="s">
        <v>38</v>
      </c>
      <c r="C615">
        <v>808.81</v>
      </c>
      <c r="D615">
        <v>2035</v>
      </c>
      <c r="E615" t="s">
        <v>4</v>
      </c>
    </row>
    <row r="616" spans="1:5" x14ac:dyDescent="0.2">
      <c r="A616">
        <v>8</v>
      </c>
      <c r="B616" t="s">
        <v>38</v>
      </c>
      <c r="C616">
        <v>831.98</v>
      </c>
      <c r="D616">
        <v>2035</v>
      </c>
      <c r="E616" t="s">
        <v>4</v>
      </c>
    </row>
    <row r="617" spans="1:5" x14ac:dyDescent="0.2">
      <c r="A617">
        <v>9</v>
      </c>
      <c r="B617" t="s">
        <v>38</v>
      </c>
      <c r="C617">
        <v>856.5</v>
      </c>
      <c r="D617">
        <v>2035</v>
      </c>
      <c r="E617" t="s">
        <v>4</v>
      </c>
    </row>
    <row r="618" spans="1:5" x14ac:dyDescent="0.2">
      <c r="A618">
        <v>10</v>
      </c>
      <c r="B618" t="s">
        <v>38</v>
      </c>
      <c r="C618">
        <v>876.66</v>
      </c>
      <c r="D618">
        <v>2035</v>
      </c>
      <c r="E618" t="s">
        <v>4</v>
      </c>
    </row>
    <row r="619" spans="1:5" x14ac:dyDescent="0.2">
      <c r="A619">
        <v>11</v>
      </c>
      <c r="B619" t="s">
        <v>38</v>
      </c>
      <c r="C619">
        <v>893.86</v>
      </c>
      <c r="D619">
        <v>2035</v>
      </c>
      <c r="E619" t="s">
        <v>4</v>
      </c>
    </row>
    <row r="620" spans="1:5" x14ac:dyDescent="0.2">
      <c r="A620">
        <v>12</v>
      </c>
      <c r="B620" t="s">
        <v>38</v>
      </c>
      <c r="C620">
        <v>907.17</v>
      </c>
      <c r="D620">
        <v>2035</v>
      </c>
      <c r="E620" t="s">
        <v>4</v>
      </c>
    </row>
    <row r="621" spans="1:5" x14ac:dyDescent="0.2">
      <c r="A621">
        <v>13</v>
      </c>
      <c r="B621" t="s">
        <v>38</v>
      </c>
      <c r="C621">
        <v>913.78</v>
      </c>
      <c r="D621">
        <v>2035</v>
      </c>
      <c r="E621" t="s">
        <v>4</v>
      </c>
    </row>
    <row r="622" spans="1:5" x14ac:dyDescent="0.2">
      <c r="A622">
        <v>14</v>
      </c>
      <c r="B622" t="s">
        <v>38</v>
      </c>
      <c r="C622">
        <v>1042.06</v>
      </c>
      <c r="D622">
        <v>2035</v>
      </c>
      <c r="E622" t="s">
        <v>4</v>
      </c>
    </row>
    <row r="623" spans="1:5" x14ac:dyDescent="0.2">
      <c r="A623">
        <v>15</v>
      </c>
      <c r="B623" t="s">
        <v>38</v>
      </c>
      <c r="C623">
        <v>1125.5999999999999</v>
      </c>
      <c r="D623">
        <v>2035</v>
      </c>
      <c r="E623" t="s">
        <v>4</v>
      </c>
    </row>
    <row r="624" spans="1:5" x14ac:dyDescent="0.2">
      <c r="A624">
        <v>16</v>
      </c>
      <c r="B624" t="s">
        <v>38</v>
      </c>
      <c r="C624">
        <v>1150.49</v>
      </c>
      <c r="D624">
        <v>2035</v>
      </c>
      <c r="E624" t="s">
        <v>4</v>
      </c>
    </row>
    <row r="625" spans="1:5" x14ac:dyDescent="0.2">
      <c r="A625">
        <v>17</v>
      </c>
      <c r="B625" t="s">
        <v>38</v>
      </c>
      <c r="C625">
        <v>1157.73</v>
      </c>
      <c r="D625">
        <v>2035</v>
      </c>
      <c r="E625" t="s">
        <v>4</v>
      </c>
    </row>
    <row r="626" spans="1:5" x14ac:dyDescent="0.2">
      <c r="A626">
        <v>18</v>
      </c>
      <c r="B626" t="s">
        <v>38</v>
      </c>
      <c r="C626">
        <v>1166.68</v>
      </c>
      <c r="D626">
        <v>2035</v>
      </c>
      <c r="E626" t="s">
        <v>4</v>
      </c>
    </row>
    <row r="627" spans="1:5" x14ac:dyDescent="0.2">
      <c r="A627">
        <v>19</v>
      </c>
      <c r="B627" t="s">
        <v>38</v>
      </c>
      <c r="C627">
        <v>1162.1300000000001</v>
      </c>
      <c r="D627">
        <v>2035</v>
      </c>
      <c r="E627" t="s">
        <v>4</v>
      </c>
    </row>
    <row r="628" spans="1:5" x14ac:dyDescent="0.2">
      <c r="A628">
        <v>20</v>
      </c>
      <c r="B628" t="s">
        <v>38</v>
      </c>
      <c r="C628">
        <v>1162.1600000000001</v>
      </c>
      <c r="D628">
        <v>2035</v>
      </c>
      <c r="E628" t="s">
        <v>4</v>
      </c>
    </row>
    <row r="629" spans="1:5" x14ac:dyDescent="0.2">
      <c r="A629">
        <v>21</v>
      </c>
      <c r="B629" t="s">
        <v>38</v>
      </c>
      <c r="C629">
        <v>1136.6300000000001</v>
      </c>
      <c r="D629">
        <v>2035</v>
      </c>
      <c r="E629" t="s">
        <v>4</v>
      </c>
    </row>
    <row r="630" spans="1:5" x14ac:dyDescent="0.2">
      <c r="A630">
        <v>22</v>
      </c>
      <c r="B630" t="s">
        <v>38</v>
      </c>
      <c r="C630">
        <v>1131.05</v>
      </c>
      <c r="D630">
        <v>2035</v>
      </c>
      <c r="E630" t="s">
        <v>4</v>
      </c>
    </row>
    <row r="631" spans="1:5" x14ac:dyDescent="0.2">
      <c r="A631">
        <v>23</v>
      </c>
      <c r="B631" t="s">
        <v>38</v>
      </c>
      <c r="C631">
        <v>1107.54</v>
      </c>
      <c r="D631">
        <v>2035</v>
      </c>
      <c r="E631" t="s">
        <v>4</v>
      </c>
    </row>
    <row r="632" spans="1:5" x14ac:dyDescent="0.2">
      <c r="A632">
        <v>24</v>
      </c>
      <c r="B632" t="s">
        <v>38</v>
      </c>
      <c r="C632">
        <v>960.59</v>
      </c>
      <c r="D632">
        <v>2035</v>
      </c>
      <c r="E632" t="s">
        <v>4</v>
      </c>
    </row>
    <row r="633" spans="1:5" x14ac:dyDescent="0.2">
      <c r="A633">
        <v>25</v>
      </c>
      <c r="B633" t="s">
        <v>38</v>
      </c>
      <c r="C633">
        <v>904.94</v>
      </c>
      <c r="D633">
        <v>2035</v>
      </c>
      <c r="E633" t="s">
        <v>4</v>
      </c>
    </row>
    <row r="634" spans="1:5" x14ac:dyDescent="0.2">
      <c r="A634">
        <v>26</v>
      </c>
      <c r="B634" t="s">
        <v>38</v>
      </c>
      <c r="C634">
        <v>822.75</v>
      </c>
      <c r="D634">
        <v>2035</v>
      </c>
      <c r="E634" t="s">
        <v>4</v>
      </c>
    </row>
    <row r="635" spans="1:5" x14ac:dyDescent="0.2">
      <c r="A635">
        <v>27</v>
      </c>
      <c r="B635" t="s">
        <v>38</v>
      </c>
      <c r="C635">
        <v>837.86</v>
      </c>
      <c r="D635">
        <v>2035</v>
      </c>
      <c r="E635" t="s">
        <v>4</v>
      </c>
    </row>
    <row r="636" spans="1:5" x14ac:dyDescent="0.2">
      <c r="A636">
        <v>28</v>
      </c>
      <c r="B636" t="s">
        <v>38</v>
      </c>
      <c r="C636">
        <v>884.94</v>
      </c>
      <c r="D636">
        <v>2035</v>
      </c>
      <c r="E636" t="s">
        <v>4</v>
      </c>
    </row>
    <row r="637" spans="1:5" x14ac:dyDescent="0.2">
      <c r="A637">
        <v>29</v>
      </c>
      <c r="B637" t="s">
        <v>38</v>
      </c>
      <c r="C637">
        <v>813.23</v>
      </c>
      <c r="D637">
        <v>2035</v>
      </c>
      <c r="E637" t="s">
        <v>4</v>
      </c>
    </row>
    <row r="638" spans="1:5" x14ac:dyDescent="0.2">
      <c r="A638">
        <v>30</v>
      </c>
      <c r="B638" t="s">
        <v>38</v>
      </c>
      <c r="C638">
        <v>790.44</v>
      </c>
      <c r="D638">
        <v>2035</v>
      </c>
      <c r="E638" t="s">
        <v>4</v>
      </c>
    </row>
    <row r="639" spans="1:5" x14ac:dyDescent="0.2">
      <c r="A639">
        <v>31</v>
      </c>
      <c r="B639" t="s">
        <v>38</v>
      </c>
      <c r="C639">
        <v>737.79</v>
      </c>
      <c r="D639">
        <v>2035</v>
      </c>
      <c r="E639" t="s">
        <v>4</v>
      </c>
    </row>
    <row r="640" spans="1:5" x14ac:dyDescent="0.2">
      <c r="A640">
        <v>32</v>
      </c>
      <c r="B640" t="s">
        <v>38</v>
      </c>
      <c r="C640">
        <v>730.79</v>
      </c>
      <c r="D640">
        <v>2035</v>
      </c>
      <c r="E640" t="s">
        <v>4</v>
      </c>
    </row>
    <row r="641" spans="1:5" x14ac:dyDescent="0.2">
      <c r="A641">
        <v>33</v>
      </c>
      <c r="B641" t="s">
        <v>38</v>
      </c>
      <c r="C641">
        <v>714.48</v>
      </c>
      <c r="D641">
        <v>2035</v>
      </c>
      <c r="E641" t="s">
        <v>4</v>
      </c>
    </row>
    <row r="642" spans="1:5" x14ac:dyDescent="0.2">
      <c r="A642">
        <v>34</v>
      </c>
      <c r="B642" t="s">
        <v>38</v>
      </c>
      <c r="C642">
        <v>753.13</v>
      </c>
      <c r="D642">
        <v>2035</v>
      </c>
      <c r="E642" t="s">
        <v>4</v>
      </c>
    </row>
    <row r="643" spans="1:5" x14ac:dyDescent="0.2">
      <c r="A643">
        <v>35</v>
      </c>
      <c r="B643" t="s">
        <v>38</v>
      </c>
      <c r="C643">
        <v>760.63</v>
      </c>
      <c r="D643">
        <v>2035</v>
      </c>
      <c r="E643" t="s">
        <v>4</v>
      </c>
    </row>
    <row r="644" spans="1:5" x14ac:dyDescent="0.2">
      <c r="A644">
        <v>36</v>
      </c>
      <c r="B644" t="s">
        <v>38</v>
      </c>
      <c r="C644">
        <v>731.66</v>
      </c>
      <c r="D644">
        <v>2035</v>
      </c>
      <c r="E644" t="s">
        <v>4</v>
      </c>
    </row>
    <row r="645" spans="1:5" x14ac:dyDescent="0.2">
      <c r="A645">
        <v>37</v>
      </c>
      <c r="B645" t="s">
        <v>38</v>
      </c>
      <c r="C645">
        <v>784.66</v>
      </c>
      <c r="D645">
        <v>2035</v>
      </c>
      <c r="E645" t="s">
        <v>4</v>
      </c>
    </row>
    <row r="646" spans="1:5" x14ac:dyDescent="0.2">
      <c r="A646">
        <v>38</v>
      </c>
      <c r="B646" t="s">
        <v>38</v>
      </c>
      <c r="C646">
        <v>878.42</v>
      </c>
      <c r="D646">
        <v>2035</v>
      </c>
      <c r="E646" t="s">
        <v>4</v>
      </c>
    </row>
    <row r="647" spans="1:5" x14ac:dyDescent="0.2">
      <c r="A647">
        <v>39</v>
      </c>
      <c r="B647" t="s">
        <v>38</v>
      </c>
      <c r="C647">
        <v>820.48</v>
      </c>
      <c r="D647">
        <v>2035</v>
      </c>
      <c r="E647" t="s">
        <v>4</v>
      </c>
    </row>
    <row r="648" spans="1:5" x14ac:dyDescent="0.2">
      <c r="A648">
        <v>40</v>
      </c>
      <c r="B648" t="s">
        <v>38</v>
      </c>
      <c r="C648">
        <v>785.76</v>
      </c>
      <c r="D648">
        <v>2035</v>
      </c>
      <c r="E648" t="s">
        <v>4</v>
      </c>
    </row>
    <row r="649" spans="1:5" x14ac:dyDescent="0.2">
      <c r="A649">
        <v>41</v>
      </c>
      <c r="B649" t="s">
        <v>38</v>
      </c>
      <c r="C649">
        <v>772.73</v>
      </c>
      <c r="D649">
        <v>2035</v>
      </c>
      <c r="E649" t="s">
        <v>4</v>
      </c>
    </row>
    <row r="650" spans="1:5" x14ac:dyDescent="0.2">
      <c r="A650">
        <v>42</v>
      </c>
      <c r="B650" t="s">
        <v>38</v>
      </c>
      <c r="C650">
        <v>793.13</v>
      </c>
      <c r="D650">
        <v>2035</v>
      </c>
      <c r="E650" t="s">
        <v>4</v>
      </c>
    </row>
    <row r="651" spans="1:5" x14ac:dyDescent="0.2">
      <c r="A651">
        <v>43</v>
      </c>
      <c r="B651" t="s">
        <v>38</v>
      </c>
      <c r="C651">
        <v>764.33</v>
      </c>
      <c r="D651">
        <v>2035</v>
      </c>
      <c r="E651" t="s">
        <v>4</v>
      </c>
    </row>
    <row r="652" spans="1:5" x14ac:dyDescent="0.2">
      <c r="A652">
        <v>44</v>
      </c>
      <c r="B652" t="s">
        <v>38</v>
      </c>
      <c r="C652">
        <v>752.5</v>
      </c>
      <c r="D652">
        <v>2035</v>
      </c>
      <c r="E652" t="s">
        <v>4</v>
      </c>
    </row>
    <row r="653" spans="1:5" x14ac:dyDescent="0.2">
      <c r="A653">
        <v>45</v>
      </c>
      <c r="B653" t="s">
        <v>38</v>
      </c>
      <c r="C653">
        <v>754.1</v>
      </c>
      <c r="D653">
        <v>2035</v>
      </c>
      <c r="E653" t="s">
        <v>4</v>
      </c>
    </row>
    <row r="654" spans="1:5" x14ac:dyDescent="0.2">
      <c r="A654">
        <v>46</v>
      </c>
      <c r="B654" t="s">
        <v>38</v>
      </c>
      <c r="C654">
        <v>790.98</v>
      </c>
      <c r="D654">
        <v>2035</v>
      </c>
      <c r="E654" t="s">
        <v>4</v>
      </c>
    </row>
    <row r="655" spans="1:5" x14ac:dyDescent="0.2">
      <c r="A655">
        <v>47</v>
      </c>
      <c r="B655" t="s">
        <v>38</v>
      </c>
      <c r="C655">
        <v>756.15</v>
      </c>
      <c r="D655">
        <v>2035</v>
      </c>
      <c r="E655" t="s">
        <v>4</v>
      </c>
    </row>
    <row r="656" spans="1:5" x14ac:dyDescent="0.2">
      <c r="A656">
        <v>48</v>
      </c>
      <c r="B656" t="s">
        <v>38</v>
      </c>
      <c r="C656">
        <v>736.97</v>
      </c>
      <c r="D656">
        <v>2035</v>
      </c>
      <c r="E656" t="s">
        <v>4</v>
      </c>
    </row>
    <row r="657" spans="1:5" x14ac:dyDescent="0.2">
      <c r="A657">
        <v>49</v>
      </c>
      <c r="B657" t="s">
        <v>38</v>
      </c>
      <c r="C657">
        <v>840.67</v>
      </c>
      <c r="D657">
        <v>2035</v>
      </c>
      <c r="E657" t="s">
        <v>4</v>
      </c>
    </row>
    <row r="658" spans="1:5" x14ac:dyDescent="0.2">
      <c r="A658">
        <v>50</v>
      </c>
      <c r="B658" t="s">
        <v>38</v>
      </c>
      <c r="C658">
        <v>876.07</v>
      </c>
      <c r="D658">
        <v>2035</v>
      </c>
      <c r="E658" t="s">
        <v>4</v>
      </c>
    </row>
    <row r="659" spans="1:5" x14ac:dyDescent="0.2">
      <c r="A659">
        <v>51</v>
      </c>
      <c r="B659" t="s">
        <v>38</v>
      </c>
      <c r="C659">
        <v>842.78</v>
      </c>
      <c r="D659">
        <v>2035</v>
      </c>
      <c r="E659" t="s">
        <v>4</v>
      </c>
    </row>
    <row r="660" spans="1:5" x14ac:dyDescent="0.2">
      <c r="A660">
        <v>52</v>
      </c>
      <c r="B660" t="s">
        <v>38</v>
      </c>
      <c r="C660">
        <v>882.6</v>
      </c>
      <c r="D660">
        <v>2035</v>
      </c>
      <c r="E660" t="s">
        <v>4</v>
      </c>
    </row>
    <row r="661" spans="1:5" x14ac:dyDescent="0.2">
      <c r="A661">
        <v>53</v>
      </c>
      <c r="B661" t="s">
        <v>38</v>
      </c>
      <c r="C661">
        <v>862.34</v>
      </c>
      <c r="D661">
        <v>2035</v>
      </c>
      <c r="E661" t="s">
        <v>4</v>
      </c>
    </row>
    <row r="662" spans="1:5" x14ac:dyDescent="0.2">
      <c r="A662">
        <v>54</v>
      </c>
      <c r="B662" t="s">
        <v>38</v>
      </c>
      <c r="C662">
        <v>821.8</v>
      </c>
      <c r="D662">
        <v>2035</v>
      </c>
      <c r="E662" t="s">
        <v>4</v>
      </c>
    </row>
    <row r="663" spans="1:5" x14ac:dyDescent="0.2">
      <c r="A663">
        <v>55</v>
      </c>
      <c r="B663" t="s">
        <v>38</v>
      </c>
      <c r="C663">
        <v>729.01</v>
      </c>
      <c r="D663">
        <v>2035</v>
      </c>
      <c r="E663" t="s">
        <v>4</v>
      </c>
    </row>
    <row r="664" spans="1:5" x14ac:dyDescent="0.2">
      <c r="A664">
        <v>56</v>
      </c>
      <c r="B664" t="s">
        <v>38</v>
      </c>
      <c r="C664">
        <v>623.79</v>
      </c>
      <c r="D664">
        <v>2035</v>
      </c>
      <c r="E664" t="s">
        <v>4</v>
      </c>
    </row>
    <row r="665" spans="1:5" x14ac:dyDescent="0.2">
      <c r="A665">
        <v>57</v>
      </c>
      <c r="B665" t="s">
        <v>38</v>
      </c>
      <c r="C665">
        <v>606.26</v>
      </c>
      <c r="D665">
        <v>2035</v>
      </c>
      <c r="E665" t="s">
        <v>4</v>
      </c>
    </row>
    <row r="666" spans="1:5" x14ac:dyDescent="0.2">
      <c r="A666">
        <v>58</v>
      </c>
      <c r="B666" t="s">
        <v>38</v>
      </c>
      <c r="C666">
        <v>537.04</v>
      </c>
      <c r="D666">
        <v>2035</v>
      </c>
      <c r="E666" t="s">
        <v>4</v>
      </c>
    </row>
    <row r="667" spans="1:5" x14ac:dyDescent="0.2">
      <c r="A667">
        <v>59</v>
      </c>
      <c r="B667" t="s">
        <v>38</v>
      </c>
      <c r="C667">
        <v>570.88</v>
      </c>
      <c r="D667">
        <v>2035</v>
      </c>
      <c r="E667" t="s">
        <v>4</v>
      </c>
    </row>
    <row r="668" spans="1:5" x14ac:dyDescent="0.2">
      <c r="A668">
        <v>60</v>
      </c>
      <c r="B668" t="s">
        <v>38</v>
      </c>
      <c r="C668">
        <v>532.23</v>
      </c>
      <c r="D668">
        <v>2035</v>
      </c>
      <c r="E668" t="s">
        <v>4</v>
      </c>
    </row>
    <row r="669" spans="1:5" x14ac:dyDescent="0.2">
      <c r="A669">
        <v>61</v>
      </c>
      <c r="B669" t="s">
        <v>38</v>
      </c>
      <c r="C669">
        <v>530.54</v>
      </c>
      <c r="D669">
        <v>2035</v>
      </c>
      <c r="E669" t="s">
        <v>4</v>
      </c>
    </row>
    <row r="670" spans="1:5" x14ac:dyDescent="0.2">
      <c r="A670">
        <v>62</v>
      </c>
      <c r="B670" t="s">
        <v>38</v>
      </c>
      <c r="C670">
        <v>561.66</v>
      </c>
      <c r="D670">
        <v>2035</v>
      </c>
      <c r="E670" t="s">
        <v>4</v>
      </c>
    </row>
    <row r="671" spans="1:5" x14ac:dyDescent="0.2">
      <c r="A671">
        <v>63</v>
      </c>
      <c r="B671" t="s">
        <v>38</v>
      </c>
      <c r="C671">
        <v>544.23</v>
      </c>
      <c r="D671">
        <v>2035</v>
      </c>
      <c r="E671" t="s">
        <v>4</v>
      </c>
    </row>
    <row r="672" spans="1:5" x14ac:dyDescent="0.2">
      <c r="A672">
        <v>64</v>
      </c>
      <c r="B672" t="s">
        <v>38</v>
      </c>
      <c r="C672">
        <v>558.1</v>
      </c>
      <c r="D672">
        <v>2035</v>
      </c>
      <c r="E672" t="s">
        <v>4</v>
      </c>
    </row>
    <row r="673" spans="1:5" x14ac:dyDescent="0.2">
      <c r="A673">
        <v>65</v>
      </c>
      <c r="B673" t="s">
        <v>38</v>
      </c>
      <c r="C673">
        <v>540.46</v>
      </c>
      <c r="D673">
        <v>2035</v>
      </c>
      <c r="E673" t="s">
        <v>4</v>
      </c>
    </row>
    <row r="674" spans="1:5" x14ac:dyDescent="0.2">
      <c r="A674">
        <v>66</v>
      </c>
      <c r="B674" t="s">
        <v>38</v>
      </c>
      <c r="C674">
        <v>557.57000000000005</v>
      </c>
      <c r="D674">
        <v>2035</v>
      </c>
      <c r="E674" t="s">
        <v>4</v>
      </c>
    </row>
    <row r="675" spans="1:5" x14ac:dyDescent="0.2">
      <c r="A675">
        <v>67</v>
      </c>
      <c r="B675" t="s">
        <v>38</v>
      </c>
      <c r="C675">
        <v>538.99</v>
      </c>
      <c r="D675">
        <v>2035</v>
      </c>
      <c r="E675" t="s">
        <v>4</v>
      </c>
    </row>
    <row r="676" spans="1:5" x14ac:dyDescent="0.2">
      <c r="A676">
        <v>68</v>
      </c>
      <c r="B676" t="s">
        <v>38</v>
      </c>
      <c r="C676">
        <v>504.03</v>
      </c>
      <c r="D676">
        <v>2035</v>
      </c>
      <c r="E676" t="s">
        <v>4</v>
      </c>
    </row>
    <row r="677" spans="1:5" x14ac:dyDescent="0.2">
      <c r="A677">
        <v>69</v>
      </c>
      <c r="B677" t="s">
        <v>38</v>
      </c>
      <c r="C677">
        <v>505.71</v>
      </c>
      <c r="D677">
        <v>2035</v>
      </c>
      <c r="E677" t="s">
        <v>4</v>
      </c>
    </row>
    <row r="678" spans="1:5" x14ac:dyDescent="0.2">
      <c r="A678">
        <v>70</v>
      </c>
      <c r="B678" t="s">
        <v>38</v>
      </c>
      <c r="C678">
        <v>497.15</v>
      </c>
      <c r="D678">
        <v>2035</v>
      </c>
      <c r="E678" t="s">
        <v>4</v>
      </c>
    </row>
    <row r="679" spans="1:5" x14ac:dyDescent="0.2">
      <c r="A679">
        <v>71</v>
      </c>
      <c r="B679" t="s">
        <v>38</v>
      </c>
      <c r="C679">
        <v>494.94</v>
      </c>
      <c r="D679">
        <v>2035</v>
      </c>
      <c r="E679" t="s">
        <v>4</v>
      </c>
    </row>
    <row r="680" spans="1:5" x14ac:dyDescent="0.2">
      <c r="A680">
        <v>72</v>
      </c>
      <c r="B680" t="s">
        <v>38</v>
      </c>
      <c r="C680">
        <v>465.53</v>
      </c>
      <c r="D680">
        <v>2035</v>
      </c>
      <c r="E680" t="s">
        <v>4</v>
      </c>
    </row>
    <row r="681" spans="1:5" x14ac:dyDescent="0.2">
      <c r="A681">
        <v>73</v>
      </c>
      <c r="B681" t="s">
        <v>38</v>
      </c>
      <c r="C681">
        <v>454.17</v>
      </c>
      <c r="D681">
        <v>2035</v>
      </c>
      <c r="E681" t="s">
        <v>4</v>
      </c>
    </row>
    <row r="682" spans="1:5" x14ac:dyDescent="0.2">
      <c r="A682">
        <v>74</v>
      </c>
      <c r="B682" t="s">
        <v>38</v>
      </c>
      <c r="C682">
        <v>494.96</v>
      </c>
      <c r="D682">
        <v>2035</v>
      </c>
      <c r="E682" t="s">
        <v>4</v>
      </c>
    </row>
    <row r="683" spans="1:5" x14ac:dyDescent="0.2">
      <c r="A683">
        <v>75</v>
      </c>
      <c r="B683" t="s">
        <v>38</v>
      </c>
      <c r="C683">
        <v>479.07</v>
      </c>
      <c r="D683">
        <v>2035</v>
      </c>
      <c r="E683" t="s">
        <v>4</v>
      </c>
    </row>
    <row r="684" spans="1:5" x14ac:dyDescent="0.2">
      <c r="A684">
        <v>76</v>
      </c>
      <c r="B684" t="s">
        <v>38</v>
      </c>
      <c r="C684">
        <v>442.44</v>
      </c>
      <c r="D684">
        <v>2035</v>
      </c>
      <c r="E684" t="s">
        <v>4</v>
      </c>
    </row>
    <row r="685" spans="1:5" x14ac:dyDescent="0.2">
      <c r="A685">
        <v>77</v>
      </c>
      <c r="B685" t="s">
        <v>38</v>
      </c>
      <c r="C685">
        <v>420.07</v>
      </c>
      <c r="D685">
        <v>2035</v>
      </c>
      <c r="E685" t="s">
        <v>4</v>
      </c>
    </row>
    <row r="686" spans="1:5" x14ac:dyDescent="0.2">
      <c r="A686">
        <v>78</v>
      </c>
      <c r="B686" t="s">
        <v>38</v>
      </c>
      <c r="C686">
        <v>388.13</v>
      </c>
      <c r="D686">
        <v>2035</v>
      </c>
      <c r="E686" t="s">
        <v>4</v>
      </c>
    </row>
    <row r="687" spans="1:5" x14ac:dyDescent="0.2">
      <c r="A687">
        <v>79</v>
      </c>
      <c r="B687" t="s">
        <v>38</v>
      </c>
      <c r="C687">
        <v>372.46</v>
      </c>
      <c r="D687">
        <v>2035</v>
      </c>
      <c r="E687" t="s">
        <v>4</v>
      </c>
    </row>
    <row r="688" spans="1:5" x14ac:dyDescent="0.2">
      <c r="A688">
        <v>80</v>
      </c>
      <c r="B688" t="s">
        <v>38</v>
      </c>
      <c r="C688">
        <v>342.19</v>
      </c>
      <c r="D688">
        <v>2035</v>
      </c>
      <c r="E688" t="s">
        <v>4</v>
      </c>
    </row>
    <row r="689" spans="1:5" x14ac:dyDescent="0.2">
      <c r="A689">
        <v>81</v>
      </c>
      <c r="B689" t="s">
        <v>38</v>
      </c>
      <c r="C689">
        <v>301.18</v>
      </c>
      <c r="D689">
        <v>2035</v>
      </c>
      <c r="E689" t="s">
        <v>4</v>
      </c>
    </row>
    <row r="690" spans="1:5" x14ac:dyDescent="0.2">
      <c r="A690">
        <v>82</v>
      </c>
      <c r="B690" t="s">
        <v>38</v>
      </c>
      <c r="C690">
        <v>308.10000000000002</v>
      </c>
      <c r="D690">
        <v>2035</v>
      </c>
      <c r="E690" t="s">
        <v>4</v>
      </c>
    </row>
    <row r="691" spans="1:5" x14ac:dyDescent="0.2">
      <c r="A691">
        <v>83</v>
      </c>
      <c r="B691" t="s">
        <v>38</v>
      </c>
      <c r="C691">
        <v>249.35</v>
      </c>
      <c r="D691">
        <v>2035</v>
      </c>
      <c r="E691" t="s">
        <v>4</v>
      </c>
    </row>
    <row r="692" spans="1:5" x14ac:dyDescent="0.2">
      <c r="A692">
        <v>84</v>
      </c>
      <c r="B692" t="s">
        <v>38</v>
      </c>
      <c r="C692">
        <v>228.28</v>
      </c>
      <c r="D692">
        <v>2035</v>
      </c>
      <c r="E692" t="s">
        <v>4</v>
      </c>
    </row>
    <row r="693" spans="1:5" x14ac:dyDescent="0.2">
      <c r="A693">
        <v>85</v>
      </c>
      <c r="B693" t="s">
        <v>38</v>
      </c>
      <c r="C693">
        <v>209.37</v>
      </c>
      <c r="D693">
        <v>2035</v>
      </c>
      <c r="E693" t="s">
        <v>4</v>
      </c>
    </row>
    <row r="694" spans="1:5" x14ac:dyDescent="0.2">
      <c r="A694">
        <v>86</v>
      </c>
      <c r="B694" t="s">
        <v>38</v>
      </c>
      <c r="C694">
        <v>176.54</v>
      </c>
      <c r="D694">
        <v>2035</v>
      </c>
      <c r="E694" t="s">
        <v>4</v>
      </c>
    </row>
    <row r="695" spans="1:5" x14ac:dyDescent="0.2">
      <c r="A695">
        <v>87</v>
      </c>
      <c r="B695" t="s">
        <v>38</v>
      </c>
      <c r="C695">
        <v>157.36000000000001</v>
      </c>
      <c r="D695">
        <v>2035</v>
      </c>
      <c r="E695" t="s">
        <v>4</v>
      </c>
    </row>
    <row r="696" spans="1:5" x14ac:dyDescent="0.2">
      <c r="A696">
        <v>88</v>
      </c>
      <c r="B696" t="s">
        <v>38</v>
      </c>
      <c r="C696">
        <v>143.28</v>
      </c>
      <c r="D696">
        <v>2035</v>
      </c>
      <c r="E696" t="s">
        <v>4</v>
      </c>
    </row>
    <row r="697" spans="1:5" x14ac:dyDescent="0.2">
      <c r="A697">
        <v>89</v>
      </c>
      <c r="B697" t="s">
        <v>38</v>
      </c>
      <c r="C697">
        <v>116.03</v>
      </c>
      <c r="D697">
        <v>2035</v>
      </c>
      <c r="E697" t="s">
        <v>4</v>
      </c>
    </row>
    <row r="698" spans="1:5" x14ac:dyDescent="0.2">
      <c r="A698">
        <v>90</v>
      </c>
      <c r="B698" t="s">
        <v>38</v>
      </c>
      <c r="C698">
        <v>94.23</v>
      </c>
      <c r="D698">
        <v>2035</v>
      </c>
      <c r="E698" t="s">
        <v>4</v>
      </c>
    </row>
    <row r="699" spans="1:5" x14ac:dyDescent="0.2">
      <c r="A699">
        <v>91</v>
      </c>
      <c r="B699" t="s">
        <v>38</v>
      </c>
      <c r="C699">
        <v>79.34</v>
      </c>
      <c r="D699">
        <v>2035</v>
      </c>
      <c r="E699" t="s">
        <v>4</v>
      </c>
    </row>
    <row r="700" spans="1:5" x14ac:dyDescent="0.2">
      <c r="A700">
        <v>92</v>
      </c>
      <c r="B700" t="s">
        <v>38</v>
      </c>
      <c r="C700">
        <v>69.75</v>
      </c>
      <c r="D700">
        <v>2035</v>
      </c>
      <c r="E700" t="s">
        <v>4</v>
      </c>
    </row>
    <row r="701" spans="1:5" x14ac:dyDescent="0.2">
      <c r="A701">
        <v>93</v>
      </c>
      <c r="B701" t="s">
        <v>38</v>
      </c>
      <c r="C701">
        <v>58.93</v>
      </c>
      <c r="D701">
        <v>2035</v>
      </c>
      <c r="E701" t="s">
        <v>4</v>
      </c>
    </row>
    <row r="702" spans="1:5" x14ac:dyDescent="0.2">
      <c r="A702">
        <v>94</v>
      </c>
      <c r="B702" t="s">
        <v>38</v>
      </c>
      <c r="C702">
        <v>49.75</v>
      </c>
      <c r="D702">
        <v>2035</v>
      </c>
      <c r="E702" t="s">
        <v>4</v>
      </c>
    </row>
    <row r="703" spans="1:5" x14ac:dyDescent="0.2">
      <c r="A703">
        <v>95</v>
      </c>
      <c r="B703" t="s">
        <v>38</v>
      </c>
      <c r="C703">
        <v>43.06</v>
      </c>
      <c r="D703">
        <v>2035</v>
      </c>
      <c r="E703" t="s">
        <v>4</v>
      </c>
    </row>
    <row r="704" spans="1:5" x14ac:dyDescent="0.2">
      <c r="A704">
        <v>96</v>
      </c>
      <c r="B704" t="s">
        <v>38</v>
      </c>
      <c r="C704">
        <v>34.92</v>
      </c>
      <c r="D704">
        <v>2035</v>
      </c>
      <c r="E704" t="s">
        <v>4</v>
      </c>
    </row>
    <row r="705" spans="1:5" x14ac:dyDescent="0.2">
      <c r="A705">
        <v>97</v>
      </c>
      <c r="B705" t="s">
        <v>38</v>
      </c>
      <c r="C705">
        <v>24.41</v>
      </c>
      <c r="D705">
        <v>2035</v>
      </c>
      <c r="E705" t="s">
        <v>4</v>
      </c>
    </row>
    <row r="706" spans="1:5" x14ac:dyDescent="0.2">
      <c r="A706">
        <v>98</v>
      </c>
      <c r="B706" t="s">
        <v>38</v>
      </c>
      <c r="C706">
        <v>18.600000000000001</v>
      </c>
      <c r="D706">
        <v>2035</v>
      </c>
      <c r="E706" t="s">
        <v>4</v>
      </c>
    </row>
    <row r="707" spans="1:5" x14ac:dyDescent="0.2">
      <c r="A707">
        <v>99</v>
      </c>
      <c r="B707" t="s">
        <v>38</v>
      </c>
      <c r="C707">
        <v>16.61</v>
      </c>
      <c r="D707">
        <v>2035</v>
      </c>
      <c r="E707" t="s">
        <v>4</v>
      </c>
    </row>
    <row r="708" spans="1:5" x14ac:dyDescent="0.2">
      <c r="A708">
        <v>100</v>
      </c>
      <c r="B708" t="s">
        <v>38</v>
      </c>
      <c r="C708">
        <v>14.78</v>
      </c>
      <c r="D708">
        <v>2035</v>
      </c>
      <c r="E708" t="s">
        <v>4</v>
      </c>
    </row>
    <row r="709" spans="1:5" x14ac:dyDescent="0.2">
      <c r="A709">
        <v>0</v>
      </c>
      <c r="B709" t="s">
        <v>37</v>
      </c>
      <c r="C709">
        <v>839.41</v>
      </c>
      <c r="D709">
        <v>2035</v>
      </c>
      <c r="E709" t="s">
        <v>4</v>
      </c>
    </row>
    <row r="710" spans="1:5" x14ac:dyDescent="0.2">
      <c r="A710">
        <v>1</v>
      </c>
      <c r="B710" t="s">
        <v>37</v>
      </c>
      <c r="C710">
        <v>845.06</v>
      </c>
      <c r="D710">
        <v>2035</v>
      </c>
      <c r="E710" t="s">
        <v>4</v>
      </c>
    </row>
    <row r="711" spans="1:5" x14ac:dyDescent="0.2">
      <c r="A711">
        <v>2</v>
      </c>
      <c r="B711" t="s">
        <v>37</v>
      </c>
      <c r="C711">
        <v>858.01</v>
      </c>
      <c r="D711">
        <v>2035</v>
      </c>
      <c r="E711" t="s">
        <v>4</v>
      </c>
    </row>
    <row r="712" spans="1:5" x14ac:dyDescent="0.2">
      <c r="A712">
        <v>3</v>
      </c>
      <c r="B712" t="s">
        <v>37</v>
      </c>
      <c r="C712">
        <v>870.18</v>
      </c>
      <c r="D712">
        <v>2035</v>
      </c>
      <c r="E712" t="s">
        <v>4</v>
      </c>
    </row>
    <row r="713" spans="1:5" x14ac:dyDescent="0.2">
      <c r="A713">
        <v>4</v>
      </c>
      <c r="B713" t="s">
        <v>37</v>
      </c>
      <c r="C713">
        <v>885.62</v>
      </c>
      <c r="D713">
        <v>2035</v>
      </c>
      <c r="E713" t="s">
        <v>4</v>
      </c>
    </row>
    <row r="714" spans="1:5" x14ac:dyDescent="0.2">
      <c r="A714">
        <v>5</v>
      </c>
      <c r="B714" t="s">
        <v>37</v>
      </c>
      <c r="C714">
        <v>899.55</v>
      </c>
      <c r="D714">
        <v>2035</v>
      </c>
      <c r="E714" t="s">
        <v>4</v>
      </c>
    </row>
    <row r="715" spans="1:5" x14ac:dyDescent="0.2">
      <c r="A715">
        <v>6</v>
      </c>
      <c r="B715" t="s">
        <v>37</v>
      </c>
      <c r="C715">
        <v>917.32</v>
      </c>
      <c r="D715">
        <v>2035</v>
      </c>
      <c r="E715" t="s">
        <v>4</v>
      </c>
    </row>
    <row r="716" spans="1:5" x14ac:dyDescent="0.2">
      <c r="A716">
        <v>7</v>
      </c>
      <c r="B716" t="s">
        <v>37</v>
      </c>
      <c r="C716">
        <v>937.2</v>
      </c>
      <c r="D716">
        <v>2035</v>
      </c>
      <c r="E716" t="s">
        <v>4</v>
      </c>
    </row>
    <row r="717" spans="1:5" x14ac:dyDescent="0.2">
      <c r="A717">
        <v>8</v>
      </c>
      <c r="B717" t="s">
        <v>37</v>
      </c>
      <c r="C717">
        <v>959.24</v>
      </c>
      <c r="D717">
        <v>2035</v>
      </c>
      <c r="E717" t="s">
        <v>4</v>
      </c>
    </row>
    <row r="718" spans="1:5" x14ac:dyDescent="0.2">
      <c r="A718">
        <v>9</v>
      </c>
      <c r="B718" t="s">
        <v>37</v>
      </c>
      <c r="C718">
        <v>985.91</v>
      </c>
      <c r="D718">
        <v>2035</v>
      </c>
      <c r="E718" t="s">
        <v>4</v>
      </c>
    </row>
    <row r="719" spans="1:5" x14ac:dyDescent="0.2">
      <c r="A719">
        <v>10</v>
      </c>
      <c r="B719" t="s">
        <v>37</v>
      </c>
      <c r="C719">
        <v>1011.43</v>
      </c>
      <c r="D719">
        <v>2035</v>
      </c>
      <c r="E719" t="s">
        <v>4</v>
      </c>
    </row>
    <row r="720" spans="1:5" x14ac:dyDescent="0.2">
      <c r="A720">
        <v>11</v>
      </c>
      <c r="B720" t="s">
        <v>37</v>
      </c>
      <c r="C720">
        <v>1036.43</v>
      </c>
      <c r="D720">
        <v>2035</v>
      </c>
      <c r="E720" t="s">
        <v>4</v>
      </c>
    </row>
    <row r="721" spans="1:5" x14ac:dyDescent="0.2">
      <c r="A721">
        <v>12</v>
      </c>
      <c r="B721" t="s">
        <v>37</v>
      </c>
      <c r="C721">
        <v>1055.8800000000001</v>
      </c>
      <c r="D721">
        <v>2035</v>
      </c>
      <c r="E721" t="s">
        <v>4</v>
      </c>
    </row>
    <row r="722" spans="1:5" x14ac:dyDescent="0.2">
      <c r="A722">
        <v>13</v>
      </c>
      <c r="B722" t="s">
        <v>37</v>
      </c>
      <c r="C722">
        <v>1069.1300000000001</v>
      </c>
      <c r="D722">
        <v>2035</v>
      </c>
      <c r="E722" t="s">
        <v>4</v>
      </c>
    </row>
    <row r="723" spans="1:5" x14ac:dyDescent="0.2">
      <c r="A723">
        <v>14</v>
      </c>
      <c r="B723" t="s">
        <v>37</v>
      </c>
      <c r="C723">
        <v>1085.1500000000001</v>
      </c>
      <c r="D723">
        <v>2035</v>
      </c>
      <c r="E723" t="s">
        <v>4</v>
      </c>
    </row>
    <row r="724" spans="1:5" x14ac:dyDescent="0.2">
      <c r="A724">
        <v>15</v>
      </c>
      <c r="B724" t="s">
        <v>37</v>
      </c>
      <c r="C724">
        <v>1215.74</v>
      </c>
      <c r="D724">
        <v>2035</v>
      </c>
      <c r="E724" t="s">
        <v>4</v>
      </c>
    </row>
    <row r="725" spans="1:5" x14ac:dyDescent="0.2">
      <c r="A725">
        <v>16</v>
      </c>
      <c r="B725" t="s">
        <v>37</v>
      </c>
      <c r="C725">
        <v>1298.98</v>
      </c>
      <c r="D725">
        <v>2035</v>
      </c>
      <c r="E725" t="s">
        <v>4</v>
      </c>
    </row>
    <row r="726" spans="1:5" x14ac:dyDescent="0.2">
      <c r="A726">
        <v>17</v>
      </c>
      <c r="B726" t="s">
        <v>37</v>
      </c>
      <c r="C726">
        <v>1323.22</v>
      </c>
      <c r="D726">
        <v>2035</v>
      </c>
      <c r="E726" t="s">
        <v>4</v>
      </c>
    </row>
    <row r="727" spans="1:5" x14ac:dyDescent="0.2">
      <c r="A727">
        <v>18</v>
      </c>
      <c r="B727" t="s">
        <v>37</v>
      </c>
      <c r="C727">
        <v>1324.5</v>
      </c>
      <c r="D727">
        <v>2035</v>
      </c>
      <c r="E727" t="s">
        <v>4</v>
      </c>
    </row>
    <row r="728" spans="1:5" x14ac:dyDescent="0.2">
      <c r="A728">
        <v>19</v>
      </c>
      <c r="B728" t="s">
        <v>37</v>
      </c>
      <c r="C728">
        <v>1339.78</v>
      </c>
      <c r="D728">
        <v>2035</v>
      </c>
      <c r="E728" t="s">
        <v>4</v>
      </c>
    </row>
    <row r="729" spans="1:5" x14ac:dyDescent="0.2">
      <c r="A729">
        <v>20</v>
      </c>
      <c r="B729" t="s">
        <v>37</v>
      </c>
      <c r="C729">
        <v>1334.11</v>
      </c>
      <c r="D729">
        <v>2035</v>
      </c>
      <c r="E729" t="s">
        <v>4</v>
      </c>
    </row>
    <row r="730" spans="1:5" x14ac:dyDescent="0.2">
      <c r="A730">
        <v>21</v>
      </c>
      <c r="B730" t="s">
        <v>37</v>
      </c>
      <c r="C730">
        <v>1333.2</v>
      </c>
      <c r="D730">
        <v>2035</v>
      </c>
      <c r="E730" t="s">
        <v>4</v>
      </c>
    </row>
    <row r="731" spans="1:5" x14ac:dyDescent="0.2">
      <c r="A731">
        <v>22</v>
      </c>
      <c r="B731" t="s">
        <v>37</v>
      </c>
      <c r="C731">
        <v>1309.03</v>
      </c>
      <c r="D731">
        <v>2035</v>
      </c>
      <c r="E731" t="s">
        <v>4</v>
      </c>
    </row>
    <row r="732" spans="1:5" x14ac:dyDescent="0.2">
      <c r="A732">
        <v>23</v>
      </c>
      <c r="B732" t="s">
        <v>37</v>
      </c>
      <c r="C732">
        <v>1294.74</v>
      </c>
      <c r="D732">
        <v>2035</v>
      </c>
      <c r="E732" t="s">
        <v>4</v>
      </c>
    </row>
    <row r="733" spans="1:5" x14ac:dyDescent="0.2">
      <c r="A733">
        <v>24</v>
      </c>
      <c r="B733" t="s">
        <v>37</v>
      </c>
      <c r="C733">
        <v>1205.8</v>
      </c>
      <c r="D733">
        <v>2035</v>
      </c>
      <c r="E733" t="s">
        <v>4</v>
      </c>
    </row>
    <row r="734" spans="1:5" x14ac:dyDescent="0.2">
      <c r="A734">
        <v>25</v>
      </c>
      <c r="B734" t="s">
        <v>37</v>
      </c>
      <c r="C734">
        <v>902.27</v>
      </c>
      <c r="D734">
        <v>2035</v>
      </c>
      <c r="E734" t="s">
        <v>4</v>
      </c>
    </row>
    <row r="735" spans="1:5" x14ac:dyDescent="0.2">
      <c r="A735">
        <v>26</v>
      </c>
      <c r="B735" t="s">
        <v>37</v>
      </c>
      <c r="C735">
        <v>862.15</v>
      </c>
      <c r="D735">
        <v>2035</v>
      </c>
      <c r="E735" t="s">
        <v>4</v>
      </c>
    </row>
    <row r="736" spans="1:5" x14ac:dyDescent="0.2">
      <c r="A736">
        <v>27</v>
      </c>
      <c r="B736" t="s">
        <v>37</v>
      </c>
      <c r="C736">
        <v>929.56</v>
      </c>
      <c r="D736">
        <v>2035</v>
      </c>
      <c r="E736" t="s">
        <v>4</v>
      </c>
    </row>
    <row r="737" spans="1:5" x14ac:dyDescent="0.2">
      <c r="A737">
        <v>28</v>
      </c>
      <c r="B737" t="s">
        <v>37</v>
      </c>
      <c r="C737">
        <v>901.67</v>
      </c>
      <c r="D737">
        <v>2035</v>
      </c>
      <c r="E737" t="s">
        <v>4</v>
      </c>
    </row>
    <row r="738" spans="1:5" x14ac:dyDescent="0.2">
      <c r="A738">
        <v>29</v>
      </c>
      <c r="B738" t="s">
        <v>37</v>
      </c>
      <c r="C738">
        <v>883.41</v>
      </c>
      <c r="D738">
        <v>2035</v>
      </c>
      <c r="E738" t="s">
        <v>4</v>
      </c>
    </row>
    <row r="739" spans="1:5" x14ac:dyDescent="0.2">
      <c r="A739">
        <v>30</v>
      </c>
      <c r="B739" t="s">
        <v>37</v>
      </c>
      <c r="C739">
        <v>878.18</v>
      </c>
      <c r="D739">
        <v>2035</v>
      </c>
      <c r="E739" t="s">
        <v>4</v>
      </c>
    </row>
    <row r="740" spans="1:5" x14ac:dyDescent="0.2">
      <c r="A740">
        <v>31</v>
      </c>
      <c r="B740" t="s">
        <v>37</v>
      </c>
      <c r="C740">
        <v>836.23</v>
      </c>
      <c r="D740">
        <v>2035</v>
      </c>
      <c r="E740" t="s">
        <v>4</v>
      </c>
    </row>
    <row r="741" spans="1:5" x14ac:dyDescent="0.2">
      <c r="A741">
        <v>32</v>
      </c>
      <c r="B741" t="s">
        <v>37</v>
      </c>
      <c r="C741">
        <v>794.76</v>
      </c>
      <c r="D741">
        <v>2035</v>
      </c>
      <c r="E741" t="s">
        <v>4</v>
      </c>
    </row>
    <row r="742" spans="1:5" x14ac:dyDescent="0.2">
      <c r="A742">
        <v>33</v>
      </c>
      <c r="B742" t="s">
        <v>37</v>
      </c>
      <c r="C742">
        <v>785.61</v>
      </c>
      <c r="D742">
        <v>2035</v>
      </c>
      <c r="E742" t="s">
        <v>4</v>
      </c>
    </row>
    <row r="743" spans="1:5" x14ac:dyDescent="0.2">
      <c r="A743">
        <v>34</v>
      </c>
      <c r="B743" t="s">
        <v>37</v>
      </c>
      <c r="C743">
        <v>791.35</v>
      </c>
      <c r="D743">
        <v>2035</v>
      </c>
      <c r="E743" t="s">
        <v>4</v>
      </c>
    </row>
    <row r="744" spans="1:5" x14ac:dyDescent="0.2">
      <c r="A744">
        <v>35</v>
      </c>
      <c r="B744" t="s">
        <v>37</v>
      </c>
      <c r="C744">
        <v>803.3</v>
      </c>
      <c r="D744">
        <v>2035</v>
      </c>
      <c r="E744" t="s">
        <v>4</v>
      </c>
    </row>
    <row r="745" spans="1:5" x14ac:dyDescent="0.2">
      <c r="A745">
        <v>36</v>
      </c>
      <c r="B745" t="s">
        <v>37</v>
      </c>
      <c r="C745">
        <v>818.1</v>
      </c>
      <c r="D745">
        <v>2035</v>
      </c>
      <c r="E745" t="s">
        <v>4</v>
      </c>
    </row>
    <row r="746" spans="1:5" x14ac:dyDescent="0.2">
      <c r="A746">
        <v>37</v>
      </c>
      <c r="B746" t="s">
        <v>37</v>
      </c>
      <c r="C746">
        <v>769</v>
      </c>
      <c r="D746">
        <v>2035</v>
      </c>
      <c r="E746" t="s">
        <v>4</v>
      </c>
    </row>
    <row r="747" spans="1:5" x14ac:dyDescent="0.2">
      <c r="A747">
        <v>38</v>
      </c>
      <c r="B747" t="s">
        <v>37</v>
      </c>
      <c r="C747">
        <v>786.36</v>
      </c>
      <c r="D747">
        <v>2035</v>
      </c>
      <c r="E747" t="s">
        <v>4</v>
      </c>
    </row>
    <row r="748" spans="1:5" x14ac:dyDescent="0.2">
      <c r="A748">
        <v>39</v>
      </c>
      <c r="B748" t="s">
        <v>37</v>
      </c>
      <c r="C748">
        <v>900.16</v>
      </c>
      <c r="D748">
        <v>2035</v>
      </c>
      <c r="E748" t="s">
        <v>4</v>
      </c>
    </row>
    <row r="749" spans="1:5" x14ac:dyDescent="0.2">
      <c r="A749">
        <v>40</v>
      </c>
      <c r="B749" t="s">
        <v>37</v>
      </c>
      <c r="C749">
        <v>867.72</v>
      </c>
      <c r="D749">
        <v>2035</v>
      </c>
      <c r="E749" t="s">
        <v>4</v>
      </c>
    </row>
    <row r="750" spans="1:5" x14ac:dyDescent="0.2">
      <c r="A750">
        <v>41</v>
      </c>
      <c r="B750" t="s">
        <v>37</v>
      </c>
      <c r="C750">
        <v>846.11</v>
      </c>
      <c r="D750">
        <v>2035</v>
      </c>
      <c r="E750" t="s">
        <v>4</v>
      </c>
    </row>
    <row r="751" spans="1:5" x14ac:dyDescent="0.2">
      <c r="A751">
        <v>42</v>
      </c>
      <c r="B751" t="s">
        <v>37</v>
      </c>
      <c r="C751">
        <v>835.74</v>
      </c>
      <c r="D751">
        <v>2035</v>
      </c>
      <c r="E751" t="s">
        <v>4</v>
      </c>
    </row>
    <row r="752" spans="1:5" x14ac:dyDescent="0.2">
      <c r="A752">
        <v>43</v>
      </c>
      <c r="B752" t="s">
        <v>37</v>
      </c>
      <c r="C752">
        <v>855.28</v>
      </c>
      <c r="D752">
        <v>2035</v>
      </c>
      <c r="E752" t="s">
        <v>4</v>
      </c>
    </row>
    <row r="753" spans="1:5" x14ac:dyDescent="0.2">
      <c r="A753">
        <v>44</v>
      </c>
      <c r="B753" t="s">
        <v>37</v>
      </c>
      <c r="C753">
        <v>807.57</v>
      </c>
      <c r="D753">
        <v>2035</v>
      </c>
      <c r="E753" t="s">
        <v>4</v>
      </c>
    </row>
    <row r="754" spans="1:5" x14ac:dyDescent="0.2">
      <c r="A754">
        <v>45</v>
      </c>
      <c r="B754" t="s">
        <v>37</v>
      </c>
      <c r="C754">
        <v>711.52</v>
      </c>
      <c r="D754">
        <v>2035</v>
      </c>
      <c r="E754" t="s">
        <v>4</v>
      </c>
    </row>
    <row r="755" spans="1:5" x14ac:dyDescent="0.2">
      <c r="A755">
        <v>46</v>
      </c>
      <c r="B755" t="s">
        <v>37</v>
      </c>
      <c r="C755">
        <v>722.7</v>
      </c>
      <c r="D755">
        <v>2035</v>
      </c>
      <c r="E755" t="s">
        <v>4</v>
      </c>
    </row>
    <row r="756" spans="1:5" x14ac:dyDescent="0.2">
      <c r="A756">
        <v>47</v>
      </c>
      <c r="B756" t="s">
        <v>37</v>
      </c>
      <c r="C756">
        <v>742.99</v>
      </c>
      <c r="D756">
        <v>2035</v>
      </c>
      <c r="E756" t="s">
        <v>4</v>
      </c>
    </row>
    <row r="757" spans="1:5" x14ac:dyDescent="0.2">
      <c r="A757">
        <v>48</v>
      </c>
      <c r="B757" t="s">
        <v>37</v>
      </c>
      <c r="C757">
        <v>750.1</v>
      </c>
      <c r="D757">
        <v>2035</v>
      </c>
      <c r="E757" t="s">
        <v>4</v>
      </c>
    </row>
    <row r="758" spans="1:5" x14ac:dyDescent="0.2">
      <c r="A758">
        <v>49</v>
      </c>
      <c r="B758" t="s">
        <v>37</v>
      </c>
      <c r="C758">
        <v>778.96</v>
      </c>
      <c r="D758">
        <v>2035</v>
      </c>
      <c r="E758" t="s">
        <v>4</v>
      </c>
    </row>
    <row r="759" spans="1:5" x14ac:dyDescent="0.2">
      <c r="A759">
        <v>50</v>
      </c>
      <c r="B759" t="s">
        <v>37</v>
      </c>
      <c r="C759">
        <v>798.93</v>
      </c>
      <c r="D759">
        <v>2035</v>
      </c>
      <c r="E759" t="s">
        <v>4</v>
      </c>
    </row>
    <row r="760" spans="1:5" x14ac:dyDescent="0.2">
      <c r="A760">
        <v>51</v>
      </c>
      <c r="B760" t="s">
        <v>37</v>
      </c>
      <c r="C760">
        <v>795.01</v>
      </c>
      <c r="D760">
        <v>2035</v>
      </c>
      <c r="E760" t="s">
        <v>4</v>
      </c>
    </row>
    <row r="761" spans="1:5" x14ac:dyDescent="0.2">
      <c r="A761">
        <v>52</v>
      </c>
      <c r="B761" t="s">
        <v>37</v>
      </c>
      <c r="C761">
        <v>798.8</v>
      </c>
      <c r="D761">
        <v>2035</v>
      </c>
      <c r="E761" t="s">
        <v>4</v>
      </c>
    </row>
    <row r="762" spans="1:5" x14ac:dyDescent="0.2">
      <c r="A762">
        <v>53</v>
      </c>
      <c r="B762" t="s">
        <v>37</v>
      </c>
      <c r="C762">
        <v>777.12</v>
      </c>
      <c r="D762">
        <v>2035</v>
      </c>
      <c r="E762" t="s">
        <v>4</v>
      </c>
    </row>
    <row r="763" spans="1:5" x14ac:dyDescent="0.2">
      <c r="A763">
        <v>54</v>
      </c>
      <c r="B763" t="s">
        <v>37</v>
      </c>
      <c r="C763">
        <v>712.76</v>
      </c>
      <c r="D763">
        <v>2035</v>
      </c>
      <c r="E763" t="s">
        <v>4</v>
      </c>
    </row>
    <row r="764" spans="1:5" x14ac:dyDescent="0.2">
      <c r="A764">
        <v>55</v>
      </c>
      <c r="B764" t="s">
        <v>37</v>
      </c>
      <c r="C764">
        <v>641.65</v>
      </c>
      <c r="D764">
        <v>2035</v>
      </c>
      <c r="E764" t="s">
        <v>4</v>
      </c>
    </row>
    <row r="765" spans="1:5" x14ac:dyDescent="0.2">
      <c r="A765">
        <v>56</v>
      </c>
      <c r="B765" t="s">
        <v>37</v>
      </c>
      <c r="C765">
        <v>581.88</v>
      </c>
      <c r="D765">
        <v>2035</v>
      </c>
      <c r="E765" t="s">
        <v>4</v>
      </c>
    </row>
    <row r="766" spans="1:5" x14ac:dyDescent="0.2">
      <c r="A766">
        <v>57</v>
      </c>
      <c r="B766" t="s">
        <v>37</v>
      </c>
      <c r="C766">
        <v>526.17999999999995</v>
      </c>
      <c r="D766">
        <v>2035</v>
      </c>
      <c r="E766" t="s">
        <v>4</v>
      </c>
    </row>
    <row r="767" spans="1:5" x14ac:dyDescent="0.2">
      <c r="A767">
        <v>58</v>
      </c>
      <c r="B767" t="s">
        <v>37</v>
      </c>
      <c r="C767">
        <v>520.59</v>
      </c>
      <c r="D767">
        <v>2035</v>
      </c>
      <c r="E767" t="s">
        <v>4</v>
      </c>
    </row>
    <row r="768" spans="1:5" x14ac:dyDescent="0.2">
      <c r="A768">
        <v>59</v>
      </c>
      <c r="B768" t="s">
        <v>37</v>
      </c>
      <c r="C768">
        <v>540.37</v>
      </c>
      <c r="D768">
        <v>2035</v>
      </c>
      <c r="E768" t="s">
        <v>4</v>
      </c>
    </row>
    <row r="769" spans="1:5" x14ac:dyDescent="0.2">
      <c r="A769">
        <v>60</v>
      </c>
      <c r="B769" t="s">
        <v>37</v>
      </c>
      <c r="C769">
        <v>544.38</v>
      </c>
      <c r="D769">
        <v>2035</v>
      </c>
      <c r="E769" t="s">
        <v>4</v>
      </c>
    </row>
    <row r="770" spans="1:5" x14ac:dyDescent="0.2">
      <c r="A770">
        <v>61</v>
      </c>
      <c r="B770" t="s">
        <v>37</v>
      </c>
      <c r="C770">
        <v>495.56</v>
      </c>
      <c r="D770">
        <v>2035</v>
      </c>
      <c r="E770" t="s">
        <v>4</v>
      </c>
    </row>
    <row r="771" spans="1:5" x14ac:dyDescent="0.2">
      <c r="A771">
        <v>62</v>
      </c>
      <c r="B771" t="s">
        <v>37</v>
      </c>
      <c r="C771">
        <v>481.94</v>
      </c>
      <c r="D771">
        <v>2035</v>
      </c>
      <c r="E771" t="s">
        <v>4</v>
      </c>
    </row>
    <row r="772" spans="1:5" x14ac:dyDescent="0.2">
      <c r="A772">
        <v>63</v>
      </c>
      <c r="B772" t="s">
        <v>37</v>
      </c>
      <c r="C772">
        <v>432.4</v>
      </c>
      <c r="D772">
        <v>2035</v>
      </c>
      <c r="E772" t="s">
        <v>4</v>
      </c>
    </row>
    <row r="773" spans="1:5" x14ac:dyDescent="0.2">
      <c r="A773">
        <v>64</v>
      </c>
      <c r="B773" t="s">
        <v>37</v>
      </c>
      <c r="C773">
        <v>453.12</v>
      </c>
      <c r="D773">
        <v>2035</v>
      </c>
      <c r="E773" t="s">
        <v>4</v>
      </c>
    </row>
    <row r="774" spans="1:5" x14ac:dyDescent="0.2">
      <c r="A774">
        <v>65</v>
      </c>
      <c r="B774" t="s">
        <v>37</v>
      </c>
      <c r="C774">
        <v>485.87</v>
      </c>
      <c r="D774">
        <v>2035</v>
      </c>
      <c r="E774" t="s">
        <v>4</v>
      </c>
    </row>
    <row r="775" spans="1:5" x14ac:dyDescent="0.2">
      <c r="A775">
        <v>66</v>
      </c>
      <c r="B775" t="s">
        <v>37</v>
      </c>
      <c r="C775">
        <v>457.13</v>
      </c>
      <c r="D775">
        <v>2035</v>
      </c>
      <c r="E775" t="s">
        <v>4</v>
      </c>
    </row>
    <row r="776" spans="1:5" x14ac:dyDescent="0.2">
      <c r="A776">
        <v>67</v>
      </c>
      <c r="B776" t="s">
        <v>37</v>
      </c>
      <c r="C776">
        <v>443.39</v>
      </c>
      <c r="D776">
        <v>2035</v>
      </c>
      <c r="E776" t="s">
        <v>4</v>
      </c>
    </row>
    <row r="777" spans="1:5" x14ac:dyDescent="0.2">
      <c r="A777">
        <v>68</v>
      </c>
      <c r="B777" t="s">
        <v>37</v>
      </c>
      <c r="C777">
        <v>435.95</v>
      </c>
      <c r="D777">
        <v>2035</v>
      </c>
      <c r="E777" t="s">
        <v>4</v>
      </c>
    </row>
    <row r="778" spans="1:5" x14ac:dyDescent="0.2">
      <c r="A778">
        <v>69</v>
      </c>
      <c r="B778" t="s">
        <v>37</v>
      </c>
      <c r="C778">
        <v>427.36</v>
      </c>
      <c r="D778">
        <v>2035</v>
      </c>
      <c r="E778" t="s">
        <v>4</v>
      </c>
    </row>
    <row r="779" spans="1:5" x14ac:dyDescent="0.2">
      <c r="A779">
        <v>70</v>
      </c>
      <c r="B779" t="s">
        <v>37</v>
      </c>
      <c r="C779">
        <v>440.57</v>
      </c>
      <c r="D779">
        <v>2035</v>
      </c>
      <c r="E779" t="s">
        <v>4</v>
      </c>
    </row>
    <row r="780" spans="1:5" x14ac:dyDescent="0.2">
      <c r="A780">
        <v>71</v>
      </c>
      <c r="B780" t="s">
        <v>37</v>
      </c>
      <c r="C780">
        <v>424.69</v>
      </c>
      <c r="D780">
        <v>2035</v>
      </c>
      <c r="E780" t="s">
        <v>4</v>
      </c>
    </row>
    <row r="781" spans="1:5" x14ac:dyDescent="0.2">
      <c r="A781">
        <v>72</v>
      </c>
      <c r="B781" t="s">
        <v>37</v>
      </c>
      <c r="C781">
        <v>411.65</v>
      </c>
      <c r="D781">
        <v>2035</v>
      </c>
      <c r="E781" t="s">
        <v>4</v>
      </c>
    </row>
    <row r="782" spans="1:5" x14ac:dyDescent="0.2">
      <c r="A782">
        <v>73</v>
      </c>
      <c r="B782" t="s">
        <v>37</v>
      </c>
      <c r="C782">
        <v>352.57</v>
      </c>
      <c r="D782">
        <v>2035</v>
      </c>
      <c r="E782" t="s">
        <v>4</v>
      </c>
    </row>
    <row r="783" spans="1:5" x14ac:dyDescent="0.2">
      <c r="A783">
        <v>74</v>
      </c>
      <c r="B783" t="s">
        <v>37</v>
      </c>
      <c r="C783">
        <v>380.63</v>
      </c>
      <c r="D783">
        <v>2035</v>
      </c>
      <c r="E783" t="s">
        <v>4</v>
      </c>
    </row>
    <row r="784" spans="1:5" x14ac:dyDescent="0.2">
      <c r="A784">
        <v>75</v>
      </c>
      <c r="B784" t="s">
        <v>37</v>
      </c>
      <c r="C784">
        <v>391.93</v>
      </c>
      <c r="D784">
        <v>2035</v>
      </c>
      <c r="E784" t="s">
        <v>4</v>
      </c>
    </row>
    <row r="785" spans="1:5" x14ac:dyDescent="0.2">
      <c r="A785">
        <v>76</v>
      </c>
      <c r="B785" t="s">
        <v>37</v>
      </c>
      <c r="C785">
        <v>347.17</v>
      </c>
      <c r="D785">
        <v>2035</v>
      </c>
      <c r="E785" t="s">
        <v>4</v>
      </c>
    </row>
    <row r="786" spans="1:5" x14ac:dyDescent="0.2">
      <c r="A786">
        <v>77</v>
      </c>
      <c r="B786" t="s">
        <v>37</v>
      </c>
      <c r="C786">
        <v>317.36</v>
      </c>
      <c r="D786">
        <v>2035</v>
      </c>
      <c r="E786" t="s">
        <v>4</v>
      </c>
    </row>
    <row r="787" spans="1:5" x14ac:dyDescent="0.2">
      <c r="A787">
        <v>78</v>
      </c>
      <c r="B787" t="s">
        <v>37</v>
      </c>
      <c r="C787">
        <v>291.43</v>
      </c>
      <c r="D787">
        <v>2035</v>
      </c>
      <c r="E787" t="s">
        <v>4</v>
      </c>
    </row>
    <row r="788" spans="1:5" x14ac:dyDescent="0.2">
      <c r="A788">
        <v>79</v>
      </c>
      <c r="B788" t="s">
        <v>37</v>
      </c>
      <c r="C788">
        <v>287.16000000000003</v>
      </c>
      <c r="D788">
        <v>2035</v>
      </c>
      <c r="E788" t="s">
        <v>4</v>
      </c>
    </row>
    <row r="789" spans="1:5" x14ac:dyDescent="0.2">
      <c r="A789">
        <v>80</v>
      </c>
      <c r="B789" t="s">
        <v>37</v>
      </c>
      <c r="C789">
        <v>274.42</v>
      </c>
      <c r="D789">
        <v>2035</v>
      </c>
      <c r="E789" t="s">
        <v>4</v>
      </c>
    </row>
    <row r="790" spans="1:5" x14ac:dyDescent="0.2">
      <c r="A790">
        <v>81</v>
      </c>
      <c r="B790" t="s">
        <v>37</v>
      </c>
      <c r="C790">
        <v>260.66000000000003</v>
      </c>
      <c r="D790">
        <v>2035</v>
      </c>
      <c r="E790" t="s">
        <v>4</v>
      </c>
    </row>
    <row r="791" spans="1:5" x14ac:dyDescent="0.2">
      <c r="A791">
        <v>82</v>
      </c>
      <c r="B791" t="s">
        <v>37</v>
      </c>
      <c r="C791">
        <v>206.24</v>
      </c>
      <c r="D791">
        <v>2035</v>
      </c>
      <c r="E791" t="s">
        <v>4</v>
      </c>
    </row>
    <row r="792" spans="1:5" x14ac:dyDescent="0.2">
      <c r="A792">
        <v>83</v>
      </c>
      <c r="B792" t="s">
        <v>37</v>
      </c>
      <c r="C792">
        <v>173.53</v>
      </c>
      <c r="D792">
        <v>2035</v>
      </c>
      <c r="E792" t="s">
        <v>4</v>
      </c>
    </row>
    <row r="793" spans="1:5" x14ac:dyDescent="0.2">
      <c r="A793">
        <v>84</v>
      </c>
      <c r="B793" t="s">
        <v>37</v>
      </c>
      <c r="C793">
        <v>145.69999999999999</v>
      </c>
      <c r="D793">
        <v>2035</v>
      </c>
      <c r="E793" t="s">
        <v>4</v>
      </c>
    </row>
    <row r="794" spans="1:5" x14ac:dyDescent="0.2">
      <c r="A794">
        <v>85</v>
      </c>
      <c r="B794" t="s">
        <v>37</v>
      </c>
      <c r="C794">
        <v>118.9</v>
      </c>
      <c r="D794">
        <v>2035</v>
      </c>
      <c r="E794" t="s">
        <v>4</v>
      </c>
    </row>
    <row r="795" spans="1:5" x14ac:dyDescent="0.2">
      <c r="A795">
        <v>86</v>
      </c>
      <c r="B795" t="s">
        <v>37</v>
      </c>
      <c r="C795">
        <v>101.27</v>
      </c>
      <c r="D795">
        <v>2035</v>
      </c>
      <c r="E795" t="s">
        <v>4</v>
      </c>
    </row>
    <row r="796" spans="1:5" x14ac:dyDescent="0.2">
      <c r="A796">
        <v>87</v>
      </c>
      <c r="B796" t="s">
        <v>37</v>
      </c>
      <c r="C796">
        <v>86.24</v>
      </c>
      <c r="D796">
        <v>2035</v>
      </c>
      <c r="E796" t="s">
        <v>4</v>
      </c>
    </row>
    <row r="797" spans="1:5" x14ac:dyDescent="0.2">
      <c r="A797">
        <v>88</v>
      </c>
      <c r="B797" t="s">
        <v>37</v>
      </c>
      <c r="C797">
        <v>61.87</v>
      </c>
      <c r="D797">
        <v>2035</v>
      </c>
      <c r="E797" t="s">
        <v>4</v>
      </c>
    </row>
    <row r="798" spans="1:5" x14ac:dyDescent="0.2">
      <c r="A798">
        <v>89</v>
      </c>
      <c r="B798" t="s">
        <v>37</v>
      </c>
      <c r="C798">
        <v>58.89</v>
      </c>
      <c r="D798">
        <v>2035</v>
      </c>
      <c r="E798" t="s">
        <v>4</v>
      </c>
    </row>
    <row r="799" spans="1:5" x14ac:dyDescent="0.2">
      <c r="A799">
        <v>90</v>
      </c>
      <c r="B799" t="s">
        <v>37</v>
      </c>
      <c r="C799">
        <v>51.69</v>
      </c>
      <c r="D799">
        <v>2035</v>
      </c>
      <c r="E799" t="s">
        <v>4</v>
      </c>
    </row>
    <row r="800" spans="1:5" x14ac:dyDescent="0.2">
      <c r="A800">
        <v>91</v>
      </c>
      <c r="B800" t="s">
        <v>37</v>
      </c>
      <c r="C800">
        <v>41.91</v>
      </c>
      <c r="D800">
        <v>2035</v>
      </c>
      <c r="E800" t="s">
        <v>4</v>
      </c>
    </row>
    <row r="801" spans="1:5" x14ac:dyDescent="0.2">
      <c r="A801">
        <v>92</v>
      </c>
      <c r="B801" t="s">
        <v>37</v>
      </c>
      <c r="C801">
        <v>34.340000000000003</v>
      </c>
      <c r="D801">
        <v>2035</v>
      </c>
      <c r="E801" t="s">
        <v>4</v>
      </c>
    </row>
    <row r="802" spans="1:5" x14ac:dyDescent="0.2">
      <c r="A802">
        <v>93</v>
      </c>
      <c r="B802" t="s">
        <v>37</v>
      </c>
      <c r="C802">
        <v>27.93</v>
      </c>
      <c r="D802">
        <v>2035</v>
      </c>
      <c r="E802" t="s">
        <v>4</v>
      </c>
    </row>
    <row r="803" spans="1:5" x14ac:dyDescent="0.2">
      <c r="A803">
        <v>94</v>
      </c>
      <c r="B803" t="s">
        <v>37</v>
      </c>
      <c r="C803">
        <v>24.12</v>
      </c>
      <c r="D803">
        <v>2035</v>
      </c>
      <c r="E803" t="s">
        <v>4</v>
      </c>
    </row>
    <row r="804" spans="1:5" x14ac:dyDescent="0.2">
      <c r="A804">
        <v>95</v>
      </c>
      <c r="B804" t="s">
        <v>37</v>
      </c>
      <c r="C804">
        <v>17.75</v>
      </c>
      <c r="D804">
        <v>2035</v>
      </c>
      <c r="E804" t="s">
        <v>4</v>
      </c>
    </row>
    <row r="805" spans="1:5" x14ac:dyDescent="0.2">
      <c r="A805">
        <v>96</v>
      </c>
      <c r="B805" t="s">
        <v>37</v>
      </c>
      <c r="C805">
        <v>11.99</v>
      </c>
      <c r="D805">
        <v>2035</v>
      </c>
      <c r="E805" t="s">
        <v>4</v>
      </c>
    </row>
    <row r="806" spans="1:5" x14ac:dyDescent="0.2">
      <c r="A806">
        <v>97</v>
      </c>
      <c r="B806" t="s">
        <v>37</v>
      </c>
      <c r="C806">
        <v>10.99</v>
      </c>
      <c r="D806">
        <v>2035</v>
      </c>
      <c r="E806" t="s">
        <v>4</v>
      </c>
    </row>
    <row r="807" spans="1:5" x14ac:dyDescent="0.2">
      <c r="A807">
        <v>98</v>
      </c>
      <c r="B807" t="s">
        <v>37</v>
      </c>
      <c r="C807">
        <v>7.47</v>
      </c>
      <c r="D807">
        <v>2035</v>
      </c>
      <c r="E807" t="s">
        <v>4</v>
      </c>
    </row>
    <row r="808" spans="1:5" x14ac:dyDescent="0.2">
      <c r="A808">
        <v>99</v>
      </c>
      <c r="B808" t="s">
        <v>37</v>
      </c>
      <c r="C808">
        <v>6.02</v>
      </c>
      <c r="D808">
        <v>2035</v>
      </c>
      <c r="E808" t="s">
        <v>4</v>
      </c>
    </row>
    <row r="809" spans="1:5" x14ac:dyDescent="0.2">
      <c r="A809">
        <v>100</v>
      </c>
      <c r="B809" t="s">
        <v>37</v>
      </c>
      <c r="C809">
        <v>4.16</v>
      </c>
      <c r="D809">
        <v>2035</v>
      </c>
      <c r="E809" t="s">
        <v>4</v>
      </c>
    </row>
    <row r="810" spans="1:5" x14ac:dyDescent="0.2">
      <c r="A810">
        <v>0</v>
      </c>
      <c r="B810" t="s">
        <v>38</v>
      </c>
      <c r="C810">
        <v>10.14</v>
      </c>
      <c r="D810">
        <v>2035</v>
      </c>
      <c r="E810" t="s">
        <v>4</v>
      </c>
    </row>
    <row r="811" spans="1:5" x14ac:dyDescent="0.2">
      <c r="A811">
        <v>1</v>
      </c>
      <c r="B811" t="s">
        <v>38</v>
      </c>
      <c r="C811">
        <v>10.050000000000001</v>
      </c>
      <c r="D811">
        <v>2035</v>
      </c>
      <c r="E811" t="s">
        <v>4</v>
      </c>
    </row>
    <row r="812" spans="1:5" x14ac:dyDescent="0.2">
      <c r="A812">
        <v>2</v>
      </c>
      <c r="B812" t="s">
        <v>38</v>
      </c>
      <c r="C812">
        <v>9.91</v>
      </c>
      <c r="D812">
        <v>2035</v>
      </c>
      <c r="E812" t="s">
        <v>4</v>
      </c>
    </row>
    <row r="813" spans="1:5" x14ac:dyDescent="0.2">
      <c r="A813">
        <v>3</v>
      </c>
      <c r="B813" t="s">
        <v>38</v>
      </c>
      <c r="C813">
        <v>9.75</v>
      </c>
      <c r="D813">
        <v>2035</v>
      </c>
      <c r="E813" t="s">
        <v>4</v>
      </c>
    </row>
    <row r="814" spans="1:5" x14ac:dyDescent="0.2">
      <c r="A814">
        <v>4</v>
      </c>
      <c r="B814" t="s">
        <v>38</v>
      </c>
      <c r="C814">
        <v>9.93</v>
      </c>
      <c r="D814">
        <v>2035</v>
      </c>
      <c r="E814" t="s">
        <v>4</v>
      </c>
    </row>
    <row r="815" spans="1:5" x14ac:dyDescent="0.2">
      <c r="A815">
        <v>5</v>
      </c>
      <c r="B815" t="s">
        <v>38</v>
      </c>
      <c r="C815">
        <v>10.15</v>
      </c>
      <c r="D815">
        <v>2035</v>
      </c>
      <c r="E815" t="s">
        <v>4</v>
      </c>
    </row>
    <row r="816" spans="1:5" x14ac:dyDescent="0.2">
      <c r="A816">
        <v>6</v>
      </c>
      <c r="B816" t="s">
        <v>38</v>
      </c>
      <c r="C816">
        <v>10.33</v>
      </c>
      <c r="D816">
        <v>2035</v>
      </c>
      <c r="E816" t="s">
        <v>4</v>
      </c>
    </row>
    <row r="817" spans="1:5" x14ac:dyDescent="0.2">
      <c r="A817">
        <v>7</v>
      </c>
      <c r="B817" t="s">
        <v>38</v>
      </c>
      <c r="C817">
        <v>10.29</v>
      </c>
      <c r="D817">
        <v>2035</v>
      </c>
      <c r="E817" t="s">
        <v>4</v>
      </c>
    </row>
    <row r="818" spans="1:5" x14ac:dyDescent="0.2">
      <c r="A818">
        <v>8</v>
      </c>
      <c r="B818" t="s">
        <v>38</v>
      </c>
      <c r="C818">
        <v>10.55</v>
      </c>
      <c r="D818">
        <v>2035</v>
      </c>
      <c r="E818" t="s">
        <v>4</v>
      </c>
    </row>
    <row r="819" spans="1:5" x14ac:dyDescent="0.2">
      <c r="A819">
        <v>9</v>
      </c>
      <c r="B819" t="s">
        <v>38</v>
      </c>
      <c r="C819">
        <v>11.03</v>
      </c>
      <c r="D819">
        <v>2035</v>
      </c>
      <c r="E819" t="s">
        <v>4</v>
      </c>
    </row>
    <row r="820" spans="1:5" x14ac:dyDescent="0.2">
      <c r="A820">
        <v>10</v>
      </c>
      <c r="B820" t="s">
        <v>38</v>
      </c>
      <c r="C820">
        <v>11.53</v>
      </c>
      <c r="D820">
        <v>2035</v>
      </c>
      <c r="E820" t="s">
        <v>4</v>
      </c>
    </row>
    <row r="821" spans="1:5" x14ac:dyDescent="0.2">
      <c r="A821">
        <v>11</v>
      </c>
      <c r="B821" t="s">
        <v>38</v>
      </c>
      <c r="C821">
        <v>11.6</v>
      </c>
      <c r="D821">
        <v>2035</v>
      </c>
      <c r="E821" t="s">
        <v>4</v>
      </c>
    </row>
    <row r="822" spans="1:5" x14ac:dyDescent="0.2">
      <c r="A822">
        <v>12</v>
      </c>
      <c r="B822" t="s">
        <v>38</v>
      </c>
      <c r="C822">
        <v>11.98</v>
      </c>
      <c r="D822">
        <v>2035</v>
      </c>
      <c r="E822" t="s">
        <v>4</v>
      </c>
    </row>
    <row r="823" spans="1:5" x14ac:dyDescent="0.2">
      <c r="A823">
        <v>13</v>
      </c>
      <c r="B823" t="s">
        <v>38</v>
      </c>
      <c r="C823">
        <v>12.09</v>
      </c>
      <c r="D823">
        <v>2035</v>
      </c>
      <c r="E823" t="s">
        <v>4</v>
      </c>
    </row>
    <row r="824" spans="1:5" x14ac:dyDescent="0.2">
      <c r="A824">
        <v>14</v>
      </c>
      <c r="B824" t="s">
        <v>38</v>
      </c>
      <c r="C824">
        <v>12.35</v>
      </c>
      <c r="D824">
        <v>2035</v>
      </c>
      <c r="E824" t="s">
        <v>4</v>
      </c>
    </row>
    <row r="825" spans="1:5" x14ac:dyDescent="0.2">
      <c r="A825">
        <v>15</v>
      </c>
      <c r="B825" t="s">
        <v>38</v>
      </c>
      <c r="C825">
        <v>12.89</v>
      </c>
      <c r="D825">
        <v>2035</v>
      </c>
      <c r="E825" t="s">
        <v>4</v>
      </c>
    </row>
    <row r="826" spans="1:5" x14ac:dyDescent="0.2">
      <c r="A826">
        <v>16</v>
      </c>
      <c r="B826" t="s">
        <v>38</v>
      </c>
      <c r="C826">
        <v>13.23</v>
      </c>
      <c r="D826">
        <v>2035</v>
      </c>
      <c r="E826" t="s">
        <v>4</v>
      </c>
    </row>
    <row r="827" spans="1:5" x14ac:dyDescent="0.2">
      <c r="A827">
        <v>17</v>
      </c>
      <c r="B827" t="s">
        <v>38</v>
      </c>
      <c r="C827">
        <v>13.37</v>
      </c>
      <c r="D827">
        <v>2035</v>
      </c>
      <c r="E827" t="s">
        <v>4</v>
      </c>
    </row>
    <row r="828" spans="1:5" x14ac:dyDescent="0.2">
      <c r="A828">
        <v>18</v>
      </c>
      <c r="B828" t="s">
        <v>38</v>
      </c>
      <c r="C828">
        <v>14.05</v>
      </c>
      <c r="D828">
        <v>2035</v>
      </c>
      <c r="E828" t="s">
        <v>4</v>
      </c>
    </row>
    <row r="829" spans="1:5" x14ac:dyDescent="0.2">
      <c r="A829">
        <v>19</v>
      </c>
      <c r="B829" t="s">
        <v>38</v>
      </c>
      <c r="C829">
        <v>13.86</v>
      </c>
      <c r="D829">
        <v>2035</v>
      </c>
      <c r="E829" t="s">
        <v>4</v>
      </c>
    </row>
    <row r="830" spans="1:5" x14ac:dyDescent="0.2">
      <c r="A830">
        <v>20</v>
      </c>
      <c r="B830" t="s">
        <v>38</v>
      </c>
      <c r="C830">
        <v>14.59</v>
      </c>
      <c r="D830">
        <v>2035</v>
      </c>
      <c r="E830" t="s">
        <v>4</v>
      </c>
    </row>
    <row r="831" spans="1:5" x14ac:dyDescent="0.2">
      <c r="A831">
        <v>21</v>
      </c>
      <c r="B831" t="s">
        <v>38</v>
      </c>
      <c r="C831">
        <v>14.71</v>
      </c>
      <c r="D831">
        <v>2035</v>
      </c>
      <c r="E831" t="s">
        <v>4</v>
      </c>
    </row>
    <row r="832" spans="1:5" x14ac:dyDescent="0.2">
      <c r="A832">
        <v>22</v>
      </c>
      <c r="B832" t="s">
        <v>38</v>
      </c>
      <c r="C832">
        <v>14.27</v>
      </c>
      <c r="D832">
        <v>2035</v>
      </c>
      <c r="E832" t="s">
        <v>4</v>
      </c>
    </row>
    <row r="833" spans="1:5" x14ac:dyDescent="0.2">
      <c r="A833">
        <v>23</v>
      </c>
      <c r="B833" t="s">
        <v>38</v>
      </c>
      <c r="C833">
        <v>14.43</v>
      </c>
      <c r="D833">
        <v>2035</v>
      </c>
      <c r="E833" t="s">
        <v>4</v>
      </c>
    </row>
    <row r="834" spans="1:5" x14ac:dyDescent="0.2">
      <c r="A834">
        <v>24</v>
      </c>
      <c r="B834" t="s">
        <v>38</v>
      </c>
      <c r="C834">
        <v>7.91</v>
      </c>
      <c r="D834">
        <v>2035</v>
      </c>
      <c r="E834" t="s">
        <v>4</v>
      </c>
    </row>
    <row r="835" spans="1:5" x14ac:dyDescent="0.2">
      <c r="A835">
        <v>25</v>
      </c>
      <c r="B835" t="s">
        <v>38</v>
      </c>
      <c r="C835">
        <v>8.61</v>
      </c>
      <c r="D835">
        <v>2035</v>
      </c>
      <c r="E835" t="s">
        <v>4</v>
      </c>
    </row>
    <row r="836" spans="1:5" x14ac:dyDescent="0.2">
      <c r="A836">
        <v>26</v>
      </c>
      <c r="B836" t="s">
        <v>38</v>
      </c>
      <c r="C836">
        <v>11.02</v>
      </c>
      <c r="D836">
        <v>2035</v>
      </c>
      <c r="E836" t="s">
        <v>4</v>
      </c>
    </row>
    <row r="837" spans="1:5" x14ac:dyDescent="0.2">
      <c r="A837">
        <v>27</v>
      </c>
      <c r="B837" t="s">
        <v>38</v>
      </c>
      <c r="C837">
        <v>14.79</v>
      </c>
      <c r="D837">
        <v>2035</v>
      </c>
      <c r="E837" t="s">
        <v>4</v>
      </c>
    </row>
    <row r="838" spans="1:5" x14ac:dyDescent="0.2">
      <c r="A838">
        <v>28</v>
      </c>
      <c r="B838" t="s">
        <v>38</v>
      </c>
      <c r="C838">
        <v>16.82</v>
      </c>
      <c r="D838">
        <v>2035</v>
      </c>
      <c r="E838" t="s">
        <v>4</v>
      </c>
    </row>
    <row r="839" spans="1:5" x14ac:dyDescent="0.2">
      <c r="A839">
        <v>29</v>
      </c>
      <c r="B839" t="s">
        <v>38</v>
      </c>
      <c r="C839">
        <v>11.21</v>
      </c>
      <c r="D839">
        <v>2035</v>
      </c>
      <c r="E839" t="s">
        <v>4</v>
      </c>
    </row>
    <row r="840" spans="1:5" x14ac:dyDescent="0.2">
      <c r="A840">
        <v>30</v>
      </c>
      <c r="B840" t="s">
        <v>38</v>
      </c>
      <c r="C840">
        <v>6.28</v>
      </c>
      <c r="D840">
        <v>2035</v>
      </c>
      <c r="E840" t="s">
        <v>4</v>
      </c>
    </row>
    <row r="841" spans="1:5" x14ac:dyDescent="0.2">
      <c r="A841">
        <v>31</v>
      </c>
      <c r="B841" t="s">
        <v>38</v>
      </c>
      <c r="C841">
        <v>11.85</v>
      </c>
      <c r="D841">
        <v>2035</v>
      </c>
      <c r="E841" t="s">
        <v>4</v>
      </c>
    </row>
    <row r="842" spans="1:5" x14ac:dyDescent="0.2">
      <c r="A842">
        <v>32</v>
      </c>
      <c r="B842" t="s">
        <v>38</v>
      </c>
      <c r="C842">
        <v>6.1</v>
      </c>
      <c r="D842">
        <v>2035</v>
      </c>
      <c r="E842" t="s">
        <v>4</v>
      </c>
    </row>
    <row r="843" spans="1:5" x14ac:dyDescent="0.2">
      <c r="A843">
        <v>33</v>
      </c>
      <c r="B843" t="s">
        <v>38</v>
      </c>
      <c r="C843">
        <v>8.3800000000000008</v>
      </c>
      <c r="D843">
        <v>2035</v>
      </c>
      <c r="E843" t="s">
        <v>4</v>
      </c>
    </row>
    <row r="844" spans="1:5" x14ac:dyDescent="0.2">
      <c r="A844">
        <v>34</v>
      </c>
      <c r="B844" t="s">
        <v>38</v>
      </c>
      <c r="C844">
        <v>12.04</v>
      </c>
      <c r="D844">
        <v>2035</v>
      </c>
      <c r="E844" t="s">
        <v>4</v>
      </c>
    </row>
    <row r="845" spans="1:5" x14ac:dyDescent="0.2">
      <c r="A845">
        <v>35</v>
      </c>
      <c r="B845" t="s">
        <v>38</v>
      </c>
      <c r="C845">
        <v>8.0399999999999991</v>
      </c>
      <c r="D845">
        <v>2035</v>
      </c>
      <c r="E845" t="s">
        <v>4</v>
      </c>
    </row>
    <row r="846" spans="1:5" x14ac:dyDescent="0.2">
      <c r="A846">
        <v>36</v>
      </c>
      <c r="B846" t="s">
        <v>38</v>
      </c>
      <c r="C846">
        <v>8.41</v>
      </c>
      <c r="D846">
        <v>2035</v>
      </c>
      <c r="E846" t="s">
        <v>4</v>
      </c>
    </row>
    <row r="847" spans="1:5" x14ac:dyDescent="0.2">
      <c r="A847">
        <v>37</v>
      </c>
      <c r="B847" t="s">
        <v>38</v>
      </c>
      <c r="C847">
        <v>7.82</v>
      </c>
      <c r="D847">
        <v>2035</v>
      </c>
      <c r="E847" t="s">
        <v>4</v>
      </c>
    </row>
    <row r="848" spans="1:5" x14ac:dyDescent="0.2">
      <c r="A848">
        <v>38</v>
      </c>
      <c r="B848" t="s">
        <v>38</v>
      </c>
      <c r="C848">
        <v>6.79</v>
      </c>
      <c r="D848">
        <v>2035</v>
      </c>
      <c r="E848" t="s">
        <v>4</v>
      </c>
    </row>
    <row r="849" spans="1:5" x14ac:dyDescent="0.2">
      <c r="A849">
        <v>39</v>
      </c>
      <c r="B849" t="s">
        <v>38</v>
      </c>
      <c r="C849">
        <v>12.6</v>
      </c>
      <c r="D849">
        <v>2035</v>
      </c>
      <c r="E849" t="s">
        <v>4</v>
      </c>
    </row>
    <row r="850" spans="1:5" x14ac:dyDescent="0.2">
      <c r="A850">
        <v>40</v>
      </c>
      <c r="B850" t="s">
        <v>38</v>
      </c>
      <c r="C850">
        <v>8.99</v>
      </c>
      <c r="D850">
        <v>2035</v>
      </c>
      <c r="E850" t="s">
        <v>4</v>
      </c>
    </row>
    <row r="851" spans="1:5" x14ac:dyDescent="0.2">
      <c r="A851">
        <v>41</v>
      </c>
      <c r="B851" t="s">
        <v>38</v>
      </c>
      <c r="C851">
        <v>12.36</v>
      </c>
      <c r="D851">
        <v>2035</v>
      </c>
      <c r="E851" t="s">
        <v>4</v>
      </c>
    </row>
    <row r="852" spans="1:5" x14ac:dyDescent="0.2">
      <c r="A852">
        <v>42</v>
      </c>
      <c r="B852" t="s">
        <v>38</v>
      </c>
      <c r="C852">
        <v>9.69</v>
      </c>
      <c r="D852">
        <v>2035</v>
      </c>
      <c r="E852" t="s">
        <v>4</v>
      </c>
    </row>
    <row r="853" spans="1:5" x14ac:dyDescent="0.2">
      <c r="A853">
        <v>43</v>
      </c>
      <c r="B853" t="s">
        <v>38</v>
      </c>
      <c r="C853">
        <v>9.98</v>
      </c>
      <c r="D853">
        <v>2035</v>
      </c>
      <c r="E853" t="s">
        <v>4</v>
      </c>
    </row>
    <row r="854" spans="1:5" x14ac:dyDescent="0.2">
      <c r="A854">
        <v>44</v>
      </c>
      <c r="B854" t="s">
        <v>38</v>
      </c>
      <c r="C854">
        <v>11.75</v>
      </c>
      <c r="D854">
        <v>2035</v>
      </c>
      <c r="E854" t="s">
        <v>4</v>
      </c>
    </row>
    <row r="855" spans="1:5" x14ac:dyDescent="0.2">
      <c r="A855">
        <v>45</v>
      </c>
      <c r="B855" t="s">
        <v>38</v>
      </c>
      <c r="C855">
        <v>10.59</v>
      </c>
      <c r="D855">
        <v>2035</v>
      </c>
      <c r="E855" t="s">
        <v>4</v>
      </c>
    </row>
    <row r="856" spans="1:5" x14ac:dyDescent="0.2">
      <c r="A856">
        <v>46</v>
      </c>
      <c r="B856" t="s">
        <v>38</v>
      </c>
      <c r="C856">
        <v>10.76</v>
      </c>
      <c r="D856">
        <v>2035</v>
      </c>
      <c r="E856" t="s">
        <v>4</v>
      </c>
    </row>
    <row r="857" spans="1:5" x14ac:dyDescent="0.2">
      <c r="A857">
        <v>47</v>
      </c>
      <c r="B857" t="s">
        <v>38</v>
      </c>
      <c r="C857">
        <v>13.06</v>
      </c>
      <c r="D857">
        <v>2035</v>
      </c>
      <c r="E857" t="s">
        <v>4</v>
      </c>
    </row>
    <row r="858" spans="1:5" x14ac:dyDescent="0.2">
      <c r="A858">
        <v>48</v>
      </c>
      <c r="B858" t="s">
        <v>38</v>
      </c>
      <c r="C858">
        <v>15.94</v>
      </c>
      <c r="D858">
        <v>2035</v>
      </c>
      <c r="E858" t="s">
        <v>4</v>
      </c>
    </row>
    <row r="859" spans="1:5" x14ac:dyDescent="0.2">
      <c r="A859">
        <v>49</v>
      </c>
      <c r="B859" t="s">
        <v>38</v>
      </c>
      <c r="C859">
        <v>11.5</v>
      </c>
      <c r="D859">
        <v>2035</v>
      </c>
      <c r="E859" t="s">
        <v>4</v>
      </c>
    </row>
    <row r="860" spans="1:5" x14ac:dyDescent="0.2">
      <c r="A860">
        <v>50</v>
      </c>
      <c r="B860" t="s">
        <v>38</v>
      </c>
      <c r="C860">
        <v>10.49</v>
      </c>
      <c r="D860">
        <v>2035</v>
      </c>
      <c r="E860" t="s">
        <v>4</v>
      </c>
    </row>
    <row r="861" spans="1:5" x14ac:dyDescent="0.2">
      <c r="A861">
        <v>51</v>
      </c>
      <c r="B861" t="s">
        <v>38</v>
      </c>
      <c r="C861">
        <v>11.12</v>
      </c>
      <c r="D861">
        <v>2035</v>
      </c>
      <c r="E861" t="s">
        <v>4</v>
      </c>
    </row>
    <row r="862" spans="1:5" x14ac:dyDescent="0.2">
      <c r="A862">
        <v>52</v>
      </c>
      <c r="B862" t="s">
        <v>38</v>
      </c>
      <c r="C862">
        <v>7.38</v>
      </c>
      <c r="D862">
        <v>2035</v>
      </c>
      <c r="E862" t="s">
        <v>4</v>
      </c>
    </row>
    <row r="863" spans="1:5" x14ac:dyDescent="0.2">
      <c r="A863">
        <v>53</v>
      </c>
      <c r="B863" t="s">
        <v>38</v>
      </c>
      <c r="C863">
        <v>15.8</v>
      </c>
      <c r="D863">
        <v>2035</v>
      </c>
      <c r="E863" t="s">
        <v>4</v>
      </c>
    </row>
    <row r="864" spans="1:5" x14ac:dyDescent="0.2">
      <c r="A864">
        <v>54</v>
      </c>
      <c r="B864" t="s">
        <v>38</v>
      </c>
      <c r="C864">
        <v>12.62</v>
      </c>
      <c r="D864">
        <v>2035</v>
      </c>
      <c r="E864" t="s">
        <v>4</v>
      </c>
    </row>
    <row r="865" spans="1:5" x14ac:dyDescent="0.2">
      <c r="A865">
        <v>55</v>
      </c>
      <c r="B865" t="s">
        <v>38</v>
      </c>
      <c r="C865">
        <v>10.17</v>
      </c>
      <c r="D865">
        <v>2035</v>
      </c>
      <c r="E865" t="s">
        <v>4</v>
      </c>
    </row>
    <row r="866" spans="1:5" x14ac:dyDescent="0.2">
      <c r="A866">
        <v>56</v>
      </c>
      <c r="B866" t="s">
        <v>38</v>
      </c>
      <c r="C866">
        <v>12.55</v>
      </c>
      <c r="D866">
        <v>2035</v>
      </c>
      <c r="E866" t="s">
        <v>4</v>
      </c>
    </row>
    <row r="867" spans="1:5" x14ac:dyDescent="0.2">
      <c r="A867">
        <v>57</v>
      </c>
      <c r="B867" t="s">
        <v>38</v>
      </c>
      <c r="C867">
        <v>9.48</v>
      </c>
      <c r="D867">
        <v>2035</v>
      </c>
      <c r="E867" t="s">
        <v>4</v>
      </c>
    </row>
    <row r="868" spans="1:5" x14ac:dyDescent="0.2">
      <c r="A868">
        <v>58</v>
      </c>
      <c r="B868" t="s">
        <v>38</v>
      </c>
      <c r="C868">
        <v>5.48</v>
      </c>
      <c r="D868">
        <v>2035</v>
      </c>
      <c r="E868" t="s">
        <v>4</v>
      </c>
    </row>
    <row r="869" spans="1:5" x14ac:dyDescent="0.2">
      <c r="A869">
        <v>59</v>
      </c>
      <c r="B869" t="s">
        <v>38</v>
      </c>
      <c r="C869">
        <v>3.39</v>
      </c>
      <c r="D869">
        <v>2035</v>
      </c>
      <c r="E869" t="s">
        <v>4</v>
      </c>
    </row>
    <row r="870" spans="1:5" x14ac:dyDescent="0.2">
      <c r="A870">
        <v>60</v>
      </c>
      <c r="B870" t="s">
        <v>38</v>
      </c>
      <c r="C870">
        <v>6.15</v>
      </c>
      <c r="D870">
        <v>2035</v>
      </c>
      <c r="E870" t="s">
        <v>4</v>
      </c>
    </row>
    <row r="871" spans="1:5" x14ac:dyDescent="0.2">
      <c r="A871">
        <v>61</v>
      </c>
      <c r="B871" t="s">
        <v>38</v>
      </c>
      <c r="C871">
        <v>5.61</v>
      </c>
      <c r="D871">
        <v>2035</v>
      </c>
      <c r="E871" t="s">
        <v>4</v>
      </c>
    </row>
    <row r="872" spans="1:5" x14ac:dyDescent="0.2">
      <c r="A872">
        <v>62</v>
      </c>
      <c r="B872" t="s">
        <v>38</v>
      </c>
      <c r="C872">
        <v>2.34</v>
      </c>
      <c r="D872">
        <v>2035</v>
      </c>
      <c r="E872" t="s">
        <v>4</v>
      </c>
    </row>
    <row r="873" spans="1:5" x14ac:dyDescent="0.2">
      <c r="A873">
        <v>63</v>
      </c>
      <c r="B873" t="s">
        <v>38</v>
      </c>
      <c r="C873">
        <v>12.95</v>
      </c>
      <c r="D873">
        <v>2035</v>
      </c>
      <c r="E873" t="s">
        <v>4</v>
      </c>
    </row>
    <row r="874" spans="1:5" x14ac:dyDescent="0.2">
      <c r="A874">
        <v>64</v>
      </c>
      <c r="B874" t="s">
        <v>38</v>
      </c>
      <c r="C874">
        <v>11.1</v>
      </c>
      <c r="D874">
        <v>2035</v>
      </c>
      <c r="E874" t="s">
        <v>4</v>
      </c>
    </row>
    <row r="875" spans="1:5" x14ac:dyDescent="0.2">
      <c r="A875">
        <v>65</v>
      </c>
      <c r="B875" t="s">
        <v>38</v>
      </c>
      <c r="C875">
        <v>9.42</v>
      </c>
      <c r="D875">
        <v>2035</v>
      </c>
      <c r="E875" t="s">
        <v>4</v>
      </c>
    </row>
    <row r="876" spans="1:5" x14ac:dyDescent="0.2">
      <c r="A876">
        <v>66</v>
      </c>
      <c r="B876" t="s">
        <v>38</v>
      </c>
      <c r="C876">
        <v>9.52</v>
      </c>
      <c r="D876">
        <v>2035</v>
      </c>
      <c r="E876" t="s">
        <v>4</v>
      </c>
    </row>
    <row r="877" spans="1:5" x14ac:dyDescent="0.2">
      <c r="A877">
        <v>67</v>
      </c>
      <c r="B877" t="s">
        <v>38</v>
      </c>
      <c r="C877">
        <v>7.87</v>
      </c>
      <c r="D877">
        <v>2035</v>
      </c>
      <c r="E877" t="s">
        <v>4</v>
      </c>
    </row>
    <row r="878" spans="1:5" x14ac:dyDescent="0.2">
      <c r="A878">
        <v>68</v>
      </c>
      <c r="B878" t="s">
        <v>38</v>
      </c>
      <c r="C878">
        <v>5.86</v>
      </c>
      <c r="D878">
        <v>2035</v>
      </c>
      <c r="E878" t="s">
        <v>4</v>
      </c>
    </row>
    <row r="879" spans="1:5" x14ac:dyDescent="0.2">
      <c r="A879">
        <v>69</v>
      </c>
      <c r="B879" t="s">
        <v>38</v>
      </c>
      <c r="C879">
        <v>9.1</v>
      </c>
      <c r="D879">
        <v>2035</v>
      </c>
      <c r="E879" t="s">
        <v>4</v>
      </c>
    </row>
    <row r="880" spans="1:5" x14ac:dyDescent="0.2">
      <c r="A880">
        <v>70</v>
      </c>
      <c r="B880" t="s">
        <v>38</v>
      </c>
      <c r="C880">
        <v>11.15</v>
      </c>
      <c r="D880">
        <v>2035</v>
      </c>
      <c r="E880" t="s">
        <v>4</v>
      </c>
    </row>
    <row r="881" spans="1:5" x14ac:dyDescent="0.2">
      <c r="A881">
        <v>71</v>
      </c>
      <c r="B881" t="s">
        <v>38</v>
      </c>
      <c r="C881">
        <v>8.7799999999999994</v>
      </c>
      <c r="D881">
        <v>2035</v>
      </c>
      <c r="E881" t="s">
        <v>4</v>
      </c>
    </row>
    <row r="882" spans="1:5" x14ac:dyDescent="0.2">
      <c r="A882">
        <v>72</v>
      </c>
      <c r="B882" t="s">
        <v>38</v>
      </c>
      <c r="C882">
        <v>8.2799999999999994</v>
      </c>
      <c r="D882">
        <v>2035</v>
      </c>
      <c r="E882" t="s">
        <v>4</v>
      </c>
    </row>
    <row r="883" spans="1:5" x14ac:dyDescent="0.2">
      <c r="A883">
        <v>73</v>
      </c>
      <c r="B883" t="s">
        <v>38</v>
      </c>
      <c r="C883">
        <v>9.9700000000000006</v>
      </c>
      <c r="D883">
        <v>2035</v>
      </c>
      <c r="E883" t="s">
        <v>4</v>
      </c>
    </row>
    <row r="884" spans="1:5" x14ac:dyDescent="0.2">
      <c r="A884">
        <v>74</v>
      </c>
      <c r="B884" t="s">
        <v>38</v>
      </c>
      <c r="C884">
        <v>8.5299999999999994</v>
      </c>
      <c r="D884">
        <v>2035</v>
      </c>
      <c r="E884" t="s">
        <v>4</v>
      </c>
    </row>
    <row r="885" spans="1:5" x14ac:dyDescent="0.2">
      <c r="A885">
        <v>75</v>
      </c>
      <c r="B885" t="s">
        <v>38</v>
      </c>
      <c r="C885">
        <v>6.59</v>
      </c>
      <c r="D885">
        <v>2035</v>
      </c>
      <c r="E885" t="s">
        <v>4</v>
      </c>
    </row>
    <row r="886" spans="1:5" x14ac:dyDescent="0.2">
      <c r="A886">
        <v>76</v>
      </c>
      <c r="B886" t="s">
        <v>38</v>
      </c>
      <c r="C886">
        <v>6.14</v>
      </c>
      <c r="D886">
        <v>2035</v>
      </c>
      <c r="E886" t="s">
        <v>4</v>
      </c>
    </row>
    <row r="887" spans="1:5" x14ac:dyDescent="0.2">
      <c r="A887">
        <v>77</v>
      </c>
      <c r="B887" t="s">
        <v>38</v>
      </c>
      <c r="C887">
        <v>6.57</v>
      </c>
      <c r="D887">
        <v>2035</v>
      </c>
      <c r="E887" t="s">
        <v>4</v>
      </c>
    </row>
    <row r="888" spans="1:5" x14ac:dyDescent="0.2">
      <c r="A888">
        <v>78</v>
      </c>
      <c r="B888" t="s">
        <v>38</v>
      </c>
      <c r="C888">
        <v>3.61</v>
      </c>
      <c r="D888">
        <v>2035</v>
      </c>
      <c r="E888" t="s">
        <v>4</v>
      </c>
    </row>
    <row r="889" spans="1:5" x14ac:dyDescent="0.2">
      <c r="A889">
        <v>79</v>
      </c>
      <c r="B889" t="s">
        <v>38</v>
      </c>
      <c r="C889">
        <v>7.1</v>
      </c>
      <c r="D889">
        <v>2035</v>
      </c>
      <c r="E889" t="s">
        <v>4</v>
      </c>
    </row>
    <row r="890" spans="1:5" x14ac:dyDescent="0.2">
      <c r="A890">
        <v>80</v>
      </c>
      <c r="B890" t="s">
        <v>38</v>
      </c>
      <c r="C890">
        <v>6.21</v>
      </c>
      <c r="D890">
        <v>2035</v>
      </c>
      <c r="E890" t="s">
        <v>4</v>
      </c>
    </row>
    <row r="891" spans="1:5" x14ac:dyDescent="0.2">
      <c r="A891">
        <v>81</v>
      </c>
      <c r="B891" t="s">
        <v>38</v>
      </c>
      <c r="C891">
        <v>3.68</v>
      </c>
      <c r="D891">
        <v>2035</v>
      </c>
      <c r="E891" t="s">
        <v>4</v>
      </c>
    </row>
    <row r="892" spans="1:5" x14ac:dyDescent="0.2">
      <c r="A892">
        <v>82</v>
      </c>
      <c r="B892" t="s">
        <v>38</v>
      </c>
      <c r="C892">
        <v>3.2</v>
      </c>
      <c r="D892">
        <v>2035</v>
      </c>
      <c r="E892" t="s">
        <v>4</v>
      </c>
    </row>
    <row r="893" spans="1:5" x14ac:dyDescent="0.2">
      <c r="A893">
        <v>83</v>
      </c>
      <c r="B893" t="s">
        <v>38</v>
      </c>
      <c r="C893">
        <v>1.33</v>
      </c>
      <c r="D893">
        <v>2035</v>
      </c>
      <c r="E893" t="s">
        <v>4</v>
      </c>
    </row>
    <row r="894" spans="1:5" x14ac:dyDescent="0.2">
      <c r="A894">
        <v>84</v>
      </c>
      <c r="B894" t="s">
        <v>38</v>
      </c>
      <c r="C894">
        <v>1.38</v>
      </c>
      <c r="D894">
        <v>2035</v>
      </c>
      <c r="E894" t="s">
        <v>4</v>
      </c>
    </row>
    <row r="895" spans="1:5" x14ac:dyDescent="0.2">
      <c r="A895">
        <v>85</v>
      </c>
      <c r="B895" t="s">
        <v>38</v>
      </c>
      <c r="C895">
        <v>4.2</v>
      </c>
      <c r="D895">
        <v>2035</v>
      </c>
      <c r="E895" t="s">
        <v>4</v>
      </c>
    </row>
    <row r="896" spans="1:5" x14ac:dyDescent="0.2">
      <c r="A896">
        <v>86</v>
      </c>
      <c r="B896" t="s">
        <v>38</v>
      </c>
      <c r="C896">
        <v>4.2699999999999996</v>
      </c>
      <c r="D896">
        <v>2035</v>
      </c>
      <c r="E896" t="s">
        <v>4</v>
      </c>
    </row>
    <row r="897" spans="1:5" x14ac:dyDescent="0.2">
      <c r="A897">
        <v>87</v>
      </c>
      <c r="B897" t="s">
        <v>38</v>
      </c>
      <c r="C897">
        <v>1.88</v>
      </c>
      <c r="D897">
        <v>2035</v>
      </c>
      <c r="E897" t="s">
        <v>4</v>
      </c>
    </row>
    <row r="898" spans="1:5" x14ac:dyDescent="0.2">
      <c r="A898">
        <v>88</v>
      </c>
      <c r="B898" t="s">
        <v>38</v>
      </c>
      <c r="C898">
        <v>0</v>
      </c>
      <c r="D898">
        <v>2035</v>
      </c>
      <c r="E898" t="s">
        <v>4</v>
      </c>
    </row>
    <row r="899" spans="1:5" x14ac:dyDescent="0.2">
      <c r="A899">
        <v>89</v>
      </c>
      <c r="B899" t="s">
        <v>38</v>
      </c>
      <c r="C899">
        <v>1.21</v>
      </c>
      <c r="D899">
        <v>2035</v>
      </c>
      <c r="E899" t="s">
        <v>4</v>
      </c>
    </row>
    <row r="900" spans="1:5" x14ac:dyDescent="0.2">
      <c r="A900">
        <v>90</v>
      </c>
      <c r="B900" t="s">
        <v>38</v>
      </c>
      <c r="C900">
        <v>2.13</v>
      </c>
      <c r="D900">
        <v>2035</v>
      </c>
      <c r="E900" t="s">
        <v>4</v>
      </c>
    </row>
    <row r="901" spans="1:5" x14ac:dyDescent="0.2">
      <c r="A901">
        <v>91</v>
      </c>
      <c r="B901" t="s">
        <v>38</v>
      </c>
      <c r="C901">
        <v>1.03</v>
      </c>
      <c r="D901">
        <v>2035</v>
      </c>
      <c r="E901" t="s">
        <v>4</v>
      </c>
    </row>
    <row r="902" spans="1:5" x14ac:dyDescent="0.2">
      <c r="A902">
        <v>92</v>
      </c>
      <c r="B902" t="s">
        <v>38</v>
      </c>
      <c r="C902">
        <v>0.64</v>
      </c>
      <c r="D902">
        <v>2035</v>
      </c>
      <c r="E902" t="s">
        <v>4</v>
      </c>
    </row>
    <row r="903" spans="1:5" x14ac:dyDescent="0.2">
      <c r="A903">
        <v>93</v>
      </c>
      <c r="B903" t="s">
        <v>38</v>
      </c>
      <c r="C903">
        <v>1.25</v>
      </c>
      <c r="D903">
        <v>2035</v>
      </c>
      <c r="E903" t="s">
        <v>4</v>
      </c>
    </row>
    <row r="904" spans="1:5" x14ac:dyDescent="0.2">
      <c r="A904">
        <v>94</v>
      </c>
      <c r="B904" t="s">
        <v>38</v>
      </c>
      <c r="C904">
        <v>1.47</v>
      </c>
      <c r="D904">
        <v>2035</v>
      </c>
      <c r="E904" t="s">
        <v>4</v>
      </c>
    </row>
    <row r="905" spans="1:5" x14ac:dyDescent="0.2">
      <c r="A905">
        <v>95</v>
      </c>
      <c r="B905" t="s">
        <v>38</v>
      </c>
      <c r="C905">
        <v>0.75</v>
      </c>
      <c r="D905">
        <v>2035</v>
      </c>
      <c r="E905" t="s">
        <v>4</v>
      </c>
    </row>
    <row r="906" spans="1:5" x14ac:dyDescent="0.2">
      <c r="A906">
        <v>96</v>
      </c>
      <c r="B906" t="s">
        <v>38</v>
      </c>
      <c r="C906">
        <v>0.63</v>
      </c>
      <c r="D906">
        <v>2035</v>
      </c>
      <c r="E906" t="s">
        <v>4</v>
      </c>
    </row>
    <row r="907" spans="1:5" x14ac:dyDescent="0.2">
      <c r="A907">
        <v>97</v>
      </c>
      <c r="B907" t="s">
        <v>38</v>
      </c>
      <c r="C907">
        <v>0.41</v>
      </c>
      <c r="D907">
        <v>2035</v>
      </c>
      <c r="E907" t="s">
        <v>4</v>
      </c>
    </row>
    <row r="908" spans="1:5" x14ac:dyDescent="0.2">
      <c r="A908">
        <v>98</v>
      </c>
      <c r="B908" t="s">
        <v>38</v>
      </c>
      <c r="C908">
        <v>0</v>
      </c>
      <c r="D908">
        <v>2035</v>
      </c>
      <c r="E908" t="s">
        <v>4</v>
      </c>
    </row>
    <row r="909" spans="1:5" x14ac:dyDescent="0.2">
      <c r="A909">
        <v>99</v>
      </c>
      <c r="B909" t="s">
        <v>38</v>
      </c>
      <c r="C909">
        <v>0.06</v>
      </c>
      <c r="D909">
        <v>2035</v>
      </c>
      <c r="E909" t="s">
        <v>4</v>
      </c>
    </row>
    <row r="910" spans="1:5" x14ac:dyDescent="0.2">
      <c r="A910">
        <v>100</v>
      </c>
      <c r="B910" t="s">
        <v>38</v>
      </c>
      <c r="C910">
        <v>7.0000000000000007E-2</v>
      </c>
      <c r="D910">
        <v>2035</v>
      </c>
      <c r="E910" t="s">
        <v>4</v>
      </c>
    </row>
    <row r="911" spans="1:5" x14ac:dyDescent="0.2">
      <c r="A911">
        <v>0</v>
      </c>
      <c r="B911" t="s">
        <v>37</v>
      </c>
      <c r="C911">
        <v>11.43</v>
      </c>
      <c r="D911">
        <v>2035</v>
      </c>
      <c r="E911" t="s">
        <v>4</v>
      </c>
    </row>
    <row r="912" spans="1:5" x14ac:dyDescent="0.2">
      <c r="A912">
        <v>1</v>
      </c>
      <c r="B912" t="s">
        <v>37</v>
      </c>
      <c r="C912">
        <v>11.22</v>
      </c>
      <c r="D912">
        <v>2035</v>
      </c>
      <c r="E912" t="s">
        <v>4</v>
      </c>
    </row>
    <row r="913" spans="1:5" x14ac:dyDescent="0.2">
      <c r="A913">
        <v>2</v>
      </c>
      <c r="B913" t="s">
        <v>37</v>
      </c>
      <c r="C913">
        <v>11.07</v>
      </c>
      <c r="D913">
        <v>2035</v>
      </c>
      <c r="E913" t="s">
        <v>4</v>
      </c>
    </row>
    <row r="914" spans="1:5" x14ac:dyDescent="0.2">
      <c r="A914">
        <v>3</v>
      </c>
      <c r="B914" t="s">
        <v>37</v>
      </c>
      <c r="C914">
        <v>10.88</v>
      </c>
      <c r="D914">
        <v>2035</v>
      </c>
      <c r="E914" t="s">
        <v>4</v>
      </c>
    </row>
    <row r="915" spans="1:5" x14ac:dyDescent="0.2">
      <c r="A915">
        <v>4</v>
      </c>
      <c r="B915" t="s">
        <v>37</v>
      </c>
      <c r="C915">
        <v>11.11</v>
      </c>
      <c r="D915">
        <v>2035</v>
      </c>
      <c r="E915" t="s">
        <v>4</v>
      </c>
    </row>
    <row r="916" spans="1:5" x14ac:dyDescent="0.2">
      <c r="A916">
        <v>5</v>
      </c>
      <c r="B916" t="s">
        <v>37</v>
      </c>
      <c r="C916">
        <v>11.25</v>
      </c>
      <c r="D916">
        <v>2035</v>
      </c>
      <c r="E916" t="s">
        <v>4</v>
      </c>
    </row>
    <row r="917" spans="1:5" x14ac:dyDescent="0.2">
      <c r="A917">
        <v>6</v>
      </c>
      <c r="B917" t="s">
        <v>37</v>
      </c>
      <c r="C917">
        <v>11.36</v>
      </c>
      <c r="D917">
        <v>2035</v>
      </c>
      <c r="E917" t="s">
        <v>4</v>
      </c>
    </row>
    <row r="918" spans="1:5" x14ac:dyDescent="0.2">
      <c r="A918">
        <v>7</v>
      </c>
      <c r="B918" t="s">
        <v>37</v>
      </c>
      <c r="C918">
        <v>11.28</v>
      </c>
      <c r="D918">
        <v>2035</v>
      </c>
      <c r="E918" t="s">
        <v>4</v>
      </c>
    </row>
    <row r="919" spans="1:5" x14ac:dyDescent="0.2">
      <c r="A919">
        <v>8</v>
      </c>
      <c r="B919" t="s">
        <v>37</v>
      </c>
      <c r="C919">
        <v>11.51</v>
      </c>
      <c r="D919">
        <v>2035</v>
      </c>
      <c r="E919" t="s">
        <v>4</v>
      </c>
    </row>
    <row r="920" spans="1:5" x14ac:dyDescent="0.2">
      <c r="A920">
        <v>9</v>
      </c>
      <c r="B920" t="s">
        <v>37</v>
      </c>
      <c r="C920">
        <v>11.74</v>
      </c>
      <c r="D920">
        <v>2035</v>
      </c>
      <c r="E920" t="s">
        <v>4</v>
      </c>
    </row>
    <row r="921" spans="1:5" x14ac:dyDescent="0.2">
      <c r="A921">
        <v>10</v>
      </c>
      <c r="B921" t="s">
        <v>37</v>
      </c>
      <c r="C921">
        <v>12.33</v>
      </c>
      <c r="D921">
        <v>2035</v>
      </c>
      <c r="E921" t="s">
        <v>4</v>
      </c>
    </row>
    <row r="922" spans="1:5" x14ac:dyDescent="0.2">
      <c r="A922">
        <v>11</v>
      </c>
      <c r="B922" t="s">
        <v>37</v>
      </c>
      <c r="C922">
        <v>12.54</v>
      </c>
      <c r="D922">
        <v>2035</v>
      </c>
      <c r="E922" t="s">
        <v>4</v>
      </c>
    </row>
    <row r="923" spans="1:5" x14ac:dyDescent="0.2">
      <c r="A923">
        <v>12</v>
      </c>
      <c r="B923" t="s">
        <v>37</v>
      </c>
      <c r="C923">
        <v>12.78</v>
      </c>
      <c r="D923">
        <v>2035</v>
      </c>
      <c r="E923" t="s">
        <v>4</v>
      </c>
    </row>
    <row r="924" spans="1:5" x14ac:dyDescent="0.2">
      <c r="A924">
        <v>13</v>
      </c>
      <c r="B924" t="s">
        <v>37</v>
      </c>
      <c r="C924">
        <v>12.75</v>
      </c>
      <c r="D924">
        <v>2035</v>
      </c>
      <c r="E924" t="s">
        <v>4</v>
      </c>
    </row>
    <row r="925" spans="1:5" x14ac:dyDescent="0.2">
      <c r="A925">
        <v>14</v>
      </c>
      <c r="B925" t="s">
        <v>37</v>
      </c>
      <c r="C925">
        <v>13.04</v>
      </c>
      <c r="D925">
        <v>2035</v>
      </c>
      <c r="E925" t="s">
        <v>4</v>
      </c>
    </row>
    <row r="926" spans="1:5" x14ac:dyDescent="0.2">
      <c r="A926">
        <v>15</v>
      </c>
      <c r="B926" t="s">
        <v>37</v>
      </c>
      <c r="C926">
        <v>13.33</v>
      </c>
      <c r="D926">
        <v>2035</v>
      </c>
      <c r="E926" t="s">
        <v>4</v>
      </c>
    </row>
    <row r="927" spans="1:5" x14ac:dyDescent="0.2">
      <c r="A927">
        <v>16</v>
      </c>
      <c r="B927" t="s">
        <v>37</v>
      </c>
      <c r="C927">
        <v>13.72</v>
      </c>
      <c r="D927">
        <v>2035</v>
      </c>
      <c r="E927" t="s">
        <v>4</v>
      </c>
    </row>
    <row r="928" spans="1:5" x14ac:dyDescent="0.2">
      <c r="A928">
        <v>17</v>
      </c>
      <c r="B928" t="s">
        <v>37</v>
      </c>
      <c r="C928">
        <v>13.9</v>
      </c>
      <c r="D928">
        <v>2035</v>
      </c>
      <c r="E928" t="s">
        <v>4</v>
      </c>
    </row>
    <row r="929" spans="1:5" x14ac:dyDescent="0.2">
      <c r="A929">
        <v>18</v>
      </c>
      <c r="B929" t="s">
        <v>37</v>
      </c>
      <c r="C929">
        <v>17.68</v>
      </c>
      <c r="D929">
        <v>2035</v>
      </c>
      <c r="E929" t="s">
        <v>4</v>
      </c>
    </row>
    <row r="930" spans="1:5" x14ac:dyDescent="0.2">
      <c r="A930">
        <v>19</v>
      </c>
      <c r="B930" t="s">
        <v>37</v>
      </c>
      <c r="C930">
        <v>20.58</v>
      </c>
      <c r="D930">
        <v>2035</v>
      </c>
      <c r="E930" t="s">
        <v>4</v>
      </c>
    </row>
    <row r="931" spans="1:5" x14ac:dyDescent="0.2">
      <c r="A931">
        <v>20</v>
      </c>
      <c r="B931" t="s">
        <v>37</v>
      </c>
      <c r="C931">
        <v>20.97</v>
      </c>
      <c r="D931">
        <v>2035</v>
      </c>
      <c r="E931" t="s">
        <v>4</v>
      </c>
    </row>
    <row r="932" spans="1:5" x14ac:dyDescent="0.2">
      <c r="A932">
        <v>21</v>
      </c>
      <c r="B932" t="s">
        <v>37</v>
      </c>
      <c r="C932">
        <v>17.79</v>
      </c>
      <c r="D932">
        <v>2035</v>
      </c>
      <c r="E932" t="s">
        <v>4</v>
      </c>
    </row>
    <row r="933" spans="1:5" x14ac:dyDescent="0.2">
      <c r="A933">
        <v>22</v>
      </c>
      <c r="B933" t="s">
        <v>37</v>
      </c>
      <c r="C933">
        <v>17.55</v>
      </c>
      <c r="D933">
        <v>2035</v>
      </c>
      <c r="E933" t="s">
        <v>4</v>
      </c>
    </row>
    <row r="934" spans="1:5" x14ac:dyDescent="0.2">
      <c r="A934">
        <v>23</v>
      </c>
      <c r="B934" t="s">
        <v>37</v>
      </c>
      <c r="C934">
        <v>14.16</v>
      </c>
      <c r="D934">
        <v>2035</v>
      </c>
      <c r="E934" t="s">
        <v>4</v>
      </c>
    </row>
    <row r="935" spans="1:5" x14ac:dyDescent="0.2">
      <c r="A935">
        <v>24</v>
      </c>
      <c r="B935" t="s">
        <v>37</v>
      </c>
      <c r="C935">
        <v>7.5</v>
      </c>
      <c r="D935">
        <v>2035</v>
      </c>
      <c r="E935" t="s">
        <v>4</v>
      </c>
    </row>
    <row r="936" spans="1:5" x14ac:dyDescent="0.2">
      <c r="A936">
        <v>25</v>
      </c>
      <c r="B936" t="s">
        <v>37</v>
      </c>
      <c r="C936">
        <v>10.199999999999999</v>
      </c>
      <c r="D936">
        <v>2035</v>
      </c>
      <c r="E936" t="s">
        <v>4</v>
      </c>
    </row>
    <row r="937" spans="1:5" x14ac:dyDescent="0.2">
      <c r="A937">
        <v>26</v>
      </c>
      <c r="B937" t="s">
        <v>37</v>
      </c>
      <c r="C937">
        <v>9.2799999999999994</v>
      </c>
      <c r="D937">
        <v>2035</v>
      </c>
      <c r="E937" t="s">
        <v>4</v>
      </c>
    </row>
    <row r="938" spans="1:5" x14ac:dyDescent="0.2">
      <c r="A938">
        <v>27</v>
      </c>
      <c r="B938" t="s">
        <v>37</v>
      </c>
      <c r="C938">
        <v>13.03</v>
      </c>
      <c r="D938">
        <v>2035</v>
      </c>
      <c r="E938" t="s">
        <v>4</v>
      </c>
    </row>
    <row r="939" spans="1:5" x14ac:dyDescent="0.2">
      <c r="A939">
        <v>28</v>
      </c>
      <c r="B939" t="s">
        <v>37</v>
      </c>
      <c r="C939">
        <v>10.58</v>
      </c>
      <c r="D939">
        <v>2035</v>
      </c>
      <c r="E939" t="s">
        <v>4</v>
      </c>
    </row>
    <row r="940" spans="1:5" x14ac:dyDescent="0.2">
      <c r="A940">
        <v>29</v>
      </c>
      <c r="B940" t="s">
        <v>37</v>
      </c>
      <c r="C940">
        <v>17.579999999999998</v>
      </c>
      <c r="D940">
        <v>2035</v>
      </c>
      <c r="E940" t="s">
        <v>4</v>
      </c>
    </row>
    <row r="941" spans="1:5" x14ac:dyDescent="0.2">
      <c r="A941">
        <v>30</v>
      </c>
      <c r="B941" t="s">
        <v>37</v>
      </c>
      <c r="C941">
        <v>8.59</v>
      </c>
      <c r="D941">
        <v>2035</v>
      </c>
      <c r="E941" t="s">
        <v>4</v>
      </c>
    </row>
    <row r="942" spans="1:5" x14ac:dyDescent="0.2">
      <c r="A942">
        <v>31</v>
      </c>
      <c r="B942" t="s">
        <v>37</v>
      </c>
      <c r="C942">
        <v>6.11</v>
      </c>
      <c r="D942">
        <v>2035</v>
      </c>
      <c r="E942" t="s">
        <v>4</v>
      </c>
    </row>
    <row r="943" spans="1:5" x14ac:dyDescent="0.2">
      <c r="A943">
        <v>32</v>
      </c>
      <c r="B943" t="s">
        <v>37</v>
      </c>
      <c r="C943">
        <v>4.49</v>
      </c>
      <c r="D943">
        <v>2035</v>
      </c>
      <c r="E943" t="s">
        <v>4</v>
      </c>
    </row>
    <row r="944" spans="1:5" x14ac:dyDescent="0.2">
      <c r="A944">
        <v>33</v>
      </c>
      <c r="B944" t="s">
        <v>37</v>
      </c>
      <c r="C944">
        <v>11.89</v>
      </c>
      <c r="D944">
        <v>2035</v>
      </c>
      <c r="E944" t="s">
        <v>4</v>
      </c>
    </row>
    <row r="945" spans="1:5" x14ac:dyDescent="0.2">
      <c r="A945">
        <v>34</v>
      </c>
      <c r="B945" t="s">
        <v>37</v>
      </c>
      <c r="C945">
        <v>9.59</v>
      </c>
      <c r="D945">
        <v>2035</v>
      </c>
      <c r="E945" t="s">
        <v>4</v>
      </c>
    </row>
    <row r="946" spans="1:5" x14ac:dyDescent="0.2">
      <c r="A946">
        <v>35</v>
      </c>
      <c r="B946" t="s">
        <v>37</v>
      </c>
      <c r="C946">
        <v>11.4</v>
      </c>
      <c r="D946">
        <v>2035</v>
      </c>
      <c r="E946" t="s">
        <v>4</v>
      </c>
    </row>
    <row r="947" spans="1:5" x14ac:dyDescent="0.2">
      <c r="A947">
        <v>36</v>
      </c>
      <c r="B947" t="s">
        <v>37</v>
      </c>
      <c r="C947">
        <v>10.19</v>
      </c>
      <c r="D947">
        <v>2035</v>
      </c>
      <c r="E947" t="s">
        <v>4</v>
      </c>
    </row>
    <row r="948" spans="1:5" x14ac:dyDescent="0.2">
      <c r="A948">
        <v>37</v>
      </c>
      <c r="B948" t="s">
        <v>37</v>
      </c>
      <c r="C948">
        <v>9.94</v>
      </c>
      <c r="D948">
        <v>2035</v>
      </c>
      <c r="E948" t="s">
        <v>4</v>
      </c>
    </row>
    <row r="949" spans="1:5" x14ac:dyDescent="0.2">
      <c r="A949">
        <v>38</v>
      </c>
      <c r="B949" t="s">
        <v>37</v>
      </c>
      <c r="C949">
        <v>5.64</v>
      </c>
      <c r="D949">
        <v>2035</v>
      </c>
      <c r="E949" t="s">
        <v>4</v>
      </c>
    </row>
    <row r="950" spans="1:5" x14ac:dyDescent="0.2">
      <c r="A950">
        <v>39</v>
      </c>
      <c r="B950" t="s">
        <v>37</v>
      </c>
      <c r="C950">
        <v>6.49</v>
      </c>
      <c r="D950">
        <v>2035</v>
      </c>
      <c r="E950" t="s">
        <v>4</v>
      </c>
    </row>
    <row r="951" spans="1:5" x14ac:dyDescent="0.2">
      <c r="A951">
        <v>40</v>
      </c>
      <c r="B951" t="s">
        <v>37</v>
      </c>
      <c r="C951">
        <v>10.23</v>
      </c>
      <c r="D951">
        <v>2035</v>
      </c>
      <c r="E951" t="s">
        <v>4</v>
      </c>
    </row>
    <row r="952" spans="1:5" x14ac:dyDescent="0.2">
      <c r="A952">
        <v>41</v>
      </c>
      <c r="B952" t="s">
        <v>37</v>
      </c>
      <c r="C952">
        <v>10.08</v>
      </c>
      <c r="D952">
        <v>2035</v>
      </c>
      <c r="E952" t="s">
        <v>4</v>
      </c>
    </row>
    <row r="953" spans="1:5" x14ac:dyDescent="0.2">
      <c r="A953">
        <v>42</v>
      </c>
      <c r="B953" t="s">
        <v>37</v>
      </c>
      <c r="C953">
        <v>5.98</v>
      </c>
      <c r="D953">
        <v>2035</v>
      </c>
      <c r="E953" t="s">
        <v>4</v>
      </c>
    </row>
    <row r="954" spans="1:5" x14ac:dyDescent="0.2">
      <c r="A954">
        <v>43</v>
      </c>
      <c r="B954" t="s">
        <v>37</v>
      </c>
      <c r="C954">
        <v>14.64</v>
      </c>
      <c r="D954">
        <v>2035</v>
      </c>
      <c r="E954" t="s">
        <v>4</v>
      </c>
    </row>
    <row r="955" spans="1:5" x14ac:dyDescent="0.2">
      <c r="A955">
        <v>44</v>
      </c>
      <c r="B955" t="s">
        <v>37</v>
      </c>
      <c r="C955">
        <v>14.6</v>
      </c>
      <c r="D955">
        <v>2035</v>
      </c>
      <c r="E955" t="s">
        <v>4</v>
      </c>
    </row>
    <row r="956" spans="1:5" x14ac:dyDescent="0.2">
      <c r="A956">
        <v>45</v>
      </c>
      <c r="B956" t="s">
        <v>37</v>
      </c>
      <c r="C956">
        <v>12.44</v>
      </c>
      <c r="D956">
        <v>2035</v>
      </c>
      <c r="E956" t="s">
        <v>4</v>
      </c>
    </row>
    <row r="957" spans="1:5" x14ac:dyDescent="0.2">
      <c r="A957">
        <v>46</v>
      </c>
      <c r="B957" t="s">
        <v>37</v>
      </c>
      <c r="C957">
        <v>17.559999999999999</v>
      </c>
      <c r="D957">
        <v>2035</v>
      </c>
      <c r="E957" t="s">
        <v>4</v>
      </c>
    </row>
    <row r="958" spans="1:5" x14ac:dyDescent="0.2">
      <c r="A958">
        <v>47</v>
      </c>
      <c r="B958" t="s">
        <v>37</v>
      </c>
      <c r="C958">
        <v>13.78</v>
      </c>
      <c r="D958">
        <v>2035</v>
      </c>
      <c r="E958" t="s">
        <v>4</v>
      </c>
    </row>
    <row r="959" spans="1:5" x14ac:dyDescent="0.2">
      <c r="A959">
        <v>48</v>
      </c>
      <c r="B959" t="s">
        <v>37</v>
      </c>
      <c r="C959">
        <v>10.82</v>
      </c>
      <c r="D959">
        <v>2035</v>
      </c>
      <c r="E959" t="s">
        <v>4</v>
      </c>
    </row>
    <row r="960" spans="1:5" x14ac:dyDescent="0.2">
      <c r="A960">
        <v>49</v>
      </c>
      <c r="B960" t="s">
        <v>37</v>
      </c>
      <c r="C960">
        <v>18.78</v>
      </c>
      <c r="D960">
        <v>2035</v>
      </c>
      <c r="E960" t="s">
        <v>4</v>
      </c>
    </row>
    <row r="961" spans="1:5" x14ac:dyDescent="0.2">
      <c r="A961">
        <v>50</v>
      </c>
      <c r="B961" t="s">
        <v>37</v>
      </c>
      <c r="C961">
        <v>19.649999999999999</v>
      </c>
      <c r="D961">
        <v>2035</v>
      </c>
      <c r="E961" t="s">
        <v>4</v>
      </c>
    </row>
    <row r="962" spans="1:5" x14ac:dyDescent="0.2">
      <c r="A962">
        <v>51</v>
      </c>
      <c r="B962" t="s">
        <v>37</v>
      </c>
      <c r="C962">
        <v>13.34</v>
      </c>
      <c r="D962">
        <v>2035</v>
      </c>
      <c r="E962" t="s">
        <v>4</v>
      </c>
    </row>
    <row r="963" spans="1:5" x14ac:dyDescent="0.2">
      <c r="A963">
        <v>52</v>
      </c>
      <c r="B963" t="s">
        <v>37</v>
      </c>
      <c r="C963">
        <v>11.53</v>
      </c>
      <c r="D963">
        <v>2035</v>
      </c>
      <c r="E963" t="s">
        <v>4</v>
      </c>
    </row>
    <row r="964" spans="1:5" x14ac:dyDescent="0.2">
      <c r="A964">
        <v>53</v>
      </c>
      <c r="B964" t="s">
        <v>37</v>
      </c>
      <c r="C964">
        <v>14.23</v>
      </c>
      <c r="D964">
        <v>2035</v>
      </c>
      <c r="E964" t="s">
        <v>4</v>
      </c>
    </row>
    <row r="965" spans="1:5" x14ac:dyDescent="0.2">
      <c r="A965">
        <v>54</v>
      </c>
      <c r="B965" t="s">
        <v>37</v>
      </c>
      <c r="C965">
        <v>8.4</v>
      </c>
      <c r="D965">
        <v>2035</v>
      </c>
      <c r="E965" t="s">
        <v>4</v>
      </c>
    </row>
    <row r="966" spans="1:5" x14ac:dyDescent="0.2">
      <c r="A966">
        <v>55</v>
      </c>
      <c r="B966" t="s">
        <v>37</v>
      </c>
      <c r="C966">
        <v>4.29</v>
      </c>
      <c r="D966">
        <v>2035</v>
      </c>
      <c r="E966" t="s">
        <v>4</v>
      </c>
    </row>
    <row r="967" spans="1:5" x14ac:dyDescent="0.2">
      <c r="A967">
        <v>56</v>
      </c>
      <c r="B967" t="s">
        <v>37</v>
      </c>
      <c r="C967">
        <v>7.15</v>
      </c>
      <c r="D967">
        <v>2035</v>
      </c>
      <c r="E967" t="s">
        <v>4</v>
      </c>
    </row>
    <row r="968" spans="1:5" x14ac:dyDescent="0.2">
      <c r="A968">
        <v>57</v>
      </c>
      <c r="B968" t="s">
        <v>37</v>
      </c>
      <c r="C968">
        <v>7.01</v>
      </c>
      <c r="D968">
        <v>2035</v>
      </c>
      <c r="E968" t="s">
        <v>4</v>
      </c>
    </row>
    <row r="969" spans="1:5" x14ac:dyDescent="0.2">
      <c r="A969">
        <v>58</v>
      </c>
      <c r="B969" t="s">
        <v>37</v>
      </c>
      <c r="C969">
        <v>7.01</v>
      </c>
      <c r="D969">
        <v>2035</v>
      </c>
      <c r="E969" t="s">
        <v>4</v>
      </c>
    </row>
    <row r="970" spans="1:5" x14ac:dyDescent="0.2">
      <c r="A970">
        <v>59</v>
      </c>
      <c r="B970" t="s">
        <v>37</v>
      </c>
      <c r="C970">
        <v>7</v>
      </c>
      <c r="D970">
        <v>2035</v>
      </c>
      <c r="E970" t="s">
        <v>4</v>
      </c>
    </row>
    <row r="971" spans="1:5" x14ac:dyDescent="0.2">
      <c r="A971">
        <v>60</v>
      </c>
      <c r="B971" t="s">
        <v>37</v>
      </c>
      <c r="C971">
        <v>9.1300000000000008</v>
      </c>
      <c r="D971">
        <v>2035</v>
      </c>
      <c r="E971" t="s">
        <v>4</v>
      </c>
    </row>
    <row r="972" spans="1:5" x14ac:dyDescent="0.2">
      <c r="A972">
        <v>61</v>
      </c>
      <c r="B972" t="s">
        <v>37</v>
      </c>
      <c r="C972">
        <v>5.47</v>
      </c>
      <c r="D972">
        <v>2035</v>
      </c>
      <c r="E972" t="s">
        <v>4</v>
      </c>
    </row>
    <row r="973" spans="1:5" x14ac:dyDescent="0.2">
      <c r="A973">
        <v>62</v>
      </c>
      <c r="B973" t="s">
        <v>37</v>
      </c>
      <c r="C973">
        <v>5.55</v>
      </c>
      <c r="D973">
        <v>2035</v>
      </c>
      <c r="E973" t="s">
        <v>4</v>
      </c>
    </row>
    <row r="974" spans="1:5" x14ac:dyDescent="0.2">
      <c r="A974">
        <v>63</v>
      </c>
      <c r="B974" t="s">
        <v>37</v>
      </c>
      <c r="C974">
        <v>4.79</v>
      </c>
      <c r="D974">
        <v>2035</v>
      </c>
      <c r="E974" t="s">
        <v>4</v>
      </c>
    </row>
    <row r="975" spans="1:5" x14ac:dyDescent="0.2">
      <c r="A975">
        <v>64</v>
      </c>
      <c r="B975" t="s">
        <v>37</v>
      </c>
      <c r="C975">
        <v>3.36</v>
      </c>
      <c r="D975">
        <v>2035</v>
      </c>
      <c r="E975" t="s">
        <v>4</v>
      </c>
    </row>
    <row r="976" spans="1:5" x14ac:dyDescent="0.2">
      <c r="A976">
        <v>65</v>
      </c>
      <c r="B976" t="s">
        <v>37</v>
      </c>
      <c r="C976">
        <v>7.25</v>
      </c>
      <c r="D976">
        <v>2035</v>
      </c>
      <c r="E976" t="s">
        <v>4</v>
      </c>
    </row>
    <row r="977" spans="1:5" x14ac:dyDescent="0.2">
      <c r="A977">
        <v>66</v>
      </c>
      <c r="B977" t="s">
        <v>37</v>
      </c>
      <c r="C977">
        <v>5.93</v>
      </c>
      <c r="D977">
        <v>2035</v>
      </c>
      <c r="E977" t="s">
        <v>4</v>
      </c>
    </row>
    <row r="978" spans="1:5" x14ac:dyDescent="0.2">
      <c r="A978">
        <v>67</v>
      </c>
      <c r="B978" t="s">
        <v>37</v>
      </c>
      <c r="C978">
        <v>3.7</v>
      </c>
      <c r="D978">
        <v>2035</v>
      </c>
      <c r="E978" t="s">
        <v>4</v>
      </c>
    </row>
    <row r="979" spans="1:5" x14ac:dyDescent="0.2">
      <c r="A979">
        <v>68</v>
      </c>
      <c r="B979" t="s">
        <v>37</v>
      </c>
      <c r="C979">
        <v>3.62</v>
      </c>
      <c r="D979">
        <v>2035</v>
      </c>
      <c r="E979" t="s">
        <v>4</v>
      </c>
    </row>
    <row r="980" spans="1:5" x14ac:dyDescent="0.2">
      <c r="A980">
        <v>69</v>
      </c>
      <c r="B980" t="s">
        <v>37</v>
      </c>
      <c r="C980">
        <v>4.41</v>
      </c>
      <c r="D980">
        <v>2035</v>
      </c>
      <c r="E980" t="s">
        <v>4</v>
      </c>
    </row>
    <row r="981" spans="1:5" x14ac:dyDescent="0.2">
      <c r="A981">
        <v>70</v>
      </c>
      <c r="B981" t="s">
        <v>37</v>
      </c>
      <c r="C981">
        <v>4.93</v>
      </c>
      <c r="D981">
        <v>2035</v>
      </c>
      <c r="E981" t="s">
        <v>4</v>
      </c>
    </row>
    <row r="982" spans="1:5" x14ac:dyDescent="0.2">
      <c r="A982">
        <v>71</v>
      </c>
      <c r="B982" t="s">
        <v>37</v>
      </c>
      <c r="C982">
        <v>1.82</v>
      </c>
      <c r="D982">
        <v>2035</v>
      </c>
      <c r="E982" t="s">
        <v>4</v>
      </c>
    </row>
    <row r="983" spans="1:5" x14ac:dyDescent="0.2">
      <c r="A983">
        <v>72</v>
      </c>
      <c r="B983" t="s">
        <v>37</v>
      </c>
      <c r="C983">
        <v>4.5999999999999996</v>
      </c>
      <c r="D983">
        <v>2035</v>
      </c>
      <c r="E983" t="s">
        <v>4</v>
      </c>
    </row>
    <row r="984" spans="1:5" x14ac:dyDescent="0.2">
      <c r="A984">
        <v>73</v>
      </c>
      <c r="B984" t="s">
        <v>37</v>
      </c>
      <c r="C984">
        <v>3.08</v>
      </c>
      <c r="D984">
        <v>2035</v>
      </c>
      <c r="E984" t="s">
        <v>4</v>
      </c>
    </row>
    <row r="985" spans="1:5" x14ac:dyDescent="0.2">
      <c r="A985">
        <v>74</v>
      </c>
      <c r="B985" t="s">
        <v>37</v>
      </c>
      <c r="C985">
        <v>2.69</v>
      </c>
      <c r="D985">
        <v>2035</v>
      </c>
      <c r="E985" t="s">
        <v>4</v>
      </c>
    </row>
    <row r="986" spans="1:5" x14ac:dyDescent="0.2">
      <c r="A986">
        <v>75</v>
      </c>
      <c r="B986" t="s">
        <v>37</v>
      </c>
      <c r="C986">
        <v>2.48</v>
      </c>
      <c r="D986">
        <v>2035</v>
      </c>
      <c r="E986" t="s">
        <v>4</v>
      </c>
    </row>
    <row r="987" spans="1:5" x14ac:dyDescent="0.2">
      <c r="A987">
        <v>76</v>
      </c>
      <c r="B987" t="s">
        <v>37</v>
      </c>
      <c r="C987">
        <v>3.04</v>
      </c>
      <c r="D987">
        <v>2035</v>
      </c>
      <c r="E987" t="s">
        <v>4</v>
      </c>
    </row>
    <row r="988" spans="1:5" x14ac:dyDescent="0.2">
      <c r="A988">
        <v>77</v>
      </c>
      <c r="B988" t="s">
        <v>37</v>
      </c>
      <c r="C988">
        <v>2.16</v>
      </c>
      <c r="D988">
        <v>2035</v>
      </c>
      <c r="E988" t="s">
        <v>4</v>
      </c>
    </row>
    <row r="989" spans="1:5" x14ac:dyDescent="0.2">
      <c r="A989">
        <v>78</v>
      </c>
      <c r="B989" t="s">
        <v>37</v>
      </c>
      <c r="C989">
        <v>0.85</v>
      </c>
      <c r="D989">
        <v>2035</v>
      </c>
      <c r="E989" t="s">
        <v>4</v>
      </c>
    </row>
    <row r="990" spans="1:5" x14ac:dyDescent="0.2">
      <c r="A990">
        <v>79</v>
      </c>
      <c r="B990" t="s">
        <v>37</v>
      </c>
      <c r="C990">
        <v>1.04</v>
      </c>
      <c r="D990">
        <v>2035</v>
      </c>
      <c r="E990" t="s">
        <v>4</v>
      </c>
    </row>
    <row r="991" spans="1:5" x14ac:dyDescent="0.2">
      <c r="A991">
        <v>80</v>
      </c>
      <c r="B991" t="s">
        <v>37</v>
      </c>
      <c r="C991">
        <v>1.07</v>
      </c>
      <c r="D991">
        <v>2035</v>
      </c>
      <c r="E991" t="s">
        <v>4</v>
      </c>
    </row>
    <row r="992" spans="1:5" x14ac:dyDescent="0.2">
      <c r="A992">
        <v>81</v>
      </c>
      <c r="B992" t="s">
        <v>37</v>
      </c>
      <c r="C992">
        <v>0.42</v>
      </c>
      <c r="D992">
        <v>2035</v>
      </c>
      <c r="E992" t="s">
        <v>4</v>
      </c>
    </row>
    <row r="993" spans="1:5" x14ac:dyDescent="0.2">
      <c r="A993">
        <v>82</v>
      </c>
      <c r="B993" t="s">
        <v>37</v>
      </c>
      <c r="C993">
        <v>0.87</v>
      </c>
      <c r="D993">
        <v>2035</v>
      </c>
      <c r="E993" t="s">
        <v>4</v>
      </c>
    </row>
    <row r="994" spans="1:5" x14ac:dyDescent="0.2">
      <c r="A994">
        <v>83</v>
      </c>
      <c r="B994" t="s">
        <v>37</v>
      </c>
      <c r="C994">
        <v>1.94</v>
      </c>
      <c r="D994">
        <v>2035</v>
      </c>
      <c r="E994" t="s">
        <v>4</v>
      </c>
    </row>
    <row r="995" spans="1:5" x14ac:dyDescent="0.2">
      <c r="A995">
        <v>84</v>
      </c>
      <c r="B995" t="s">
        <v>37</v>
      </c>
      <c r="C995">
        <v>2.31</v>
      </c>
      <c r="D995">
        <v>2035</v>
      </c>
      <c r="E995" t="s">
        <v>4</v>
      </c>
    </row>
    <row r="996" spans="1:5" x14ac:dyDescent="0.2">
      <c r="A996">
        <v>85</v>
      </c>
      <c r="B996" t="s">
        <v>37</v>
      </c>
      <c r="C996">
        <v>1.08</v>
      </c>
      <c r="D996">
        <v>2035</v>
      </c>
      <c r="E996" t="s">
        <v>4</v>
      </c>
    </row>
    <row r="997" spans="1:5" x14ac:dyDescent="0.2">
      <c r="A997">
        <v>86</v>
      </c>
      <c r="B997" t="s">
        <v>37</v>
      </c>
      <c r="C997">
        <v>1.4</v>
      </c>
      <c r="D997">
        <v>2035</v>
      </c>
      <c r="E997" t="s">
        <v>4</v>
      </c>
    </row>
    <row r="998" spans="1:5" x14ac:dyDescent="0.2">
      <c r="A998">
        <v>87</v>
      </c>
      <c r="B998" t="s">
        <v>37</v>
      </c>
      <c r="C998">
        <v>0.56000000000000005</v>
      </c>
      <c r="D998">
        <v>2035</v>
      </c>
      <c r="E998" t="s">
        <v>4</v>
      </c>
    </row>
    <row r="999" spans="1:5" x14ac:dyDescent="0.2">
      <c r="A999">
        <v>88</v>
      </c>
      <c r="B999" t="s">
        <v>37</v>
      </c>
      <c r="C999">
        <v>0.62</v>
      </c>
      <c r="D999">
        <v>2035</v>
      </c>
      <c r="E999" t="s">
        <v>4</v>
      </c>
    </row>
    <row r="1000" spans="1:5" x14ac:dyDescent="0.2">
      <c r="A1000">
        <v>89</v>
      </c>
      <c r="B1000" t="s">
        <v>37</v>
      </c>
      <c r="C1000">
        <v>0.74</v>
      </c>
      <c r="D1000">
        <v>2035</v>
      </c>
      <c r="E1000" t="s">
        <v>4</v>
      </c>
    </row>
    <row r="1001" spans="1:5" x14ac:dyDescent="0.2">
      <c r="A1001">
        <v>90</v>
      </c>
      <c r="B1001" t="s">
        <v>37</v>
      </c>
      <c r="C1001">
        <v>1.28</v>
      </c>
      <c r="D1001">
        <v>2035</v>
      </c>
      <c r="E1001" t="s">
        <v>4</v>
      </c>
    </row>
    <row r="1002" spans="1:5" x14ac:dyDescent="0.2">
      <c r="A1002">
        <v>91</v>
      </c>
      <c r="B1002" t="s">
        <v>37</v>
      </c>
      <c r="C1002">
        <v>0.87</v>
      </c>
      <c r="D1002">
        <v>2035</v>
      </c>
      <c r="E1002" t="s">
        <v>4</v>
      </c>
    </row>
    <row r="1003" spans="1:5" x14ac:dyDescent="0.2">
      <c r="A1003">
        <v>92</v>
      </c>
      <c r="B1003" t="s">
        <v>37</v>
      </c>
      <c r="C1003">
        <v>0.4</v>
      </c>
      <c r="D1003">
        <v>2035</v>
      </c>
      <c r="E1003" t="s">
        <v>4</v>
      </c>
    </row>
    <row r="1004" spans="1:5" x14ac:dyDescent="0.2">
      <c r="A1004">
        <v>93</v>
      </c>
      <c r="B1004" t="s">
        <v>37</v>
      </c>
      <c r="C1004">
        <v>0.28999999999999998</v>
      </c>
      <c r="D1004">
        <v>2035</v>
      </c>
      <c r="E1004" t="s">
        <v>4</v>
      </c>
    </row>
    <row r="1005" spans="1:5" x14ac:dyDescent="0.2">
      <c r="A1005">
        <v>94</v>
      </c>
      <c r="B1005" t="s">
        <v>37</v>
      </c>
      <c r="C1005">
        <v>0.51</v>
      </c>
      <c r="D1005">
        <v>2035</v>
      </c>
      <c r="E1005" t="s">
        <v>4</v>
      </c>
    </row>
    <row r="1006" spans="1:5" x14ac:dyDescent="0.2">
      <c r="A1006">
        <v>95</v>
      </c>
      <c r="B1006" t="s">
        <v>37</v>
      </c>
      <c r="C1006">
        <v>0</v>
      </c>
      <c r="D1006">
        <v>2035</v>
      </c>
      <c r="E1006" t="s">
        <v>4</v>
      </c>
    </row>
    <row r="1007" spans="1:5" x14ac:dyDescent="0.2">
      <c r="A1007">
        <v>96</v>
      </c>
      <c r="B1007" t="s">
        <v>37</v>
      </c>
      <c r="C1007">
        <v>0.62</v>
      </c>
      <c r="D1007">
        <v>2035</v>
      </c>
      <c r="E1007" t="s">
        <v>4</v>
      </c>
    </row>
    <row r="1008" spans="1:5" x14ac:dyDescent="0.2">
      <c r="A1008">
        <v>97</v>
      </c>
      <c r="B1008" t="s">
        <v>37</v>
      </c>
      <c r="C1008">
        <v>0.37</v>
      </c>
      <c r="D1008">
        <v>2035</v>
      </c>
      <c r="E1008" t="s">
        <v>4</v>
      </c>
    </row>
    <row r="1009" spans="1:5" x14ac:dyDescent="0.2">
      <c r="A1009">
        <v>98</v>
      </c>
      <c r="B1009" t="s">
        <v>37</v>
      </c>
      <c r="C1009">
        <v>0</v>
      </c>
      <c r="D1009">
        <v>2035</v>
      </c>
      <c r="E1009" t="s">
        <v>4</v>
      </c>
    </row>
    <row r="1010" spans="1:5" x14ac:dyDescent="0.2">
      <c r="A1010">
        <v>99</v>
      </c>
      <c r="B1010" t="s">
        <v>37</v>
      </c>
      <c r="C1010">
        <v>0.15</v>
      </c>
      <c r="D1010">
        <v>2035</v>
      </c>
      <c r="E1010" t="s">
        <v>4</v>
      </c>
    </row>
    <row r="1011" spans="1:5" x14ac:dyDescent="0.2">
      <c r="A1011">
        <v>100</v>
      </c>
      <c r="B1011" t="s">
        <v>37</v>
      </c>
      <c r="C1011">
        <v>0</v>
      </c>
      <c r="D1011">
        <v>2035</v>
      </c>
      <c r="E1011" t="s">
        <v>4</v>
      </c>
    </row>
    <row r="1012" spans="1:5" x14ac:dyDescent="0.2">
      <c r="A1012">
        <v>0</v>
      </c>
      <c r="B1012" t="s">
        <v>38</v>
      </c>
      <c r="C1012">
        <v>6000.57</v>
      </c>
      <c r="D1012">
        <v>2035</v>
      </c>
      <c r="E1012" t="s">
        <v>4</v>
      </c>
    </row>
    <row r="1013" spans="1:5" x14ac:dyDescent="0.2">
      <c r="A1013">
        <v>1</v>
      </c>
      <c r="B1013" t="s">
        <v>38</v>
      </c>
      <c r="C1013">
        <v>5996.74</v>
      </c>
      <c r="D1013">
        <v>2035</v>
      </c>
      <c r="E1013" t="s">
        <v>4</v>
      </c>
    </row>
    <row r="1014" spans="1:5" x14ac:dyDescent="0.2">
      <c r="A1014">
        <v>2</v>
      </c>
      <c r="B1014" t="s">
        <v>38</v>
      </c>
      <c r="C1014">
        <v>6001.12</v>
      </c>
      <c r="D1014">
        <v>2035</v>
      </c>
      <c r="E1014" t="s">
        <v>4</v>
      </c>
    </row>
    <row r="1015" spans="1:5" x14ac:dyDescent="0.2">
      <c r="A1015">
        <v>3</v>
      </c>
      <c r="B1015" t="s">
        <v>38</v>
      </c>
      <c r="C1015">
        <v>6003.14</v>
      </c>
      <c r="D1015">
        <v>2035</v>
      </c>
      <c r="E1015" t="s">
        <v>4</v>
      </c>
    </row>
    <row r="1016" spans="1:5" x14ac:dyDescent="0.2">
      <c r="A1016">
        <v>4</v>
      </c>
      <c r="B1016" t="s">
        <v>38</v>
      </c>
      <c r="C1016">
        <v>5999.25</v>
      </c>
      <c r="D1016">
        <v>2035</v>
      </c>
      <c r="E1016" t="s">
        <v>4</v>
      </c>
    </row>
    <row r="1017" spans="1:5" x14ac:dyDescent="0.2">
      <c r="A1017">
        <v>5</v>
      </c>
      <c r="B1017" t="s">
        <v>38</v>
      </c>
      <c r="C1017">
        <v>5982.82</v>
      </c>
      <c r="D1017">
        <v>2035</v>
      </c>
      <c r="E1017" t="s">
        <v>4</v>
      </c>
    </row>
    <row r="1018" spans="1:5" x14ac:dyDescent="0.2">
      <c r="A1018">
        <v>6</v>
      </c>
      <c r="B1018" t="s">
        <v>38</v>
      </c>
      <c r="C1018">
        <v>5960.24</v>
      </c>
      <c r="D1018">
        <v>2035</v>
      </c>
      <c r="E1018" t="s">
        <v>4</v>
      </c>
    </row>
    <row r="1019" spans="1:5" x14ac:dyDescent="0.2">
      <c r="A1019">
        <v>7</v>
      </c>
      <c r="B1019" t="s">
        <v>38</v>
      </c>
      <c r="C1019">
        <v>5919.88</v>
      </c>
      <c r="D1019">
        <v>2035</v>
      </c>
      <c r="E1019" t="s">
        <v>4</v>
      </c>
    </row>
    <row r="1020" spans="1:5" x14ac:dyDescent="0.2">
      <c r="A1020">
        <v>8</v>
      </c>
      <c r="B1020" t="s">
        <v>38</v>
      </c>
      <c r="C1020">
        <v>5877.53</v>
      </c>
      <c r="D1020">
        <v>2035</v>
      </c>
      <c r="E1020" t="s">
        <v>4</v>
      </c>
    </row>
    <row r="1021" spans="1:5" x14ac:dyDescent="0.2">
      <c r="A1021">
        <v>9</v>
      </c>
      <c r="B1021" t="s">
        <v>38</v>
      </c>
      <c r="C1021">
        <v>5841.69</v>
      </c>
      <c r="D1021">
        <v>2035</v>
      </c>
      <c r="E1021" t="s">
        <v>4</v>
      </c>
    </row>
    <row r="1022" spans="1:5" x14ac:dyDescent="0.2">
      <c r="A1022">
        <v>10</v>
      </c>
      <c r="B1022" t="s">
        <v>38</v>
      </c>
      <c r="C1022">
        <v>5804.28</v>
      </c>
      <c r="D1022">
        <v>2035</v>
      </c>
      <c r="E1022" t="s">
        <v>4</v>
      </c>
    </row>
    <row r="1023" spans="1:5" x14ac:dyDescent="0.2">
      <c r="A1023">
        <v>11</v>
      </c>
      <c r="B1023" t="s">
        <v>38</v>
      </c>
      <c r="C1023">
        <v>5771.84</v>
      </c>
      <c r="D1023">
        <v>2035</v>
      </c>
      <c r="E1023" t="s">
        <v>4</v>
      </c>
    </row>
    <row r="1024" spans="1:5" x14ac:dyDescent="0.2">
      <c r="A1024">
        <v>12</v>
      </c>
      <c r="B1024" t="s">
        <v>38</v>
      </c>
      <c r="C1024">
        <v>5742.56</v>
      </c>
      <c r="D1024">
        <v>2035</v>
      </c>
      <c r="E1024" t="s">
        <v>4</v>
      </c>
    </row>
    <row r="1025" spans="1:5" x14ac:dyDescent="0.2">
      <c r="A1025">
        <v>13</v>
      </c>
      <c r="B1025" t="s">
        <v>38</v>
      </c>
      <c r="C1025">
        <v>5718.85</v>
      </c>
      <c r="D1025">
        <v>2035</v>
      </c>
      <c r="E1025" t="s">
        <v>4</v>
      </c>
    </row>
    <row r="1026" spans="1:5" x14ac:dyDescent="0.2">
      <c r="A1026">
        <v>14</v>
      </c>
      <c r="B1026" t="s">
        <v>38</v>
      </c>
      <c r="C1026">
        <v>5696.68</v>
      </c>
      <c r="D1026">
        <v>2035</v>
      </c>
      <c r="E1026" t="s">
        <v>4</v>
      </c>
    </row>
    <row r="1027" spans="1:5" x14ac:dyDescent="0.2">
      <c r="A1027">
        <v>15</v>
      </c>
      <c r="B1027" t="s">
        <v>38</v>
      </c>
      <c r="C1027">
        <v>5674.64</v>
      </c>
      <c r="D1027">
        <v>2035</v>
      </c>
      <c r="E1027" t="s">
        <v>4</v>
      </c>
    </row>
    <row r="1028" spans="1:5" x14ac:dyDescent="0.2">
      <c r="A1028">
        <v>16</v>
      </c>
      <c r="B1028" t="s">
        <v>38</v>
      </c>
      <c r="C1028">
        <v>5642.07</v>
      </c>
      <c r="D1028">
        <v>2035</v>
      </c>
      <c r="E1028" t="s">
        <v>4</v>
      </c>
    </row>
    <row r="1029" spans="1:5" x14ac:dyDescent="0.2">
      <c r="A1029">
        <v>17</v>
      </c>
      <c r="B1029" t="s">
        <v>38</v>
      </c>
      <c r="C1029">
        <v>6056.86</v>
      </c>
      <c r="D1029">
        <v>2035</v>
      </c>
      <c r="E1029" t="s">
        <v>4</v>
      </c>
    </row>
    <row r="1030" spans="1:5" x14ac:dyDescent="0.2">
      <c r="A1030">
        <v>18</v>
      </c>
      <c r="B1030" t="s">
        <v>38</v>
      </c>
      <c r="C1030">
        <v>6017.33</v>
      </c>
      <c r="D1030">
        <v>2035</v>
      </c>
      <c r="E1030" t="s">
        <v>4</v>
      </c>
    </row>
    <row r="1031" spans="1:5" x14ac:dyDescent="0.2">
      <c r="A1031">
        <v>19</v>
      </c>
      <c r="B1031" t="s">
        <v>38</v>
      </c>
      <c r="C1031">
        <v>5782.5</v>
      </c>
      <c r="D1031">
        <v>2035</v>
      </c>
      <c r="E1031" t="s">
        <v>4</v>
      </c>
    </row>
    <row r="1032" spans="1:5" x14ac:dyDescent="0.2">
      <c r="A1032">
        <v>20</v>
      </c>
      <c r="B1032" t="s">
        <v>38</v>
      </c>
      <c r="C1032">
        <v>5565.87</v>
      </c>
      <c r="D1032">
        <v>2035</v>
      </c>
      <c r="E1032" t="s">
        <v>4</v>
      </c>
    </row>
    <row r="1033" spans="1:5" x14ac:dyDescent="0.2">
      <c r="A1033">
        <v>21</v>
      </c>
      <c r="B1033" t="s">
        <v>38</v>
      </c>
      <c r="C1033">
        <v>5487.27</v>
      </c>
      <c r="D1033">
        <v>2035</v>
      </c>
      <c r="E1033" t="s">
        <v>4</v>
      </c>
    </row>
    <row r="1034" spans="1:5" x14ac:dyDescent="0.2">
      <c r="A1034">
        <v>22</v>
      </c>
      <c r="B1034" t="s">
        <v>38</v>
      </c>
      <c r="C1034">
        <v>5430.52</v>
      </c>
      <c r="D1034">
        <v>2035</v>
      </c>
      <c r="E1034" t="s">
        <v>4</v>
      </c>
    </row>
    <row r="1035" spans="1:5" x14ac:dyDescent="0.2">
      <c r="A1035">
        <v>23</v>
      </c>
      <c r="B1035" t="s">
        <v>38</v>
      </c>
      <c r="C1035">
        <v>5333.63</v>
      </c>
      <c r="D1035">
        <v>2035</v>
      </c>
      <c r="E1035" t="s">
        <v>4</v>
      </c>
    </row>
    <row r="1036" spans="1:5" x14ac:dyDescent="0.2">
      <c r="A1036">
        <v>24</v>
      </c>
      <c r="B1036" t="s">
        <v>38</v>
      </c>
      <c r="C1036">
        <v>5365.53</v>
      </c>
      <c r="D1036">
        <v>2035</v>
      </c>
      <c r="E1036" t="s">
        <v>4</v>
      </c>
    </row>
    <row r="1037" spans="1:5" x14ac:dyDescent="0.2">
      <c r="A1037">
        <v>25</v>
      </c>
      <c r="B1037" t="s">
        <v>38</v>
      </c>
      <c r="C1037">
        <v>5607.95</v>
      </c>
      <c r="D1037">
        <v>2035</v>
      </c>
      <c r="E1037" t="s">
        <v>4</v>
      </c>
    </row>
    <row r="1038" spans="1:5" x14ac:dyDescent="0.2">
      <c r="A1038">
        <v>26</v>
      </c>
      <c r="B1038" t="s">
        <v>38</v>
      </c>
      <c r="C1038">
        <v>5747.99</v>
      </c>
      <c r="D1038">
        <v>2035</v>
      </c>
      <c r="E1038" t="s">
        <v>4</v>
      </c>
    </row>
    <row r="1039" spans="1:5" x14ac:dyDescent="0.2">
      <c r="A1039">
        <v>27</v>
      </c>
      <c r="B1039" t="s">
        <v>38</v>
      </c>
      <c r="C1039">
        <v>5978.78</v>
      </c>
      <c r="D1039">
        <v>2035</v>
      </c>
      <c r="E1039" t="s">
        <v>4</v>
      </c>
    </row>
    <row r="1040" spans="1:5" x14ac:dyDescent="0.2">
      <c r="A1040">
        <v>28</v>
      </c>
      <c r="B1040" t="s">
        <v>38</v>
      </c>
      <c r="C1040">
        <v>6028.06</v>
      </c>
      <c r="D1040">
        <v>2035</v>
      </c>
      <c r="E1040" t="s">
        <v>4</v>
      </c>
    </row>
    <row r="1041" spans="1:5" x14ac:dyDescent="0.2">
      <c r="A1041">
        <v>29</v>
      </c>
      <c r="B1041" t="s">
        <v>38</v>
      </c>
      <c r="C1041">
        <v>5869.5</v>
      </c>
      <c r="D1041">
        <v>2035</v>
      </c>
      <c r="E1041" t="s">
        <v>4</v>
      </c>
    </row>
    <row r="1042" spans="1:5" x14ac:dyDescent="0.2">
      <c r="A1042">
        <v>30</v>
      </c>
      <c r="B1042" t="s">
        <v>38</v>
      </c>
      <c r="C1042">
        <v>5895.88</v>
      </c>
      <c r="D1042">
        <v>2035</v>
      </c>
      <c r="E1042" t="s">
        <v>4</v>
      </c>
    </row>
    <row r="1043" spans="1:5" x14ac:dyDescent="0.2">
      <c r="A1043">
        <v>31</v>
      </c>
      <c r="B1043" t="s">
        <v>38</v>
      </c>
      <c r="C1043">
        <v>5793.52</v>
      </c>
      <c r="D1043">
        <v>2035</v>
      </c>
      <c r="E1043" t="s">
        <v>4</v>
      </c>
    </row>
    <row r="1044" spans="1:5" x14ac:dyDescent="0.2">
      <c r="A1044">
        <v>32</v>
      </c>
      <c r="B1044" t="s">
        <v>38</v>
      </c>
      <c r="C1044">
        <v>5656.84</v>
      </c>
      <c r="D1044">
        <v>2035</v>
      </c>
      <c r="E1044" t="s">
        <v>4</v>
      </c>
    </row>
    <row r="1045" spans="1:5" x14ac:dyDescent="0.2">
      <c r="A1045">
        <v>33</v>
      </c>
      <c r="B1045" t="s">
        <v>38</v>
      </c>
      <c r="C1045">
        <v>5573.26</v>
      </c>
      <c r="D1045">
        <v>2035</v>
      </c>
      <c r="E1045" t="s">
        <v>4</v>
      </c>
    </row>
    <row r="1046" spans="1:5" x14ac:dyDescent="0.2">
      <c r="A1046">
        <v>34</v>
      </c>
      <c r="B1046" t="s">
        <v>38</v>
      </c>
      <c r="C1046">
        <v>5553.32</v>
      </c>
      <c r="D1046">
        <v>2035</v>
      </c>
      <c r="E1046" t="s">
        <v>4</v>
      </c>
    </row>
    <row r="1047" spans="1:5" x14ac:dyDescent="0.2">
      <c r="A1047">
        <v>35</v>
      </c>
      <c r="B1047" t="s">
        <v>38</v>
      </c>
      <c r="C1047">
        <v>5497.03</v>
      </c>
      <c r="D1047">
        <v>2035</v>
      </c>
      <c r="E1047" t="s">
        <v>4</v>
      </c>
    </row>
    <row r="1048" spans="1:5" x14ac:dyDescent="0.2">
      <c r="A1048">
        <v>36</v>
      </c>
      <c r="B1048" t="s">
        <v>38</v>
      </c>
      <c r="C1048">
        <v>5404.38</v>
      </c>
      <c r="D1048">
        <v>2035</v>
      </c>
      <c r="E1048" t="s">
        <v>4</v>
      </c>
    </row>
    <row r="1049" spans="1:5" x14ac:dyDescent="0.2">
      <c r="A1049">
        <v>37</v>
      </c>
      <c r="B1049" t="s">
        <v>38</v>
      </c>
      <c r="C1049">
        <v>5270.11</v>
      </c>
      <c r="D1049">
        <v>2035</v>
      </c>
      <c r="E1049" t="s">
        <v>4</v>
      </c>
    </row>
    <row r="1050" spans="1:5" x14ac:dyDescent="0.2">
      <c r="A1050">
        <v>38</v>
      </c>
      <c r="B1050" t="s">
        <v>38</v>
      </c>
      <c r="C1050">
        <v>5316.05</v>
      </c>
      <c r="D1050">
        <v>2035</v>
      </c>
      <c r="E1050" t="s">
        <v>4</v>
      </c>
    </row>
    <row r="1051" spans="1:5" x14ac:dyDescent="0.2">
      <c r="A1051">
        <v>39</v>
      </c>
      <c r="B1051" t="s">
        <v>38</v>
      </c>
      <c r="C1051">
        <v>5254.8</v>
      </c>
      <c r="D1051">
        <v>2035</v>
      </c>
      <c r="E1051" t="s">
        <v>4</v>
      </c>
    </row>
    <row r="1052" spans="1:5" x14ac:dyDescent="0.2">
      <c r="A1052">
        <v>40</v>
      </c>
      <c r="B1052" t="s">
        <v>38</v>
      </c>
      <c r="C1052">
        <v>5205.84</v>
      </c>
      <c r="D1052">
        <v>2035</v>
      </c>
      <c r="E1052" t="s">
        <v>4</v>
      </c>
    </row>
    <row r="1053" spans="1:5" x14ac:dyDescent="0.2">
      <c r="A1053">
        <v>41</v>
      </c>
      <c r="B1053" t="s">
        <v>38</v>
      </c>
      <c r="C1053">
        <v>5344.9</v>
      </c>
      <c r="D1053">
        <v>2035</v>
      </c>
      <c r="E1053" t="s">
        <v>4</v>
      </c>
    </row>
    <row r="1054" spans="1:5" x14ac:dyDescent="0.2">
      <c r="A1054">
        <v>42</v>
      </c>
      <c r="B1054" t="s">
        <v>38</v>
      </c>
      <c r="C1054">
        <v>5015.0600000000004</v>
      </c>
      <c r="D1054">
        <v>2035</v>
      </c>
      <c r="E1054" t="s">
        <v>4</v>
      </c>
    </row>
    <row r="1055" spans="1:5" x14ac:dyDescent="0.2">
      <c r="A1055">
        <v>43</v>
      </c>
      <c r="B1055" t="s">
        <v>38</v>
      </c>
      <c r="C1055">
        <v>4917.51</v>
      </c>
      <c r="D1055">
        <v>2035</v>
      </c>
      <c r="E1055" t="s">
        <v>4</v>
      </c>
    </row>
    <row r="1056" spans="1:5" x14ac:dyDescent="0.2">
      <c r="A1056">
        <v>44</v>
      </c>
      <c r="B1056" t="s">
        <v>38</v>
      </c>
      <c r="C1056">
        <v>4883.91</v>
      </c>
      <c r="D1056">
        <v>2035</v>
      </c>
      <c r="E1056" t="s">
        <v>4</v>
      </c>
    </row>
    <row r="1057" spans="1:5" x14ac:dyDescent="0.2">
      <c r="A1057">
        <v>45</v>
      </c>
      <c r="B1057" t="s">
        <v>38</v>
      </c>
      <c r="C1057">
        <v>4758.9799999999996</v>
      </c>
      <c r="D1057">
        <v>2035</v>
      </c>
      <c r="E1057" t="s">
        <v>4</v>
      </c>
    </row>
    <row r="1058" spans="1:5" x14ac:dyDescent="0.2">
      <c r="A1058">
        <v>46</v>
      </c>
      <c r="B1058" t="s">
        <v>38</v>
      </c>
      <c r="C1058">
        <v>4565.53</v>
      </c>
      <c r="D1058">
        <v>2035</v>
      </c>
      <c r="E1058" t="s">
        <v>4</v>
      </c>
    </row>
    <row r="1059" spans="1:5" x14ac:dyDescent="0.2">
      <c r="A1059">
        <v>47</v>
      </c>
      <c r="B1059" t="s">
        <v>38</v>
      </c>
      <c r="C1059">
        <v>4422.96</v>
      </c>
      <c r="D1059">
        <v>2035</v>
      </c>
      <c r="E1059" t="s">
        <v>4</v>
      </c>
    </row>
    <row r="1060" spans="1:5" x14ac:dyDescent="0.2">
      <c r="A1060">
        <v>48</v>
      </c>
      <c r="B1060" t="s">
        <v>38</v>
      </c>
      <c r="C1060">
        <v>4398</v>
      </c>
      <c r="D1060">
        <v>2035</v>
      </c>
      <c r="E1060" t="s">
        <v>4</v>
      </c>
    </row>
    <row r="1061" spans="1:5" x14ac:dyDescent="0.2">
      <c r="A1061">
        <v>49</v>
      </c>
      <c r="B1061" t="s">
        <v>38</v>
      </c>
      <c r="C1061">
        <v>4334.09</v>
      </c>
      <c r="D1061">
        <v>2035</v>
      </c>
      <c r="E1061" t="s">
        <v>4</v>
      </c>
    </row>
    <row r="1062" spans="1:5" x14ac:dyDescent="0.2">
      <c r="A1062">
        <v>50</v>
      </c>
      <c r="B1062" t="s">
        <v>38</v>
      </c>
      <c r="C1062">
        <v>4249.6000000000004</v>
      </c>
      <c r="D1062">
        <v>2035</v>
      </c>
      <c r="E1062" t="s">
        <v>4</v>
      </c>
    </row>
    <row r="1063" spans="1:5" x14ac:dyDescent="0.2">
      <c r="A1063">
        <v>51</v>
      </c>
      <c r="B1063" t="s">
        <v>38</v>
      </c>
      <c r="C1063">
        <v>4035.12</v>
      </c>
      <c r="D1063">
        <v>2035</v>
      </c>
      <c r="E1063" t="s">
        <v>4</v>
      </c>
    </row>
    <row r="1064" spans="1:5" x14ac:dyDescent="0.2">
      <c r="A1064">
        <v>52</v>
      </c>
      <c r="B1064" t="s">
        <v>38</v>
      </c>
      <c r="C1064">
        <v>4127.84</v>
      </c>
      <c r="D1064">
        <v>2035</v>
      </c>
      <c r="E1064" t="s">
        <v>4</v>
      </c>
    </row>
    <row r="1065" spans="1:5" x14ac:dyDescent="0.2">
      <c r="A1065">
        <v>53</v>
      </c>
      <c r="B1065" t="s">
        <v>38</v>
      </c>
      <c r="C1065">
        <v>4103.59</v>
      </c>
      <c r="D1065">
        <v>2035</v>
      </c>
      <c r="E1065" t="s">
        <v>4</v>
      </c>
    </row>
    <row r="1066" spans="1:5" x14ac:dyDescent="0.2">
      <c r="A1066">
        <v>54</v>
      </c>
      <c r="B1066" t="s">
        <v>38</v>
      </c>
      <c r="C1066">
        <v>3983.43</v>
      </c>
      <c r="D1066">
        <v>2035</v>
      </c>
      <c r="E1066" t="s">
        <v>4</v>
      </c>
    </row>
    <row r="1067" spans="1:5" x14ac:dyDescent="0.2">
      <c r="A1067">
        <v>55</v>
      </c>
      <c r="B1067" t="s">
        <v>38</v>
      </c>
      <c r="C1067">
        <v>3916.93</v>
      </c>
      <c r="D1067">
        <v>2035</v>
      </c>
      <c r="E1067" t="s">
        <v>4</v>
      </c>
    </row>
    <row r="1068" spans="1:5" x14ac:dyDescent="0.2">
      <c r="A1068">
        <v>56</v>
      </c>
      <c r="B1068" t="s">
        <v>38</v>
      </c>
      <c r="C1068">
        <v>3700.15</v>
      </c>
      <c r="D1068">
        <v>2035</v>
      </c>
      <c r="E1068" t="s">
        <v>4</v>
      </c>
    </row>
    <row r="1069" spans="1:5" x14ac:dyDescent="0.2">
      <c r="A1069">
        <v>57</v>
      </c>
      <c r="B1069" t="s">
        <v>38</v>
      </c>
      <c r="C1069">
        <v>3686.51</v>
      </c>
      <c r="D1069">
        <v>2035</v>
      </c>
      <c r="E1069" t="s">
        <v>4</v>
      </c>
    </row>
    <row r="1070" spans="1:5" x14ac:dyDescent="0.2">
      <c r="A1070">
        <v>58</v>
      </c>
      <c r="B1070" t="s">
        <v>38</v>
      </c>
      <c r="C1070">
        <v>3585.49</v>
      </c>
      <c r="D1070">
        <v>2035</v>
      </c>
      <c r="E1070" t="s">
        <v>4</v>
      </c>
    </row>
    <row r="1071" spans="1:5" x14ac:dyDescent="0.2">
      <c r="A1071">
        <v>59</v>
      </c>
      <c r="B1071" t="s">
        <v>38</v>
      </c>
      <c r="C1071">
        <v>3406.99</v>
      </c>
      <c r="D1071">
        <v>2035</v>
      </c>
      <c r="E1071" t="s">
        <v>4</v>
      </c>
    </row>
    <row r="1072" spans="1:5" x14ac:dyDescent="0.2">
      <c r="A1072">
        <v>60</v>
      </c>
      <c r="B1072" t="s">
        <v>38</v>
      </c>
      <c r="C1072">
        <v>3465.48</v>
      </c>
      <c r="D1072">
        <v>2035</v>
      </c>
      <c r="E1072" t="s">
        <v>4</v>
      </c>
    </row>
    <row r="1073" spans="1:5" x14ac:dyDescent="0.2">
      <c r="A1073">
        <v>61</v>
      </c>
      <c r="B1073" t="s">
        <v>38</v>
      </c>
      <c r="C1073">
        <v>3246.11</v>
      </c>
      <c r="D1073">
        <v>2035</v>
      </c>
      <c r="E1073" t="s">
        <v>4</v>
      </c>
    </row>
    <row r="1074" spans="1:5" x14ac:dyDescent="0.2">
      <c r="A1074">
        <v>62</v>
      </c>
      <c r="B1074" t="s">
        <v>38</v>
      </c>
      <c r="C1074">
        <v>3219.97</v>
      </c>
      <c r="D1074">
        <v>2035</v>
      </c>
      <c r="E1074" t="s">
        <v>4</v>
      </c>
    </row>
    <row r="1075" spans="1:5" x14ac:dyDescent="0.2">
      <c r="A1075">
        <v>63</v>
      </c>
      <c r="B1075" t="s">
        <v>38</v>
      </c>
      <c r="C1075">
        <v>3182.86</v>
      </c>
      <c r="D1075">
        <v>2035</v>
      </c>
      <c r="E1075" t="s">
        <v>4</v>
      </c>
    </row>
    <row r="1076" spans="1:5" x14ac:dyDescent="0.2">
      <c r="A1076">
        <v>64</v>
      </c>
      <c r="B1076" t="s">
        <v>38</v>
      </c>
      <c r="C1076">
        <v>3151.29</v>
      </c>
      <c r="D1076">
        <v>2035</v>
      </c>
      <c r="E1076" t="s">
        <v>4</v>
      </c>
    </row>
    <row r="1077" spans="1:5" x14ac:dyDescent="0.2">
      <c r="A1077">
        <v>65</v>
      </c>
      <c r="B1077" t="s">
        <v>38</v>
      </c>
      <c r="C1077">
        <v>2996.75</v>
      </c>
      <c r="D1077">
        <v>2035</v>
      </c>
      <c r="E1077" t="s">
        <v>4</v>
      </c>
    </row>
    <row r="1078" spans="1:5" x14ac:dyDescent="0.2">
      <c r="A1078">
        <v>66</v>
      </c>
      <c r="B1078" t="s">
        <v>38</v>
      </c>
      <c r="C1078">
        <v>2739.53</v>
      </c>
      <c r="D1078">
        <v>2035</v>
      </c>
      <c r="E1078" t="s">
        <v>4</v>
      </c>
    </row>
    <row r="1079" spans="1:5" x14ac:dyDescent="0.2">
      <c r="A1079">
        <v>67</v>
      </c>
      <c r="B1079" t="s">
        <v>38</v>
      </c>
      <c r="C1079">
        <v>2762.42</v>
      </c>
      <c r="D1079">
        <v>2035</v>
      </c>
      <c r="E1079" t="s">
        <v>4</v>
      </c>
    </row>
    <row r="1080" spans="1:5" x14ac:dyDescent="0.2">
      <c r="A1080">
        <v>68</v>
      </c>
      <c r="B1080" t="s">
        <v>38</v>
      </c>
      <c r="C1080">
        <v>2706.27</v>
      </c>
      <c r="D1080">
        <v>2035</v>
      </c>
      <c r="E1080" t="s">
        <v>4</v>
      </c>
    </row>
    <row r="1081" spans="1:5" x14ac:dyDescent="0.2">
      <c r="A1081">
        <v>69</v>
      </c>
      <c r="B1081" t="s">
        <v>38</v>
      </c>
      <c r="C1081">
        <v>2673.84</v>
      </c>
      <c r="D1081">
        <v>2035</v>
      </c>
      <c r="E1081" t="s">
        <v>4</v>
      </c>
    </row>
    <row r="1082" spans="1:5" x14ac:dyDescent="0.2">
      <c r="A1082">
        <v>70</v>
      </c>
      <c r="B1082" t="s">
        <v>38</v>
      </c>
      <c r="C1082">
        <v>2643.04</v>
      </c>
      <c r="D1082">
        <v>2035</v>
      </c>
      <c r="E1082" t="s">
        <v>4</v>
      </c>
    </row>
    <row r="1083" spans="1:5" x14ac:dyDescent="0.2">
      <c r="A1083">
        <v>71</v>
      </c>
      <c r="B1083" t="s">
        <v>38</v>
      </c>
      <c r="C1083">
        <v>2605.08</v>
      </c>
      <c r="D1083">
        <v>2035</v>
      </c>
      <c r="E1083" t="s">
        <v>4</v>
      </c>
    </row>
    <row r="1084" spans="1:5" x14ac:dyDescent="0.2">
      <c r="A1084">
        <v>72</v>
      </c>
      <c r="B1084" t="s">
        <v>38</v>
      </c>
      <c r="C1084">
        <v>2476.89</v>
      </c>
      <c r="D1084">
        <v>2035</v>
      </c>
      <c r="E1084" t="s">
        <v>4</v>
      </c>
    </row>
    <row r="1085" spans="1:5" x14ac:dyDescent="0.2">
      <c r="A1085">
        <v>73</v>
      </c>
      <c r="B1085" t="s">
        <v>38</v>
      </c>
      <c r="C1085">
        <v>2316.2399999999998</v>
      </c>
      <c r="D1085">
        <v>2035</v>
      </c>
      <c r="E1085" t="s">
        <v>4</v>
      </c>
    </row>
    <row r="1086" spans="1:5" x14ac:dyDescent="0.2">
      <c r="A1086">
        <v>74</v>
      </c>
      <c r="B1086" t="s">
        <v>38</v>
      </c>
      <c r="C1086">
        <v>2234.6</v>
      </c>
      <c r="D1086">
        <v>2035</v>
      </c>
      <c r="E1086" t="s">
        <v>4</v>
      </c>
    </row>
    <row r="1087" spans="1:5" x14ac:dyDescent="0.2">
      <c r="A1087">
        <v>75</v>
      </c>
      <c r="B1087" t="s">
        <v>38</v>
      </c>
      <c r="C1087">
        <v>2141.06</v>
      </c>
      <c r="D1087">
        <v>2035</v>
      </c>
      <c r="E1087" t="s">
        <v>4</v>
      </c>
    </row>
    <row r="1088" spans="1:5" x14ac:dyDescent="0.2">
      <c r="A1088">
        <v>76</v>
      </c>
      <c r="B1088" t="s">
        <v>38</v>
      </c>
      <c r="C1088">
        <v>2001.37</v>
      </c>
      <c r="D1088">
        <v>2035</v>
      </c>
      <c r="E1088" t="s">
        <v>4</v>
      </c>
    </row>
    <row r="1089" spans="1:5" x14ac:dyDescent="0.2">
      <c r="A1089">
        <v>77</v>
      </c>
      <c r="B1089" t="s">
        <v>38</v>
      </c>
      <c r="C1089">
        <v>1933.6</v>
      </c>
      <c r="D1089">
        <v>2035</v>
      </c>
      <c r="E1089" t="s">
        <v>4</v>
      </c>
    </row>
    <row r="1090" spans="1:5" x14ac:dyDescent="0.2">
      <c r="A1090">
        <v>78</v>
      </c>
      <c r="B1090" t="s">
        <v>38</v>
      </c>
      <c r="C1090">
        <v>1804.24</v>
      </c>
      <c r="D1090">
        <v>2035</v>
      </c>
      <c r="E1090" t="s">
        <v>4</v>
      </c>
    </row>
    <row r="1091" spans="1:5" x14ac:dyDescent="0.2">
      <c r="A1091">
        <v>79</v>
      </c>
      <c r="B1091" t="s">
        <v>38</v>
      </c>
      <c r="C1091">
        <v>1718.48</v>
      </c>
      <c r="D1091">
        <v>2035</v>
      </c>
      <c r="E1091" t="s">
        <v>4</v>
      </c>
    </row>
    <row r="1092" spans="1:5" x14ac:dyDescent="0.2">
      <c r="A1092">
        <v>80</v>
      </c>
      <c r="B1092" t="s">
        <v>38</v>
      </c>
      <c r="C1092">
        <v>1641.03</v>
      </c>
      <c r="D1092">
        <v>2035</v>
      </c>
      <c r="E1092" t="s">
        <v>4</v>
      </c>
    </row>
    <row r="1093" spans="1:5" x14ac:dyDescent="0.2">
      <c r="A1093">
        <v>81</v>
      </c>
      <c r="B1093" t="s">
        <v>38</v>
      </c>
      <c r="C1093">
        <v>1437.97</v>
      </c>
      <c r="D1093">
        <v>2035</v>
      </c>
      <c r="E1093" t="s">
        <v>4</v>
      </c>
    </row>
    <row r="1094" spans="1:5" x14ac:dyDescent="0.2">
      <c r="A1094">
        <v>82</v>
      </c>
      <c r="B1094" t="s">
        <v>38</v>
      </c>
      <c r="C1094">
        <v>1305.0899999999999</v>
      </c>
      <c r="D1094">
        <v>2035</v>
      </c>
      <c r="E1094" t="s">
        <v>4</v>
      </c>
    </row>
    <row r="1095" spans="1:5" x14ac:dyDescent="0.2">
      <c r="A1095">
        <v>83</v>
      </c>
      <c r="B1095" t="s">
        <v>38</v>
      </c>
      <c r="C1095">
        <v>1217.49</v>
      </c>
      <c r="D1095">
        <v>2035</v>
      </c>
      <c r="E1095" t="s">
        <v>4</v>
      </c>
    </row>
    <row r="1096" spans="1:5" x14ac:dyDescent="0.2">
      <c r="A1096">
        <v>84</v>
      </c>
      <c r="B1096" t="s">
        <v>38</v>
      </c>
      <c r="C1096">
        <v>1120.83</v>
      </c>
      <c r="D1096">
        <v>2035</v>
      </c>
      <c r="E1096" t="s">
        <v>4</v>
      </c>
    </row>
    <row r="1097" spans="1:5" x14ac:dyDescent="0.2">
      <c r="A1097">
        <v>85</v>
      </c>
      <c r="B1097" t="s">
        <v>38</v>
      </c>
      <c r="C1097">
        <v>1019.74</v>
      </c>
      <c r="D1097">
        <v>2035</v>
      </c>
      <c r="E1097" t="s">
        <v>4</v>
      </c>
    </row>
    <row r="1098" spans="1:5" x14ac:dyDescent="0.2">
      <c r="A1098">
        <v>86</v>
      </c>
      <c r="B1098" t="s">
        <v>38</v>
      </c>
      <c r="C1098">
        <v>883.81</v>
      </c>
      <c r="D1098">
        <v>2035</v>
      </c>
      <c r="E1098" t="s">
        <v>4</v>
      </c>
    </row>
    <row r="1099" spans="1:5" x14ac:dyDescent="0.2">
      <c r="A1099">
        <v>87</v>
      </c>
      <c r="B1099" t="s">
        <v>38</v>
      </c>
      <c r="C1099">
        <v>795.58</v>
      </c>
      <c r="D1099">
        <v>2035</v>
      </c>
      <c r="E1099" t="s">
        <v>4</v>
      </c>
    </row>
    <row r="1100" spans="1:5" x14ac:dyDescent="0.2">
      <c r="A1100">
        <v>88</v>
      </c>
      <c r="B1100" t="s">
        <v>38</v>
      </c>
      <c r="C1100">
        <v>660.17</v>
      </c>
      <c r="D1100">
        <v>2035</v>
      </c>
      <c r="E1100" t="s">
        <v>4</v>
      </c>
    </row>
    <row r="1101" spans="1:5" x14ac:dyDescent="0.2">
      <c r="A1101">
        <v>89</v>
      </c>
      <c r="B1101" t="s">
        <v>38</v>
      </c>
      <c r="C1101">
        <v>567.71</v>
      </c>
      <c r="D1101">
        <v>2035</v>
      </c>
      <c r="E1101" t="s">
        <v>4</v>
      </c>
    </row>
    <row r="1102" spans="1:5" x14ac:dyDescent="0.2">
      <c r="A1102">
        <v>90</v>
      </c>
      <c r="B1102" t="s">
        <v>38</v>
      </c>
      <c r="C1102">
        <v>521.84</v>
      </c>
      <c r="D1102">
        <v>2035</v>
      </c>
      <c r="E1102" t="s">
        <v>4</v>
      </c>
    </row>
    <row r="1103" spans="1:5" x14ac:dyDescent="0.2">
      <c r="A1103">
        <v>91</v>
      </c>
      <c r="B1103" t="s">
        <v>38</v>
      </c>
      <c r="C1103">
        <v>442.95</v>
      </c>
      <c r="D1103">
        <v>2035</v>
      </c>
      <c r="E1103" t="s">
        <v>4</v>
      </c>
    </row>
    <row r="1104" spans="1:5" x14ac:dyDescent="0.2">
      <c r="A1104">
        <v>92</v>
      </c>
      <c r="B1104" t="s">
        <v>38</v>
      </c>
      <c r="C1104">
        <v>353.02</v>
      </c>
      <c r="D1104">
        <v>2035</v>
      </c>
      <c r="E1104" t="s">
        <v>4</v>
      </c>
    </row>
    <row r="1105" spans="1:5" x14ac:dyDescent="0.2">
      <c r="A1105">
        <v>93</v>
      </c>
      <c r="B1105" t="s">
        <v>38</v>
      </c>
      <c r="C1105">
        <v>304.54000000000002</v>
      </c>
      <c r="D1105">
        <v>2035</v>
      </c>
      <c r="E1105" t="s">
        <v>4</v>
      </c>
    </row>
    <row r="1106" spans="1:5" x14ac:dyDescent="0.2">
      <c r="A1106">
        <v>94</v>
      </c>
      <c r="B1106" t="s">
        <v>38</v>
      </c>
      <c r="C1106">
        <v>265.01</v>
      </c>
      <c r="D1106">
        <v>2035</v>
      </c>
      <c r="E1106" t="s">
        <v>4</v>
      </c>
    </row>
    <row r="1107" spans="1:5" x14ac:dyDescent="0.2">
      <c r="A1107">
        <v>95</v>
      </c>
      <c r="B1107" t="s">
        <v>38</v>
      </c>
      <c r="C1107">
        <v>213.37</v>
      </c>
      <c r="D1107">
        <v>2035</v>
      </c>
      <c r="E1107" t="s">
        <v>4</v>
      </c>
    </row>
    <row r="1108" spans="1:5" x14ac:dyDescent="0.2">
      <c r="A1108">
        <v>96</v>
      </c>
      <c r="B1108" t="s">
        <v>38</v>
      </c>
      <c r="C1108">
        <v>172.01</v>
      </c>
      <c r="D1108">
        <v>2035</v>
      </c>
      <c r="E1108" t="s">
        <v>4</v>
      </c>
    </row>
    <row r="1109" spans="1:5" x14ac:dyDescent="0.2">
      <c r="A1109">
        <v>97</v>
      </c>
      <c r="B1109" t="s">
        <v>38</v>
      </c>
      <c r="C1109">
        <v>143.59</v>
      </c>
      <c r="D1109">
        <v>2035</v>
      </c>
      <c r="E1109" t="s">
        <v>4</v>
      </c>
    </row>
    <row r="1110" spans="1:5" x14ac:dyDescent="0.2">
      <c r="A1110">
        <v>98</v>
      </c>
      <c r="B1110" t="s">
        <v>38</v>
      </c>
      <c r="C1110">
        <v>116.23</v>
      </c>
      <c r="D1110">
        <v>2035</v>
      </c>
      <c r="E1110" t="s">
        <v>4</v>
      </c>
    </row>
    <row r="1111" spans="1:5" x14ac:dyDescent="0.2">
      <c r="A1111">
        <v>99</v>
      </c>
      <c r="B1111" t="s">
        <v>38</v>
      </c>
      <c r="C1111">
        <v>93.1</v>
      </c>
      <c r="D1111">
        <v>2035</v>
      </c>
      <c r="E1111" t="s">
        <v>4</v>
      </c>
    </row>
    <row r="1112" spans="1:5" x14ac:dyDescent="0.2">
      <c r="A1112">
        <v>100</v>
      </c>
      <c r="B1112" t="s">
        <v>38</v>
      </c>
      <c r="C1112">
        <v>75.150000000000006</v>
      </c>
      <c r="D1112">
        <v>2035</v>
      </c>
      <c r="E1112" t="s">
        <v>4</v>
      </c>
    </row>
    <row r="1113" spans="1:5" x14ac:dyDescent="0.2">
      <c r="A1113">
        <v>0</v>
      </c>
      <c r="B1113" t="s">
        <v>37</v>
      </c>
      <c r="C1113">
        <v>6497.68</v>
      </c>
      <c r="D1113">
        <v>2035</v>
      </c>
      <c r="E1113" t="s">
        <v>4</v>
      </c>
    </row>
    <row r="1114" spans="1:5" x14ac:dyDescent="0.2">
      <c r="A1114">
        <v>1</v>
      </c>
      <c r="B1114" t="s">
        <v>37</v>
      </c>
      <c r="C1114">
        <v>6485.12</v>
      </c>
      <c r="D1114">
        <v>2035</v>
      </c>
      <c r="E1114" t="s">
        <v>4</v>
      </c>
    </row>
    <row r="1115" spans="1:5" x14ac:dyDescent="0.2">
      <c r="A1115">
        <v>2</v>
      </c>
      <c r="B1115" t="s">
        <v>37</v>
      </c>
      <c r="C1115">
        <v>6492.97</v>
      </c>
      <c r="D1115">
        <v>2035</v>
      </c>
      <c r="E1115" t="s">
        <v>4</v>
      </c>
    </row>
    <row r="1116" spans="1:5" x14ac:dyDescent="0.2">
      <c r="A1116">
        <v>3</v>
      </c>
      <c r="B1116" t="s">
        <v>37</v>
      </c>
      <c r="C1116">
        <v>6499.99</v>
      </c>
      <c r="D1116">
        <v>2035</v>
      </c>
      <c r="E1116" t="s">
        <v>4</v>
      </c>
    </row>
    <row r="1117" spans="1:5" x14ac:dyDescent="0.2">
      <c r="A1117">
        <v>4</v>
      </c>
      <c r="B1117" t="s">
        <v>37</v>
      </c>
      <c r="C1117">
        <v>6501.03</v>
      </c>
      <c r="D1117">
        <v>2035</v>
      </c>
      <c r="E1117" t="s">
        <v>4</v>
      </c>
    </row>
    <row r="1118" spans="1:5" x14ac:dyDescent="0.2">
      <c r="A1118">
        <v>5</v>
      </c>
      <c r="B1118" t="s">
        <v>37</v>
      </c>
      <c r="C1118">
        <v>6487.91</v>
      </c>
      <c r="D1118">
        <v>2035</v>
      </c>
      <c r="E1118" t="s">
        <v>4</v>
      </c>
    </row>
    <row r="1119" spans="1:5" x14ac:dyDescent="0.2">
      <c r="A1119">
        <v>6</v>
      </c>
      <c r="B1119" t="s">
        <v>37</v>
      </c>
      <c r="C1119">
        <v>6470.15</v>
      </c>
      <c r="D1119">
        <v>2035</v>
      </c>
      <c r="E1119" t="s">
        <v>4</v>
      </c>
    </row>
    <row r="1120" spans="1:5" x14ac:dyDescent="0.2">
      <c r="A1120">
        <v>7</v>
      </c>
      <c r="B1120" t="s">
        <v>37</v>
      </c>
      <c r="C1120">
        <v>6433.92</v>
      </c>
      <c r="D1120">
        <v>2035</v>
      </c>
      <c r="E1120" t="s">
        <v>4</v>
      </c>
    </row>
    <row r="1121" spans="1:5" x14ac:dyDescent="0.2">
      <c r="A1121">
        <v>8</v>
      </c>
      <c r="B1121" t="s">
        <v>37</v>
      </c>
      <c r="C1121">
        <v>6394.18</v>
      </c>
      <c r="D1121">
        <v>2035</v>
      </c>
      <c r="E1121" t="s">
        <v>4</v>
      </c>
    </row>
    <row r="1122" spans="1:5" x14ac:dyDescent="0.2">
      <c r="A1122">
        <v>9</v>
      </c>
      <c r="B1122" t="s">
        <v>37</v>
      </c>
      <c r="C1122">
        <v>6361.23</v>
      </c>
      <c r="D1122">
        <v>2035</v>
      </c>
      <c r="E1122" t="s">
        <v>4</v>
      </c>
    </row>
    <row r="1123" spans="1:5" x14ac:dyDescent="0.2">
      <c r="A1123">
        <v>10</v>
      </c>
      <c r="B1123" t="s">
        <v>37</v>
      </c>
      <c r="C1123">
        <v>6323.22</v>
      </c>
      <c r="D1123">
        <v>2035</v>
      </c>
      <c r="E1123" t="s">
        <v>4</v>
      </c>
    </row>
    <row r="1124" spans="1:5" x14ac:dyDescent="0.2">
      <c r="A1124">
        <v>11</v>
      </c>
      <c r="B1124" t="s">
        <v>37</v>
      </c>
      <c r="C1124">
        <v>6292.69</v>
      </c>
      <c r="D1124">
        <v>2035</v>
      </c>
      <c r="E1124" t="s">
        <v>4</v>
      </c>
    </row>
    <row r="1125" spans="1:5" x14ac:dyDescent="0.2">
      <c r="A1125">
        <v>12</v>
      </c>
      <c r="B1125" t="s">
        <v>37</v>
      </c>
      <c r="C1125">
        <v>6267.16</v>
      </c>
      <c r="D1125">
        <v>2035</v>
      </c>
      <c r="E1125" t="s">
        <v>4</v>
      </c>
    </row>
    <row r="1126" spans="1:5" x14ac:dyDescent="0.2">
      <c r="A1126">
        <v>13</v>
      </c>
      <c r="B1126" t="s">
        <v>37</v>
      </c>
      <c r="C1126">
        <v>6250.44</v>
      </c>
      <c r="D1126">
        <v>2035</v>
      </c>
      <c r="E1126" t="s">
        <v>4</v>
      </c>
    </row>
    <row r="1127" spans="1:5" x14ac:dyDescent="0.2">
      <c r="A1127">
        <v>14</v>
      </c>
      <c r="B1127" t="s">
        <v>37</v>
      </c>
      <c r="C1127">
        <v>6236.58</v>
      </c>
      <c r="D1127">
        <v>2035</v>
      </c>
      <c r="E1127" t="s">
        <v>4</v>
      </c>
    </row>
    <row r="1128" spans="1:5" x14ac:dyDescent="0.2">
      <c r="A1128">
        <v>15</v>
      </c>
      <c r="B1128" t="s">
        <v>37</v>
      </c>
      <c r="C1128">
        <v>6224.27</v>
      </c>
      <c r="D1128">
        <v>2035</v>
      </c>
      <c r="E1128" t="s">
        <v>4</v>
      </c>
    </row>
    <row r="1129" spans="1:5" x14ac:dyDescent="0.2">
      <c r="A1129">
        <v>16</v>
      </c>
      <c r="B1129" t="s">
        <v>37</v>
      </c>
      <c r="C1129">
        <v>6199.72</v>
      </c>
      <c r="D1129">
        <v>2035</v>
      </c>
      <c r="E1129" t="s">
        <v>4</v>
      </c>
    </row>
    <row r="1130" spans="1:5" x14ac:dyDescent="0.2">
      <c r="A1130">
        <v>17</v>
      </c>
      <c r="B1130" t="s">
        <v>37</v>
      </c>
      <c r="C1130">
        <v>6178.24</v>
      </c>
      <c r="D1130">
        <v>2035</v>
      </c>
      <c r="E1130" t="s">
        <v>4</v>
      </c>
    </row>
    <row r="1131" spans="1:5" x14ac:dyDescent="0.2">
      <c r="A1131">
        <v>18</v>
      </c>
      <c r="B1131" t="s">
        <v>37</v>
      </c>
      <c r="C1131">
        <v>6917.46</v>
      </c>
      <c r="D1131">
        <v>2035</v>
      </c>
      <c r="E1131" t="s">
        <v>4</v>
      </c>
    </row>
    <row r="1132" spans="1:5" x14ac:dyDescent="0.2">
      <c r="A1132">
        <v>19</v>
      </c>
      <c r="B1132" t="s">
        <v>37</v>
      </c>
      <c r="C1132">
        <v>6608.61</v>
      </c>
      <c r="D1132">
        <v>2035</v>
      </c>
      <c r="E1132" t="s">
        <v>4</v>
      </c>
    </row>
    <row r="1133" spans="1:5" x14ac:dyDescent="0.2">
      <c r="A1133">
        <v>20</v>
      </c>
      <c r="B1133" t="s">
        <v>37</v>
      </c>
      <c r="C1133">
        <v>6310.07</v>
      </c>
      <c r="D1133">
        <v>2035</v>
      </c>
      <c r="E1133" t="s">
        <v>4</v>
      </c>
    </row>
    <row r="1134" spans="1:5" x14ac:dyDescent="0.2">
      <c r="A1134">
        <v>21</v>
      </c>
      <c r="B1134" t="s">
        <v>37</v>
      </c>
      <c r="C1134">
        <v>6037.21</v>
      </c>
      <c r="D1134">
        <v>2035</v>
      </c>
      <c r="E1134" t="s">
        <v>4</v>
      </c>
    </row>
    <row r="1135" spans="1:5" x14ac:dyDescent="0.2">
      <c r="A1135">
        <v>22</v>
      </c>
      <c r="B1135" t="s">
        <v>37</v>
      </c>
      <c r="C1135">
        <v>5969.21</v>
      </c>
      <c r="D1135">
        <v>2035</v>
      </c>
      <c r="E1135" t="s">
        <v>4</v>
      </c>
    </row>
    <row r="1136" spans="1:5" x14ac:dyDescent="0.2">
      <c r="A1136">
        <v>23</v>
      </c>
      <c r="B1136" t="s">
        <v>37</v>
      </c>
      <c r="C1136">
        <v>5899.99</v>
      </c>
      <c r="D1136">
        <v>2035</v>
      </c>
      <c r="E1136" t="s">
        <v>4</v>
      </c>
    </row>
    <row r="1137" spans="1:5" x14ac:dyDescent="0.2">
      <c r="A1137">
        <v>24</v>
      </c>
      <c r="B1137" t="s">
        <v>37</v>
      </c>
      <c r="C1137">
        <v>5905.82</v>
      </c>
      <c r="D1137">
        <v>2035</v>
      </c>
      <c r="E1137" t="s">
        <v>4</v>
      </c>
    </row>
    <row r="1138" spans="1:5" x14ac:dyDescent="0.2">
      <c r="A1138">
        <v>25</v>
      </c>
      <c r="B1138" t="s">
        <v>37</v>
      </c>
      <c r="C1138">
        <v>5659.66</v>
      </c>
      <c r="D1138">
        <v>2035</v>
      </c>
      <c r="E1138" t="s">
        <v>4</v>
      </c>
    </row>
    <row r="1139" spans="1:5" x14ac:dyDescent="0.2">
      <c r="A1139">
        <v>26</v>
      </c>
      <c r="B1139" t="s">
        <v>37</v>
      </c>
      <c r="C1139">
        <v>5807.84</v>
      </c>
      <c r="D1139">
        <v>2035</v>
      </c>
      <c r="E1139" t="s">
        <v>4</v>
      </c>
    </row>
    <row r="1140" spans="1:5" x14ac:dyDescent="0.2">
      <c r="A1140">
        <v>27</v>
      </c>
      <c r="B1140" t="s">
        <v>37</v>
      </c>
      <c r="C1140">
        <v>6192.91</v>
      </c>
      <c r="D1140">
        <v>2035</v>
      </c>
      <c r="E1140" t="s">
        <v>4</v>
      </c>
    </row>
    <row r="1141" spans="1:5" x14ac:dyDescent="0.2">
      <c r="A1141">
        <v>28</v>
      </c>
      <c r="B1141" t="s">
        <v>37</v>
      </c>
      <c r="C1141">
        <v>6211.93</v>
      </c>
      <c r="D1141">
        <v>2035</v>
      </c>
      <c r="E1141" t="s">
        <v>4</v>
      </c>
    </row>
    <row r="1142" spans="1:5" x14ac:dyDescent="0.2">
      <c r="A1142">
        <v>29</v>
      </c>
      <c r="B1142" t="s">
        <v>37</v>
      </c>
      <c r="C1142">
        <v>6014.96</v>
      </c>
      <c r="D1142">
        <v>2035</v>
      </c>
      <c r="E1142" t="s">
        <v>4</v>
      </c>
    </row>
    <row r="1143" spans="1:5" x14ac:dyDescent="0.2">
      <c r="A1143">
        <v>30</v>
      </c>
      <c r="B1143" t="s">
        <v>37</v>
      </c>
      <c r="C1143">
        <v>5832.29</v>
      </c>
      <c r="D1143">
        <v>2035</v>
      </c>
      <c r="E1143" t="s">
        <v>4</v>
      </c>
    </row>
    <row r="1144" spans="1:5" x14ac:dyDescent="0.2">
      <c r="A1144">
        <v>31</v>
      </c>
      <c r="B1144" t="s">
        <v>37</v>
      </c>
      <c r="C1144">
        <v>5737.3</v>
      </c>
      <c r="D1144">
        <v>2035</v>
      </c>
      <c r="E1144" t="s">
        <v>4</v>
      </c>
    </row>
    <row r="1145" spans="1:5" x14ac:dyDescent="0.2">
      <c r="A1145">
        <v>32</v>
      </c>
      <c r="B1145" t="s">
        <v>37</v>
      </c>
      <c r="C1145">
        <v>5607.56</v>
      </c>
      <c r="D1145">
        <v>2035</v>
      </c>
      <c r="E1145" t="s">
        <v>4</v>
      </c>
    </row>
    <row r="1146" spans="1:5" x14ac:dyDescent="0.2">
      <c r="A1146">
        <v>33</v>
      </c>
      <c r="B1146" t="s">
        <v>37</v>
      </c>
      <c r="C1146">
        <v>5333.49</v>
      </c>
      <c r="D1146">
        <v>2035</v>
      </c>
      <c r="E1146" t="s">
        <v>4</v>
      </c>
    </row>
    <row r="1147" spans="1:5" x14ac:dyDescent="0.2">
      <c r="A1147">
        <v>34</v>
      </c>
      <c r="B1147" t="s">
        <v>37</v>
      </c>
      <c r="C1147">
        <v>5324.45</v>
      </c>
      <c r="D1147">
        <v>2035</v>
      </c>
      <c r="E1147" t="s">
        <v>4</v>
      </c>
    </row>
    <row r="1148" spans="1:5" x14ac:dyDescent="0.2">
      <c r="A1148">
        <v>35</v>
      </c>
      <c r="B1148" t="s">
        <v>37</v>
      </c>
      <c r="C1148">
        <v>5287.32</v>
      </c>
      <c r="D1148">
        <v>2035</v>
      </c>
      <c r="E1148" t="s">
        <v>4</v>
      </c>
    </row>
    <row r="1149" spans="1:5" x14ac:dyDescent="0.2">
      <c r="A1149">
        <v>36</v>
      </c>
      <c r="B1149" t="s">
        <v>37</v>
      </c>
      <c r="C1149">
        <v>5147.1499999999996</v>
      </c>
      <c r="D1149">
        <v>2035</v>
      </c>
      <c r="E1149" t="s">
        <v>4</v>
      </c>
    </row>
    <row r="1150" spans="1:5" x14ac:dyDescent="0.2">
      <c r="A1150">
        <v>37</v>
      </c>
      <c r="B1150" t="s">
        <v>37</v>
      </c>
      <c r="C1150">
        <v>5093.3599999999997</v>
      </c>
      <c r="D1150">
        <v>2035</v>
      </c>
      <c r="E1150" t="s">
        <v>4</v>
      </c>
    </row>
    <row r="1151" spans="1:5" x14ac:dyDescent="0.2">
      <c r="A1151">
        <v>38</v>
      </c>
      <c r="B1151" t="s">
        <v>37</v>
      </c>
      <c r="C1151">
        <v>4891.03</v>
      </c>
      <c r="D1151">
        <v>2035</v>
      </c>
      <c r="E1151" t="s">
        <v>4</v>
      </c>
    </row>
    <row r="1152" spans="1:5" x14ac:dyDescent="0.2">
      <c r="A1152">
        <v>39</v>
      </c>
      <c r="B1152" t="s">
        <v>37</v>
      </c>
      <c r="C1152">
        <v>4748.6099999999997</v>
      </c>
      <c r="D1152">
        <v>2035</v>
      </c>
      <c r="E1152" t="s">
        <v>4</v>
      </c>
    </row>
    <row r="1153" spans="1:5" x14ac:dyDescent="0.2">
      <c r="A1153">
        <v>40</v>
      </c>
      <c r="B1153" t="s">
        <v>37</v>
      </c>
      <c r="C1153">
        <v>4825.49</v>
      </c>
      <c r="D1153">
        <v>2035</v>
      </c>
      <c r="E1153" t="s">
        <v>4</v>
      </c>
    </row>
    <row r="1154" spans="1:5" x14ac:dyDescent="0.2">
      <c r="A1154">
        <v>41</v>
      </c>
      <c r="B1154" t="s">
        <v>37</v>
      </c>
      <c r="C1154">
        <v>4930.32</v>
      </c>
      <c r="D1154">
        <v>2035</v>
      </c>
      <c r="E1154" t="s">
        <v>4</v>
      </c>
    </row>
    <row r="1155" spans="1:5" x14ac:dyDescent="0.2">
      <c r="A1155">
        <v>42</v>
      </c>
      <c r="B1155" t="s">
        <v>37</v>
      </c>
      <c r="C1155">
        <v>4983.82</v>
      </c>
      <c r="D1155">
        <v>2035</v>
      </c>
      <c r="E1155" t="s">
        <v>4</v>
      </c>
    </row>
    <row r="1156" spans="1:5" x14ac:dyDescent="0.2">
      <c r="A1156">
        <v>43</v>
      </c>
      <c r="B1156" t="s">
        <v>37</v>
      </c>
      <c r="C1156">
        <v>4424.8</v>
      </c>
      <c r="D1156">
        <v>2035</v>
      </c>
      <c r="E1156" t="s">
        <v>4</v>
      </c>
    </row>
    <row r="1157" spans="1:5" x14ac:dyDescent="0.2">
      <c r="A1157">
        <v>44</v>
      </c>
      <c r="B1157" t="s">
        <v>37</v>
      </c>
      <c r="C1157">
        <v>4382.99</v>
      </c>
      <c r="D1157">
        <v>2035</v>
      </c>
      <c r="E1157" t="s">
        <v>4</v>
      </c>
    </row>
    <row r="1158" spans="1:5" x14ac:dyDescent="0.2">
      <c r="A1158">
        <v>45</v>
      </c>
      <c r="B1158" t="s">
        <v>37</v>
      </c>
      <c r="C1158">
        <v>4313.5200000000004</v>
      </c>
      <c r="D1158">
        <v>2035</v>
      </c>
      <c r="E1158" t="s">
        <v>4</v>
      </c>
    </row>
    <row r="1159" spans="1:5" x14ac:dyDescent="0.2">
      <c r="A1159">
        <v>46</v>
      </c>
      <c r="B1159" t="s">
        <v>37</v>
      </c>
      <c r="C1159">
        <v>4170.16</v>
      </c>
      <c r="D1159">
        <v>2035</v>
      </c>
      <c r="E1159" t="s">
        <v>4</v>
      </c>
    </row>
    <row r="1160" spans="1:5" x14ac:dyDescent="0.2">
      <c r="A1160">
        <v>47</v>
      </c>
      <c r="B1160" t="s">
        <v>37</v>
      </c>
      <c r="C1160">
        <v>4188.29</v>
      </c>
      <c r="D1160">
        <v>2035</v>
      </c>
      <c r="E1160" t="s">
        <v>4</v>
      </c>
    </row>
    <row r="1161" spans="1:5" x14ac:dyDescent="0.2">
      <c r="A1161">
        <v>48</v>
      </c>
      <c r="B1161" t="s">
        <v>37</v>
      </c>
      <c r="C1161">
        <v>4156.4399999999996</v>
      </c>
      <c r="D1161">
        <v>2035</v>
      </c>
      <c r="E1161" t="s">
        <v>4</v>
      </c>
    </row>
    <row r="1162" spans="1:5" x14ac:dyDescent="0.2">
      <c r="A1162">
        <v>49</v>
      </c>
      <c r="B1162" t="s">
        <v>37</v>
      </c>
      <c r="C1162">
        <v>4215.71</v>
      </c>
      <c r="D1162">
        <v>2035</v>
      </c>
      <c r="E1162" t="s">
        <v>4</v>
      </c>
    </row>
    <row r="1163" spans="1:5" x14ac:dyDescent="0.2">
      <c r="A1163">
        <v>50</v>
      </c>
      <c r="B1163" t="s">
        <v>37</v>
      </c>
      <c r="C1163">
        <v>4148.6400000000003</v>
      </c>
      <c r="D1163">
        <v>2035</v>
      </c>
      <c r="E1163" t="s">
        <v>4</v>
      </c>
    </row>
    <row r="1164" spans="1:5" x14ac:dyDescent="0.2">
      <c r="A1164">
        <v>51</v>
      </c>
      <c r="B1164" t="s">
        <v>37</v>
      </c>
      <c r="C1164">
        <v>3902.77</v>
      </c>
      <c r="D1164">
        <v>2035</v>
      </c>
      <c r="E1164" t="s">
        <v>4</v>
      </c>
    </row>
    <row r="1165" spans="1:5" x14ac:dyDescent="0.2">
      <c r="A1165">
        <v>52</v>
      </c>
      <c r="B1165" t="s">
        <v>37</v>
      </c>
      <c r="C1165">
        <v>3924.99</v>
      </c>
      <c r="D1165">
        <v>2035</v>
      </c>
      <c r="E1165" t="s">
        <v>4</v>
      </c>
    </row>
    <row r="1166" spans="1:5" x14ac:dyDescent="0.2">
      <c r="A1166">
        <v>53</v>
      </c>
      <c r="B1166" t="s">
        <v>37</v>
      </c>
      <c r="C1166">
        <v>3752.58</v>
      </c>
      <c r="D1166">
        <v>2035</v>
      </c>
      <c r="E1166" t="s">
        <v>4</v>
      </c>
    </row>
    <row r="1167" spans="1:5" x14ac:dyDescent="0.2">
      <c r="A1167">
        <v>54</v>
      </c>
      <c r="B1167" t="s">
        <v>37</v>
      </c>
      <c r="C1167">
        <v>3766.19</v>
      </c>
      <c r="D1167">
        <v>2035</v>
      </c>
      <c r="E1167" t="s">
        <v>4</v>
      </c>
    </row>
    <row r="1168" spans="1:5" x14ac:dyDescent="0.2">
      <c r="A1168">
        <v>55</v>
      </c>
      <c r="B1168" t="s">
        <v>37</v>
      </c>
      <c r="C1168">
        <v>3737.89</v>
      </c>
      <c r="D1168">
        <v>2035</v>
      </c>
      <c r="E1168" t="s">
        <v>4</v>
      </c>
    </row>
    <row r="1169" spans="1:5" x14ac:dyDescent="0.2">
      <c r="A1169">
        <v>56</v>
      </c>
      <c r="B1169" t="s">
        <v>37</v>
      </c>
      <c r="C1169">
        <v>3446.59</v>
      </c>
      <c r="D1169">
        <v>2035</v>
      </c>
      <c r="E1169" t="s">
        <v>4</v>
      </c>
    </row>
    <row r="1170" spans="1:5" x14ac:dyDescent="0.2">
      <c r="A1170">
        <v>57</v>
      </c>
      <c r="B1170" t="s">
        <v>37</v>
      </c>
      <c r="C1170">
        <v>3392.21</v>
      </c>
      <c r="D1170">
        <v>2035</v>
      </c>
      <c r="E1170" t="s">
        <v>4</v>
      </c>
    </row>
    <row r="1171" spans="1:5" x14ac:dyDescent="0.2">
      <c r="A1171">
        <v>58</v>
      </c>
      <c r="B1171" t="s">
        <v>37</v>
      </c>
      <c r="C1171">
        <v>3297.34</v>
      </c>
      <c r="D1171">
        <v>2035</v>
      </c>
      <c r="E1171" t="s">
        <v>4</v>
      </c>
    </row>
    <row r="1172" spans="1:5" x14ac:dyDescent="0.2">
      <c r="A1172">
        <v>59</v>
      </c>
      <c r="B1172" t="s">
        <v>37</v>
      </c>
      <c r="C1172">
        <v>3320.48</v>
      </c>
      <c r="D1172">
        <v>2035</v>
      </c>
      <c r="E1172" t="s">
        <v>4</v>
      </c>
    </row>
    <row r="1173" spans="1:5" x14ac:dyDescent="0.2">
      <c r="A1173">
        <v>60</v>
      </c>
      <c r="B1173" t="s">
        <v>37</v>
      </c>
      <c r="C1173">
        <v>3239.98</v>
      </c>
      <c r="D1173">
        <v>2035</v>
      </c>
      <c r="E1173" t="s">
        <v>4</v>
      </c>
    </row>
    <row r="1174" spans="1:5" x14ac:dyDescent="0.2">
      <c r="A1174">
        <v>61</v>
      </c>
      <c r="B1174" t="s">
        <v>37</v>
      </c>
      <c r="C1174">
        <v>3047.62</v>
      </c>
      <c r="D1174">
        <v>2035</v>
      </c>
      <c r="E1174" t="s">
        <v>4</v>
      </c>
    </row>
    <row r="1175" spans="1:5" x14ac:dyDescent="0.2">
      <c r="A1175">
        <v>62</v>
      </c>
      <c r="B1175" t="s">
        <v>37</v>
      </c>
      <c r="C1175">
        <v>2916.27</v>
      </c>
      <c r="D1175">
        <v>2035</v>
      </c>
      <c r="E1175" t="s">
        <v>4</v>
      </c>
    </row>
    <row r="1176" spans="1:5" x14ac:dyDescent="0.2">
      <c r="A1176">
        <v>63</v>
      </c>
      <c r="B1176" t="s">
        <v>37</v>
      </c>
      <c r="C1176">
        <v>2820.21</v>
      </c>
      <c r="D1176">
        <v>2035</v>
      </c>
      <c r="E1176" t="s">
        <v>4</v>
      </c>
    </row>
    <row r="1177" spans="1:5" x14ac:dyDescent="0.2">
      <c r="A1177">
        <v>64</v>
      </c>
      <c r="B1177" t="s">
        <v>37</v>
      </c>
      <c r="C1177">
        <v>2870.59</v>
      </c>
      <c r="D1177">
        <v>2035</v>
      </c>
      <c r="E1177" t="s">
        <v>4</v>
      </c>
    </row>
    <row r="1178" spans="1:5" x14ac:dyDescent="0.2">
      <c r="A1178">
        <v>65</v>
      </c>
      <c r="B1178" t="s">
        <v>37</v>
      </c>
      <c r="C1178">
        <v>2876.93</v>
      </c>
      <c r="D1178">
        <v>2035</v>
      </c>
      <c r="E1178" t="s">
        <v>4</v>
      </c>
    </row>
    <row r="1179" spans="1:5" x14ac:dyDescent="0.2">
      <c r="A1179">
        <v>66</v>
      </c>
      <c r="B1179" t="s">
        <v>37</v>
      </c>
      <c r="C1179">
        <v>2684</v>
      </c>
      <c r="D1179">
        <v>2035</v>
      </c>
      <c r="E1179" t="s">
        <v>4</v>
      </c>
    </row>
    <row r="1180" spans="1:5" x14ac:dyDescent="0.2">
      <c r="A1180">
        <v>67</v>
      </c>
      <c r="B1180" t="s">
        <v>37</v>
      </c>
      <c r="C1180">
        <v>2593.96</v>
      </c>
      <c r="D1180">
        <v>2035</v>
      </c>
      <c r="E1180" t="s">
        <v>4</v>
      </c>
    </row>
    <row r="1181" spans="1:5" x14ac:dyDescent="0.2">
      <c r="A1181">
        <v>68</v>
      </c>
      <c r="B1181" t="s">
        <v>37</v>
      </c>
      <c r="C1181">
        <v>2504.04</v>
      </c>
      <c r="D1181">
        <v>2035</v>
      </c>
      <c r="E1181" t="s">
        <v>4</v>
      </c>
    </row>
    <row r="1182" spans="1:5" x14ac:dyDescent="0.2">
      <c r="A1182">
        <v>69</v>
      </c>
      <c r="B1182" t="s">
        <v>37</v>
      </c>
      <c r="C1182">
        <v>2515.9699999999998</v>
      </c>
      <c r="D1182">
        <v>2035</v>
      </c>
      <c r="E1182" t="s">
        <v>4</v>
      </c>
    </row>
    <row r="1183" spans="1:5" x14ac:dyDescent="0.2">
      <c r="A1183">
        <v>70</v>
      </c>
      <c r="B1183" t="s">
        <v>37</v>
      </c>
      <c r="C1183">
        <v>2481.35</v>
      </c>
      <c r="D1183">
        <v>2035</v>
      </c>
      <c r="E1183" t="s">
        <v>4</v>
      </c>
    </row>
    <row r="1184" spans="1:5" x14ac:dyDescent="0.2">
      <c r="A1184">
        <v>71</v>
      </c>
      <c r="B1184" t="s">
        <v>37</v>
      </c>
      <c r="C1184">
        <v>2375.69</v>
      </c>
      <c r="D1184">
        <v>2035</v>
      </c>
      <c r="E1184" t="s">
        <v>4</v>
      </c>
    </row>
    <row r="1185" spans="1:5" x14ac:dyDescent="0.2">
      <c r="A1185">
        <v>72</v>
      </c>
      <c r="B1185" t="s">
        <v>37</v>
      </c>
      <c r="C1185">
        <v>2174.2399999999998</v>
      </c>
      <c r="D1185">
        <v>2035</v>
      </c>
      <c r="E1185" t="s">
        <v>4</v>
      </c>
    </row>
    <row r="1186" spans="1:5" x14ac:dyDescent="0.2">
      <c r="A1186">
        <v>73</v>
      </c>
      <c r="B1186" t="s">
        <v>37</v>
      </c>
      <c r="C1186">
        <v>2085.16</v>
      </c>
      <c r="D1186">
        <v>2035</v>
      </c>
      <c r="E1186" t="s">
        <v>4</v>
      </c>
    </row>
    <row r="1187" spans="1:5" x14ac:dyDescent="0.2">
      <c r="A1187">
        <v>74</v>
      </c>
      <c r="B1187" t="s">
        <v>37</v>
      </c>
      <c r="C1187">
        <v>1995.29</v>
      </c>
      <c r="D1187">
        <v>2035</v>
      </c>
      <c r="E1187" t="s">
        <v>4</v>
      </c>
    </row>
    <row r="1188" spans="1:5" x14ac:dyDescent="0.2">
      <c r="A1188">
        <v>75</v>
      </c>
      <c r="B1188" t="s">
        <v>37</v>
      </c>
      <c r="C1188">
        <v>1958.68</v>
      </c>
      <c r="D1188">
        <v>2035</v>
      </c>
      <c r="E1188" t="s">
        <v>4</v>
      </c>
    </row>
    <row r="1189" spans="1:5" x14ac:dyDescent="0.2">
      <c r="A1189">
        <v>76</v>
      </c>
      <c r="B1189" t="s">
        <v>37</v>
      </c>
      <c r="C1189">
        <v>1765.09</v>
      </c>
      <c r="D1189">
        <v>2035</v>
      </c>
      <c r="E1189" t="s">
        <v>4</v>
      </c>
    </row>
    <row r="1190" spans="1:5" x14ac:dyDescent="0.2">
      <c r="A1190">
        <v>77</v>
      </c>
      <c r="B1190" t="s">
        <v>37</v>
      </c>
      <c r="C1190">
        <v>1657.4</v>
      </c>
      <c r="D1190">
        <v>2035</v>
      </c>
      <c r="E1190" t="s">
        <v>4</v>
      </c>
    </row>
    <row r="1191" spans="1:5" x14ac:dyDescent="0.2">
      <c r="A1191">
        <v>78</v>
      </c>
      <c r="B1191" t="s">
        <v>37</v>
      </c>
      <c r="C1191">
        <v>1539.64</v>
      </c>
      <c r="D1191">
        <v>2035</v>
      </c>
      <c r="E1191" t="s">
        <v>4</v>
      </c>
    </row>
    <row r="1192" spans="1:5" x14ac:dyDescent="0.2">
      <c r="A1192">
        <v>79</v>
      </c>
      <c r="B1192" t="s">
        <v>37</v>
      </c>
      <c r="C1192">
        <v>1413.46</v>
      </c>
      <c r="D1192">
        <v>2035</v>
      </c>
      <c r="E1192" t="s">
        <v>4</v>
      </c>
    </row>
    <row r="1193" spans="1:5" x14ac:dyDescent="0.2">
      <c r="A1193">
        <v>80</v>
      </c>
      <c r="B1193" t="s">
        <v>37</v>
      </c>
      <c r="C1193">
        <v>1304.17</v>
      </c>
      <c r="D1193">
        <v>2035</v>
      </c>
      <c r="E1193" t="s">
        <v>4</v>
      </c>
    </row>
    <row r="1194" spans="1:5" x14ac:dyDescent="0.2">
      <c r="A1194">
        <v>81</v>
      </c>
      <c r="B1194" t="s">
        <v>37</v>
      </c>
      <c r="C1194">
        <v>1166.51</v>
      </c>
      <c r="D1194">
        <v>2035</v>
      </c>
      <c r="E1194" t="s">
        <v>4</v>
      </c>
    </row>
    <row r="1195" spans="1:5" x14ac:dyDescent="0.2">
      <c r="A1195">
        <v>82</v>
      </c>
      <c r="B1195" t="s">
        <v>37</v>
      </c>
      <c r="C1195">
        <v>1018.43</v>
      </c>
      <c r="D1195">
        <v>2035</v>
      </c>
      <c r="E1195" t="s">
        <v>4</v>
      </c>
    </row>
    <row r="1196" spans="1:5" x14ac:dyDescent="0.2">
      <c r="A1196">
        <v>83</v>
      </c>
      <c r="B1196" t="s">
        <v>37</v>
      </c>
      <c r="C1196">
        <v>948.77</v>
      </c>
      <c r="D1196">
        <v>2035</v>
      </c>
      <c r="E1196" t="s">
        <v>4</v>
      </c>
    </row>
    <row r="1197" spans="1:5" x14ac:dyDescent="0.2">
      <c r="A1197">
        <v>84</v>
      </c>
      <c r="B1197" t="s">
        <v>37</v>
      </c>
      <c r="C1197">
        <v>842.94</v>
      </c>
      <c r="D1197">
        <v>2035</v>
      </c>
      <c r="E1197" t="s">
        <v>4</v>
      </c>
    </row>
    <row r="1198" spans="1:5" x14ac:dyDescent="0.2">
      <c r="A1198">
        <v>85</v>
      </c>
      <c r="B1198" t="s">
        <v>37</v>
      </c>
      <c r="C1198">
        <v>760.28</v>
      </c>
      <c r="D1198">
        <v>2035</v>
      </c>
      <c r="E1198" t="s">
        <v>4</v>
      </c>
    </row>
    <row r="1199" spans="1:5" x14ac:dyDescent="0.2">
      <c r="A1199">
        <v>86</v>
      </c>
      <c r="B1199" t="s">
        <v>37</v>
      </c>
      <c r="C1199">
        <v>661.39</v>
      </c>
      <c r="D1199">
        <v>2035</v>
      </c>
      <c r="E1199" t="s">
        <v>4</v>
      </c>
    </row>
    <row r="1200" spans="1:5" x14ac:dyDescent="0.2">
      <c r="A1200">
        <v>87</v>
      </c>
      <c r="B1200" t="s">
        <v>37</v>
      </c>
      <c r="C1200">
        <v>553.91999999999996</v>
      </c>
      <c r="D1200">
        <v>2035</v>
      </c>
      <c r="E1200" t="s">
        <v>4</v>
      </c>
    </row>
    <row r="1201" spans="1:5" x14ac:dyDescent="0.2">
      <c r="A1201">
        <v>88</v>
      </c>
      <c r="B1201" t="s">
        <v>37</v>
      </c>
      <c r="C1201">
        <v>485.04</v>
      </c>
      <c r="D1201">
        <v>2035</v>
      </c>
      <c r="E1201" t="s">
        <v>4</v>
      </c>
    </row>
    <row r="1202" spans="1:5" x14ac:dyDescent="0.2">
      <c r="A1202">
        <v>89</v>
      </c>
      <c r="B1202" t="s">
        <v>37</v>
      </c>
      <c r="C1202">
        <v>410.71</v>
      </c>
      <c r="D1202">
        <v>2035</v>
      </c>
      <c r="E1202" t="s">
        <v>4</v>
      </c>
    </row>
    <row r="1203" spans="1:5" x14ac:dyDescent="0.2">
      <c r="A1203">
        <v>90</v>
      </c>
      <c r="B1203" t="s">
        <v>37</v>
      </c>
      <c r="C1203">
        <v>348.73</v>
      </c>
      <c r="D1203">
        <v>2035</v>
      </c>
      <c r="E1203" t="s">
        <v>4</v>
      </c>
    </row>
    <row r="1204" spans="1:5" x14ac:dyDescent="0.2">
      <c r="A1204">
        <v>91</v>
      </c>
      <c r="B1204" t="s">
        <v>37</v>
      </c>
      <c r="C1204">
        <v>276.81</v>
      </c>
      <c r="D1204">
        <v>2035</v>
      </c>
      <c r="E1204" t="s">
        <v>4</v>
      </c>
    </row>
    <row r="1205" spans="1:5" x14ac:dyDescent="0.2">
      <c r="A1205">
        <v>92</v>
      </c>
      <c r="B1205" t="s">
        <v>37</v>
      </c>
      <c r="C1205">
        <v>235.41</v>
      </c>
      <c r="D1205">
        <v>2035</v>
      </c>
      <c r="E1205" t="s">
        <v>4</v>
      </c>
    </row>
    <row r="1206" spans="1:5" x14ac:dyDescent="0.2">
      <c r="A1206">
        <v>93</v>
      </c>
      <c r="B1206" t="s">
        <v>37</v>
      </c>
      <c r="C1206">
        <v>189.71</v>
      </c>
      <c r="D1206">
        <v>2035</v>
      </c>
      <c r="E1206" t="s">
        <v>4</v>
      </c>
    </row>
    <row r="1207" spans="1:5" x14ac:dyDescent="0.2">
      <c r="A1207">
        <v>94</v>
      </c>
      <c r="B1207" t="s">
        <v>37</v>
      </c>
      <c r="C1207">
        <v>153.74</v>
      </c>
      <c r="D1207">
        <v>2035</v>
      </c>
      <c r="E1207" t="s">
        <v>4</v>
      </c>
    </row>
    <row r="1208" spans="1:5" x14ac:dyDescent="0.2">
      <c r="A1208">
        <v>95</v>
      </c>
      <c r="B1208" t="s">
        <v>37</v>
      </c>
      <c r="C1208">
        <v>126.59</v>
      </c>
      <c r="D1208">
        <v>2035</v>
      </c>
      <c r="E1208" t="s">
        <v>4</v>
      </c>
    </row>
    <row r="1209" spans="1:5" x14ac:dyDescent="0.2">
      <c r="A1209">
        <v>96</v>
      </c>
      <c r="B1209" t="s">
        <v>37</v>
      </c>
      <c r="C1209">
        <v>103.91</v>
      </c>
      <c r="D1209">
        <v>2035</v>
      </c>
      <c r="E1209" t="s">
        <v>4</v>
      </c>
    </row>
    <row r="1210" spans="1:5" x14ac:dyDescent="0.2">
      <c r="A1210">
        <v>97</v>
      </c>
      <c r="B1210" t="s">
        <v>37</v>
      </c>
      <c r="C1210">
        <v>81.27</v>
      </c>
      <c r="D1210">
        <v>2035</v>
      </c>
      <c r="E1210" t="s">
        <v>4</v>
      </c>
    </row>
    <row r="1211" spans="1:5" x14ac:dyDescent="0.2">
      <c r="A1211">
        <v>98</v>
      </c>
      <c r="B1211" t="s">
        <v>37</v>
      </c>
      <c r="C1211">
        <v>70.31</v>
      </c>
      <c r="D1211">
        <v>2035</v>
      </c>
      <c r="E1211" t="s">
        <v>4</v>
      </c>
    </row>
    <row r="1212" spans="1:5" x14ac:dyDescent="0.2">
      <c r="A1212">
        <v>99</v>
      </c>
      <c r="B1212" t="s">
        <v>37</v>
      </c>
      <c r="C1212">
        <v>55.42</v>
      </c>
      <c r="D1212">
        <v>2035</v>
      </c>
      <c r="E1212" t="s">
        <v>4</v>
      </c>
    </row>
    <row r="1213" spans="1:5" x14ac:dyDescent="0.2">
      <c r="A1213">
        <v>100</v>
      </c>
      <c r="B1213" t="s">
        <v>37</v>
      </c>
      <c r="C1213">
        <v>39.93</v>
      </c>
      <c r="D1213">
        <v>2035</v>
      </c>
      <c r="E1213" t="s">
        <v>4</v>
      </c>
    </row>
    <row r="1214" spans="1:5" x14ac:dyDescent="0.2">
      <c r="A1214">
        <v>0</v>
      </c>
      <c r="B1214" t="s">
        <v>38</v>
      </c>
      <c r="C1214">
        <v>213.72</v>
      </c>
      <c r="D1214">
        <v>2035</v>
      </c>
      <c r="E1214" t="s">
        <v>4</v>
      </c>
    </row>
    <row r="1215" spans="1:5" x14ac:dyDescent="0.2">
      <c r="A1215">
        <v>1</v>
      </c>
      <c r="B1215" t="s">
        <v>38</v>
      </c>
      <c r="C1215">
        <v>215.09</v>
      </c>
      <c r="D1215">
        <v>2035</v>
      </c>
      <c r="E1215" t="s">
        <v>4</v>
      </c>
    </row>
    <row r="1216" spans="1:5" x14ac:dyDescent="0.2">
      <c r="A1216">
        <v>2</v>
      </c>
      <c r="B1216" t="s">
        <v>38</v>
      </c>
      <c r="C1216">
        <v>213.87</v>
      </c>
      <c r="D1216">
        <v>2035</v>
      </c>
      <c r="E1216" t="s">
        <v>4</v>
      </c>
    </row>
    <row r="1217" spans="1:5" x14ac:dyDescent="0.2">
      <c r="A1217">
        <v>3</v>
      </c>
      <c r="B1217" t="s">
        <v>38</v>
      </c>
      <c r="C1217">
        <v>213.57</v>
      </c>
      <c r="D1217">
        <v>2035</v>
      </c>
      <c r="E1217" t="s">
        <v>4</v>
      </c>
    </row>
    <row r="1218" spans="1:5" x14ac:dyDescent="0.2">
      <c r="A1218">
        <v>4</v>
      </c>
      <c r="B1218" t="s">
        <v>38</v>
      </c>
      <c r="C1218">
        <v>212.29</v>
      </c>
      <c r="D1218">
        <v>2035</v>
      </c>
      <c r="E1218" t="s">
        <v>4</v>
      </c>
    </row>
    <row r="1219" spans="1:5" x14ac:dyDescent="0.2">
      <c r="A1219">
        <v>5</v>
      </c>
      <c r="B1219" t="s">
        <v>38</v>
      </c>
      <c r="C1219">
        <v>213.38</v>
      </c>
      <c r="D1219">
        <v>2035</v>
      </c>
      <c r="E1219" t="s">
        <v>4</v>
      </c>
    </row>
    <row r="1220" spans="1:5" x14ac:dyDescent="0.2">
      <c r="A1220">
        <v>6</v>
      </c>
      <c r="B1220" t="s">
        <v>38</v>
      </c>
      <c r="C1220">
        <v>215.79</v>
      </c>
      <c r="D1220">
        <v>2035</v>
      </c>
      <c r="E1220" t="s">
        <v>4</v>
      </c>
    </row>
    <row r="1221" spans="1:5" x14ac:dyDescent="0.2">
      <c r="A1221">
        <v>7</v>
      </c>
      <c r="B1221" t="s">
        <v>38</v>
      </c>
      <c r="C1221">
        <v>216.66</v>
      </c>
      <c r="D1221">
        <v>2035</v>
      </c>
      <c r="E1221" t="s">
        <v>4</v>
      </c>
    </row>
    <row r="1222" spans="1:5" x14ac:dyDescent="0.2">
      <c r="A1222">
        <v>8</v>
      </c>
      <c r="B1222" t="s">
        <v>38</v>
      </c>
      <c r="C1222">
        <v>216.54</v>
      </c>
      <c r="D1222">
        <v>2035</v>
      </c>
      <c r="E1222" t="s">
        <v>4</v>
      </c>
    </row>
    <row r="1223" spans="1:5" x14ac:dyDescent="0.2">
      <c r="A1223">
        <v>9</v>
      </c>
      <c r="B1223" t="s">
        <v>38</v>
      </c>
      <c r="C1223">
        <v>212.97</v>
      </c>
      <c r="D1223">
        <v>2035</v>
      </c>
      <c r="E1223" t="s">
        <v>4</v>
      </c>
    </row>
    <row r="1224" spans="1:5" x14ac:dyDescent="0.2">
      <c r="A1224">
        <v>10</v>
      </c>
      <c r="B1224" t="s">
        <v>38</v>
      </c>
      <c r="C1224">
        <v>212.22</v>
      </c>
      <c r="D1224">
        <v>2035</v>
      </c>
      <c r="E1224" t="s">
        <v>4</v>
      </c>
    </row>
    <row r="1225" spans="1:5" x14ac:dyDescent="0.2">
      <c r="A1225">
        <v>11</v>
      </c>
      <c r="B1225" t="s">
        <v>38</v>
      </c>
      <c r="C1225">
        <v>212.32</v>
      </c>
      <c r="D1225">
        <v>2035</v>
      </c>
      <c r="E1225" t="s">
        <v>4</v>
      </c>
    </row>
    <row r="1226" spans="1:5" x14ac:dyDescent="0.2">
      <c r="A1226">
        <v>12</v>
      </c>
      <c r="B1226" t="s">
        <v>38</v>
      </c>
      <c r="C1226">
        <v>213.12</v>
      </c>
      <c r="D1226">
        <v>2035</v>
      </c>
      <c r="E1226" t="s">
        <v>4</v>
      </c>
    </row>
    <row r="1227" spans="1:5" x14ac:dyDescent="0.2">
      <c r="A1227">
        <v>13</v>
      </c>
      <c r="B1227" t="s">
        <v>38</v>
      </c>
      <c r="C1227">
        <v>214.15</v>
      </c>
      <c r="D1227">
        <v>2035</v>
      </c>
      <c r="E1227" t="s">
        <v>4</v>
      </c>
    </row>
    <row r="1228" spans="1:5" x14ac:dyDescent="0.2">
      <c r="A1228">
        <v>14</v>
      </c>
      <c r="B1228" t="s">
        <v>38</v>
      </c>
      <c r="C1228">
        <v>214.1</v>
      </c>
      <c r="D1228">
        <v>2035</v>
      </c>
      <c r="E1228" t="s">
        <v>4</v>
      </c>
    </row>
    <row r="1229" spans="1:5" x14ac:dyDescent="0.2">
      <c r="A1229">
        <v>15</v>
      </c>
      <c r="B1229" t="s">
        <v>38</v>
      </c>
      <c r="C1229">
        <v>214.11</v>
      </c>
      <c r="D1229">
        <v>2035</v>
      </c>
      <c r="E1229" t="s">
        <v>4</v>
      </c>
    </row>
    <row r="1230" spans="1:5" x14ac:dyDescent="0.2">
      <c r="A1230">
        <v>16</v>
      </c>
      <c r="B1230" t="s">
        <v>38</v>
      </c>
      <c r="C1230">
        <v>211.58</v>
      </c>
      <c r="D1230">
        <v>2035</v>
      </c>
      <c r="E1230" t="s">
        <v>4</v>
      </c>
    </row>
    <row r="1231" spans="1:5" x14ac:dyDescent="0.2">
      <c r="A1231">
        <v>17</v>
      </c>
      <c r="B1231" t="s">
        <v>38</v>
      </c>
      <c r="C1231">
        <v>241.98</v>
      </c>
      <c r="D1231">
        <v>2035</v>
      </c>
      <c r="E1231" t="s">
        <v>4</v>
      </c>
    </row>
    <row r="1232" spans="1:5" x14ac:dyDescent="0.2">
      <c r="A1232">
        <v>18</v>
      </c>
      <c r="B1232" t="s">
        <v>38</v>
      </c>
      <c r="C1232">
        <v>228.81</v>
      </c>
      <c r="D1232">
        <v>2035</v>
      </c>
      <c r="E1232" t="s">
        <v>4</v>
      </c>
    </row>
    <row r="1233" spans="1:5" x14ac:dyDescent="0.2">
      <c r="A1233">
        <v>19</v>
      </c>
      <c r="B1233" t="s">
        <v>38</v>
      </c>
      <c r="C1233">
        <v>215.42</v>
      </c>
      <c r="D1233">
        <v>2035</v>
      </c>
      <c r="E1233" t="s">
        <v>4</v>
      </c>
    </row>
    <row r="1234" spans="1:5" x14ac:dyDescent="0.2">
      <c r="A1234">
        <v>20</v>
      </c>
      <c r="B1234" t="s">
        <v>38</v>
      </c>
      <c r="C1234">
        <v>203.12</v>
      </c>
      <c r="D1234">
        <v>2035</v>
      </c>
      <c r="E1234" t="s">
        <v>4</v>
      </c>
    </row>
    <row r="1235" spans="1:5" x14ac:dyDescent="0.2">
      <c r="A1235">
        <v>21</v>
      </c>
      <c r="B1235" t="s">
        <v>38</v>
      </c>
      <c r="C1235">
        <v>197.6</v>
      </c>
      <c r="D1235">
        <v>2035</v>
      </c>
      <c r="E1235" t="s">
        <v>4</v>
      </c>
    </row>
    <row r="1236" spans="1:5" x14ac:dyDescent="0.2">
      <c r="A1236">
        <v>22</v>
      </c>
      <c r="B1236" t="s">
        <v>38</v>
      </c>
      <c r="C1236">
        <v>193.63</v>
      </c>
      <c r="D1236">
        <v>2035</v>
      </c>
      <c r="E1236" t="s">
        <v>4</v>
      </c>
    </row>
    <row r="1237" spans="1:5" x14ac:dyDescent="0.2">
      <c r="A1237">
        <v>23</v>
      </c>
      <c r="B1237" t="s">
        <v>38</v>
      </c>
      <c r="C1237">
        <v>187.3</v>
      </c>
      <c r="D1237">
        <v>2035</v>
      </c>
      <c r="E1237" t="s">
        <v>4</v>
      </c>
    </row>
    <row r="1238" spans="1:5" x14ac:dyDescent="0.2">
      <c r="A1238">
        <v>24</v>
      </c>
      <c r="B1238" t="s">
        <v>38</v>
      </c>
      <c r="C1238">
        <v>249.12</v>
      </c>
      <c r="D1238">
        <v>2035</v>
      </c>
      <c r="E1238" t="s">
        <v>4</v>
      </c>
    </row>
    <row r="1239" spans="1:5" x14ac:dyDescent="0.2">
      <c r="A1239">
        <v>25</v>
      </c>
      <c r="B1239" t="s">
        <v>38</v>
      </c>
      <c r="C1239">
        <v>222.62</v>
      </c>
      <c r="D1239">
        <v>2035</v>
      </c>
      <c r="E1239" t="s">
        <v>4</v>
      </c>
    </row>
    <row r="1240" spans="1:5" x14ac:dyDescent="0.2">
      <c r="A1240">
        <v>26</v>
      </c>
      <c r="B1240" t="s">
        <v>38</v>
      </c>
      <c r="C1240">
        <v>187.7</v>
      </c>
      <c r="D1240">
        <v>2035</v>
      </c>
      <c r="E1240" t="s">
        <v>4</v>
      </c>
    </row>
    <row r="1241" spans="1:5" x14ac:dyDescent="0.2">
      <c r="A1241">
        <v>27</v>
      </c>
      <c r="B1241" t="s">
        <v>38</v>
      </c>
      <c r="C1241">
        <v>184.66</v>
      </c>
      <c r="D1241">
        <v>2035</v>
      </c>
      <c r="E1241" t="s">
        <v>4</v>
      </c>
    </row>
    <row r="1242" spans="1:5" x14ac:dyDescent="0.2">
      <c r="A1242">
        <v>28</v>
      </c>
      <c r="B1242" t="s">
        <v>38</v>
      </c>
      <c r="C1242">
        <v>197.36</v>
      </c>
      <c r="D1242">
        <v>2035</v>
      </c>
      <c r="E1242" t="s">
        <v>4</v>
      </c>
    </row>
    <row r="1243" spans="1:5" x14ac:dyDescent="0.2">
      <c r="A1243">
        <v>29</v>
      </c>
      <c r="B1243" t="s">
        <v>38</v>
      </c>
      <c r="C1243">
        <v>214.4</v>
      </c>
      <c r="D1243">
        <v>2035</v>
      </c>
      <c r="E1243" t="s">
        <v>4</v>
      </c>
    </row>
    <row r="1244" spans="1:5" x14ac:dyDescent="0.2">
      <c r="A1244">
        <v>30</v>
      </c>
      <c r="B1244" t="s">
        <v>38</v>
      </c>
      <c r="C1244">
        <v>193.94</v>
      </c>
      <c r="D1244">
        <v>2035</v>
      </c>
      <c r="E1244" t="s">
        <v>4</v>
      </c>
    </row>
    <row r="1245" spans="1:5" x14ac:dyDescent="0.2">
      <c r="A1245">
        <v>31</v>
      </c>
      <c r="B1245" t="s">
        <v>38</v>
      </c>
      <c r="C1245">
        <v>193.89</v>
      </c>
      <c r="D1245">
        <v>2035</v>
      </c>
      <c r="E1245" t="s">
        <v>4</v>
      </c>
    </row>
    <row r="1246" spans="1:5" x14ac:dyDescent="0.2">
      <c r="A1246">
        <v>32</v>
      </c>
      <c r="B1246" t="s">
        <v>38</v>
      </c>
      <c r="C1246">
        <v>187.52</v>
      </c>
      <c r="D1246">
        <v>2035</v>
      </c>
      <c r="E1246" t="s">
        <v>4</v>
      </c>
    </row>
    <row r="1247" spans="1:5" x14ac:dyDescent="0.2">
      <c r="A1247">
        <v>33</v>
      </c>
      <c r="B1247" t="s">
        <v>38</v>
      </c>
      <c r="C1247">
        <v>164.73</v>
      </c>
      <c r="D1247">
        <v>2035</v>
      </c>
      <c r="E1247" t="s">
        <v>4</v>
      </c>
    </row>
    <row r="1248" spans="1:5" x14ac:dyDescent="0.2">
      <c r="A1248">
        <v>34</v>
      </c>
      <c r="B1248" t="s">
        <v>38</v>
      </c>
      <c r="C1248">
        <v>184.09</v>
      </c>
      <c r="D1248">
        <v>2035</v>
      </c>
      <c r="E1248" t="s">
        <v>4</v>
      </c>
    </row>
    <row r="1249" spans="1:5" x14ac:dyDescent="0.2">
      <c r="A1249">
        <v>35</v>
      </c>
      <c r="B1249" t="s">
        <v>38</v>
      </c>
      <c r="C1249">
        <v>182.88</v>
      </c>
      <c r="D1249">
        <v>2035</v>
      </c>
      <c r="E1249" t="s">
        <v>4</v>
      </c>
    </row>
    <row r="1250" spans="1:5" x14ac:dyDescent="0.2">
      <c r="A1250">
        <v>36</v>
      </c>
      <c r="B1250" t="s">
        <v>38</v>
      </c>
      <c r="C1250">
        <v>206.52</v>
      </c>
      <c r="D1250">
        <v>2035</v>
      </c>
      <c r="E1250" t="s">
        <v>4</v>
      </c>
    </row>
    <row r="1251" spans="1:5" x14ac:dyDescent="0.2">
      <c r="A1251">
        <v>37</v>
      </c>
      <c r="B1251" t="s">
        <v>38</v>
      </c>
      <c r="C1251">
        <v>191.69</v>
      </c>
      <c r="D1251">
        <v>2035</v>
      </c>
      <c r="E1251" t="s">
        <v>4</v>
      </c>
    </row>
    <row r="1252" spans="1:5" x14ac:dyDescent="0.2">
      <c r="A1252">
        <v>38</v>
      </c>
      <c r="B1252" t="s">
        <v>38</v>
      </c>
      <c r="C1252">
        <v>198.77</v>
      </c>
      <c r="D1252">
        <v>2035</v>
      </c>
      <c r="E1252" t="s">
        <v>4</v>
      </c>
    </row>
    <row r="1253" spans="1:5" x14ac:dyDescent="0.2">
      <c r="A1253">
        <v>39</v>
      </c>
      <c r="B1253" t="s">
        <v>38</v>
      </c>
      <c r="C1253">
        <v>188.59</v>
      </c>
      <c r="D1253">
        <v>2035</v>
      </c>
      <c r="E1253" t="s">
        <v>4</v>
      </c>
    </row>
    <row r="1254" spans="1:5" x14ac:dyDescent="0.2">
      <c r="A1254">
        <v>40</v>
      </c>
      <c r="B1254" t="s">
        <v>38</v>
      </c>
      <c r="C1254">
        <v>196.91</v>
      </c>
      <c r="D1254">
        <v>2035</v>
      </c>
      <c r="E1254" t="s">
        <v>4</v>
      </c>
    </row>
    <row r="1255" spans="1:5" x14ac:dyDescent="0.2">
      <c r="A1255">
        <v>41</v>
      </c>
      <c r="B1255" t="s">
        <v>38</v>
      </c>
      <c r="C1255">
        <v>193.19</v>
      </c>
      <c r="D1255">
        <v>2035</v>
      </c>
      <c r="E1255" t="s">
        <v>4</v>
      </c>
    </row>
    <row r="1256" spans="1:5" x14ac:dyDescent="0.2">
      <c r="A1256">
        <v>42</v>
      </c>
      <c r="B1256" t="s">
        <v>38</v>
      </c>
      <c r="C1256">
        <v>162.07</v>
      </c>
      <c r="D1256">
        <v>2035</v>
      </c>
      <c r="E1256" t="s">
        <v>4</v>
      </c>
    </row>
    <row r="1257" spans="1:5" x14ac:dyDescent="0.2">
      <c r="A1257">
        <v>43</v>
      </c>
      <c r="B1257" t="s">
        <v>38</v>
      </c>
      <c r="C1257">
        <v>159.5</v>
      </c>
      <c r="D1257">
        <v>2035</v>
      </c>
      <c r="E1257" t="s">
        <v>4</v>
      </c>
    </row>
    <row r="1258" spans="1:5" x14ac:dyDescent="0.2">
      <c r="A1258">
        <v>44</v>
      </c>
      <c r="B1258" t="s">
        <v>38</v>
      </c>
      <c r="C1258">
        <v>152.38</v>
      </c>
      <c r="D1258">
        <v>2035</v>
      </c>
      <c r="E1258" t="s">
        <v>4</v>
      </c>
    </row>
    <row r="1259" spans="1:5" x14ac:dyDescent="0.2">
      <c r="A1259">
        <v>45</v>
      </c>
      <c r="B1259" t="s">
        <v>38</v>
      </c>
      <c r="C1259">
        <v>152.69999999999999</v>
      </c>
      <c r="D1259">
        <v>2035</v>
      </c>
      <c r="E1259" t="s">
        <v>4</v>
      </c>
    </row>
    <row r="1260" spans="1:5" x14ac:dyDescent="0.2">
      <c r="A1260">
        <v>46</v>
      </c>
      <c r="B1260" t="s">
        <v>38</v>
      </c>
      <c r="C1260">
        <v>147.96</v>
      </c>
      <c r="D1260">
        <v>2035</v>
      </c>
      <c r="E1260" t="s">
        <v>4</v>
      </c>
    </row>
    <row r="1261" spans="1:5" x14ac:dyDescent="0.2">
      <c r="A1261">
        <v>47</v>
      </c>
      <c r="B1261" t="s">
        <v>38</v>
      </c>
      <c r="C1261">
        <v>141.84</v>
      </c>
      <c r="D1261">
        <v>2035</v>
      </c>
      <c r="E1261" t="s">
        <v>4</v>
      </c>
    </row>
    <row r="1262" spans="1:5" x14ac:dyDescent="0.2">
      <c r="A1262">
        <v>48</v>
      </c>
      <c r="B1262" t="s">
        <v>38</v>
      </c>
      <c r="C1262">
        <v>144.35</v>
      </c>
      <c r="D1262">
        <v>2035</v>
      </c>
      <c r="E1262" t="s">
        <v>4</v>
      </c>
    </row>
    <row r="1263" spans="1:5" x14ac:dyDescent="0.2">
      <c r="A1263">
        <v>49</v>
      </c>
      <c r="B1263" t="s">
        <v>38</v>
      </c>
      <c r="C1263">
        <v>153.31</v>
      </c>
      <c r="D1263">
        <v>2035</v>
      </c>
      <c r="E1263" t="s">
        <v>4</v>
      </c>
    </row>
    <row r="1264" spans="1:5" x14ac:dyDescent="0.2">
      <c r="A1264">
        <v>50</v>
      </c>
      <c r="B1264" t="s">
        <v>38</v>
      </c>
      <c r="C1264">
        <v>147.28</v>
      </c>
      <c r="D1264">
        <v>2035</v>
      </c>
      <c r="E1264" t="s">
        <v>4</v>
      </c>
    </row>
    <row r="1265" spans="1:5" x14ac:dyDescent="0.2">
      <c r="A1265">
        <v>51</v>
      </c>
      <c r="B1265" t="s">
        <v>38</v>
      </c>
      <c r="C1265">
        <v>125.98</v>
      </c>
      <c r="D1265">
        <v>2035</v>
      </c>
      <c r="E1265" t="s">
        <v>4</v>
      </c>
    </row>
    <row r="1266" spans="1:5" x14ac:dyDescent="0.2">
      <c r="A1266">
        <v>52</v>
      </c>
      <c r="B1266" t="s">
        <v>38</v>
      </c>
      <c r="C1266">
        <v>138.27000000000001</v>
      </c>
      <c r="D1266">
        <v>2035</v>
      </c>
      <c r="E1266" t="s">
        <v>4</v>
      </c>
    </row>
    <row r="1267" spans="1:5" x14ac:dyDescent="0.2">
      <c r="A1267">
        <v>53</v>
      </c>
      <c r="B1267" t="s">
        <v>38</v>
      </c>
      <c r="C1267">
        <v>127.34</v>
      </c>
      <c r="D1267">
        <v>2035</v>
      </c>
      <c r="E1267" t="s">
        <v>4</v>
      </c>
    </row>
    <row r="1268" spans="1:5" x14ac:dyDescent="0.2">
      <c r="A1268">
        <v>54</v>
      </c>
      <c r="B1268" t="s">
        <v>38</v>
      </c>
      <c r="C1268">
        <v>115.47</v>
      </c>
      <c r="D1268">
        <v>2035</v>
      </c>
      <c r="E1268" t="s">
        <v>4</v>
      </c>
    </row>
    <row r="1269" spans="1:5" x14ac:dyDescent="0.2">
      <c r="A1269">
        <v>55</v>
      </c>
      <c r="B1269" t="s">
        <v>38</v>
      </c>
      <c r="C1269">
        <v>117.82</v>
      </c>
      <c r="D1269">
        <v>2035</v>
      </c>
      <c r="E1269" t="s">
        <v>4</v>
      </c>
    </row>
    <row r="1270" spans="1:5" x14ac:dyDescent="0.2">
      <c r="A1270">
        <v>56</v>
      </c>
      <c r="B1270" t="s">
        <v>38</v>
      </c>
      <c r="C1270">
        <v>103.34</v>
      </c>
      <c r="D1270">
        <v>2035</v>
      </c>
      <c r="E1270" t="s">
        <v>4</v>
      </c>
    </row>
    <row r="1271" spans="1:5" x14ac:dyDescent="0.2">
      <c r="A1271">
        <v>57</v>
      </c>
      <c r="B1271" t="s">
        <v>38</v>
      </c>
      <c r="C1271">
        <v>95.12</v>
      </c>
      <c r="D1271">
        <v>2035</v>
      </c>
      <c r="E1271" t="s">
        <v>4</v>
      </c>
    </row>
    <row r="1272" spans="1:5" x14ac:dyDescent="0.2">
      <c r="A1272">
        <v>58</v>
      </c>
      <c r="B1272" t="s">
        <v>38</v>
      </c>
      <c r="C1272">
        <v>92.12</v>
      </c>
      <c r="D1272">
        <v>2035</v>
      </c>
      <c r="E1272" t="s">
        <v>4</v>
      </c>
    </row>
    <row r="1273" spans="1:5" x14ac:dyDescent="0.2">
      <c r="A1273">
        <v>59</v>
      </c>
      <c r="B1273" t="s">
        <v>38</v>
      </c>
      <c r="C1273">
        <v>94.69</v>
      </c>
      <c r="D1273">
        <v>2035</v>
      </c>
      <c r="E1273" t="s">
        <v>4</v>
      </c>
    </row>
    <row r="1274" spans="1:5" x14ac:dyDescent="0.2">
      <c r="A1274">
        <v>60</v>
      </c>
      <c r="B1274" t="s">
        <v>38</v>
      </c>
      <c r="C1274">
        <v>98.27</v>
      </c>
      <c r="D1274">
        <v>2035</v>
      </c>
      <c r="E1274" t="s">
        <v>4</v>
      </c>
    </row>
    <row r="1275" spans="1:5" x14ac:dyDescent="0.2">
      <c r="A1275">
        <v>61</v>
      </c>
      <c r="B1275" t="s">
        <v>38</v>
      </c>
      <c r="C1275">
        <v>73.36</v>
      </c>
      <c r="D1275">
        <v>2035</v>
      </c>
      <c r="E1275" t="s">
        <v>4</v>
      </c>
    </row>
    <row r="1276" spans="1:5" x14ac:dyDescent="0.2">
      <c r="A1276">
        <v>62</v>
      </c>
      <c r="B1276" t="s">
        <v>38</v>
      </c>
      <c r="C1276">
        <v>77.37</v>
      </c>
      <c r="D1276">
        <v>2035</v>
      </c>
      <c r="E1276" t="s">
        <v>4</v>
      </c>
    </row>
    <row r="1277" spans="1:5" x14ac:dyDescent="0.2">
      <c r="A1277">
        <v>63</v>
      </c>
      <c r="B1277" t="s">
        <v>38</v>
      </c>
      <c r="C1277">
        <v>76.34</v>
      </c>
      <c r="D1277">
        <v>2035</v>
      </c>
      <c r="E1277" t="s">
        <v>4</v>
      </c>
    </row>
    <row r="1278" spans="1:5" x14ac:dyDescent="0.2">
      <c r="A1278">
        <v>64</v>
      </c>
      <c r="B1278" t="s">
        <v>38</v>
      </c>
      <c r="C1278">
        <v>74.819999999999993</v>
      </c>
      <c r="D1278">
        <v>2035</v>
      </c>
      <c r="E1278" t="s">
        <v>4</v>
      </c>
    </row>
    <row r="1279" spans="1:5" x14ac:dyDescent="0.2">
      <c r="A1279">
        <v>65</v>
      </c>
      <c r="B1279" t="s">
        <v>38</v>
      </c>
      <c r="C1279">
        <v>79.33</v>
      </c>
      <c r="D1279">
        <v>2035</v>
      </c>
      <c r="E1279" t="s">
        <v>4</v>
      </c>
    </row>
    <row r="1280" spans="1:5" x14ac:dyDescent="0.2">
      <c r="A1280">
        <v>66</v>
      </c>
      <c r="B1280" t="s">
        <v>38</v>
      </c>
      <c r="C1280">
        <v>76.72</v>
      </c>
      <c r="D1280">
        <v>2035</v>
      </c>
      <c r="E1280" t="s">
        <v>4</v>
      </c>
    </row>
    <row r="1281" spans="1:5" x14ac:dyDescent="0.2">
      <c r="A1281">
        <v>67</v>
      </c>
      <c r="B1281" t="s">
        <v>38</v>
      </c>
      <c r="C1281">
        <v>67.75</v>
      </c>
      <c r="D1281">
        <v>2035</v>
      </c>
      <c r="E1281" t="s">
        <v>4</v>
      </c>
    </row>
    <row r="1282" spans="1:5" x14ac:dyDescent="0.2">
      <c r="A1282">
        <v>68</v>
      </c>
      <c r="B1282" t="s">
        <v>38</v>
      </c>
      <c r="C1282">
        <v>81.290000000000006</v>
      </c>
      <c r="D1282">
        <v>2035</v>
      </c>
      <c r="E1282" t="s">
        <v>4</v>
      </c>
    </row>
    <row r="1283" spans="1:5" x14ac:dyDescent="0.2">
      <c r="A1283">
        <v>69</v>
      </c>
      <c r="B1283" t="s">
        <v>38</v>
      </c>
      <c r="C1283">
        <v>71.95</v>
      </c>
      <c r="D1283">
        <v>2035</v>
      </c>
      <c r="E1283" t="s">
        <v>4</v>
      </c>
    </row>
    <row r="1284" spans="1:5" x14ac:dyDescent="0.2">
      <c r="A1284">
        <v>70</v>
      </c>
      <c r="B1284" t="s">
        <v>38</v>
      </c>
      <c r="C1284">
        <v>69.05</v>
      </c>
      <c r="D1284">
        <v>2035</v>
      </c>
      <c r="E1284" t="s">
        <v>4</v>
      </c>
    </row>
    <row r="1285" spans="1:5" x14ac:dyDescent="0.2">
      <c r="A1285">
        <v>71</v>
      </c>
      <c r="B1285" t="s">
        <v>38</v>
      </c>
      <c r="C1285">
        <v>70.959999999999994</v>
      </c>
      <c r="D1285">
        <v>2035</v>
      </c>
      <c r="E1285" t="s">
        <v>4</v>
      </c>
    </row>
    <row r="1286" spans="1:5" x14ac:dyDescent="0.2">
      <c r="A1286">
        <v>72</v>
      </c>
      <c r="B1286" t="s">
        <v>38</v>
      </c>
      <c r="C1286">
        <v>60.14</v>
      </c>
      <c r="D1286">
        <v>2035</v>
      </c>
      <c r="E1286" t="s">
        <v>4</v>
      </c>
    </row>
    <row r="1287" spans="1:5" x14ac:dyDescent="0.2">
      <c r="A1287">
        <v>73</v>
      </c>
      <c r="B1287" t="s">
        <v>38</v>
      </c>
      <c r="C1287">
        <v>72.33</v>
      </c>
      <c r="D1287">
        <v>2035</v>
      </c>
      <c r="E1287" t="s">
        <v>4</v>
      </c>
    </row>
    <row r="1288" spans="1:5" x14ac:dyDescent="0.2">
      <c r="A1288">
        <v>74</v>
      </c>
      <c r="B1288" t="s">
        <v>38</v>
      </c>
      <c r="C1288">
        <v>82.51</v>
      </c>
      <c r="D1288">
        <v>2035</v>
      </c>
      <c r="E1288" t="s">
        <v>4</v>
      </c>
    </row>
    <row r="1289" spans="1:5" x14ac:dyDescent="0.2">
      <c r="A1289">
        <v>75</v>
      </c>
      <c r="B1289" t="s">
        <v>38</v>
      </c>
      <c r="C1289">
        <v>78.14</v>
      </c>
      <c r="D1289">
        <v>2035</v>
      </c>
      <c r="E1289" t="s">
        <v>4</v>
      </c>
    </row>
    <row r="1290" spans="1:5" x14ac:dyDescent="0.2">
      <c r="A1290">
        <v>76</v>
      </c>
      <c r="B1290" t="s">
        <v>38</v>
      </c>
      <c r="C1290">
        <v>62.3</v>
      </c>
      <c r="D1290">
        <v>2035</v>
      </c>
      <c r="E1290" t="s">
        <v>4</v>
      </c>
    </row>
    <row r="1291" spans="1:5" x14ac:dyDescent="0.2">
      <c r="A1291">
        <v>77</v>
      </c>
      <c r="B1291" t="s">
        <v>38</v>
      </c>
      <c r="C1291">
        <v>69.28</v>
      </c>
      <c r="D1291">
        <v>2035</v>
      </c>
      <c r="E1291" t="s">
        <v>4</v>
      </c>
    </row>
    <row r="1292" spans="1:5" x14ac:dyDescent="0.2">
      <c r="A1292">
        <v>78</v>
      </c>
      <c r="B1292" t="s">
        <v>38</v>
      </c>
      <c r="C1292">
        <v>54.43</v>
      </c>
      <c r="D1292">
        <v>2035</v>
      </c>
      <c r="E1292" t="s">
        <v>4</v>
      </c>
    </row>
    <row r="1293" spans="1:5" x14ac:dyDescent="0.2">
      <c r="A1293">
        <v>79</v>
      </c>
      <c r="B1293" t="s">
        <v>38</v>
      </c>
      <c r="C1293">
        <v>43.18</v>
      </c>
      <c r="D1293">
        <v>2035</v>
      </c>
      <c r="E1293" t="s">
        <v>4</v>
      </c>
    </row>
    <row r="1294" spans="1:5" x14ac:dyDescent="0.2">
      <c r="A1294">
        <v>80</v>
      </c>
      <c r="B1294" t="s">
        <v>38</v>
      </c>
      <c r="C1294">
        <v>49.59</v>
      </c>
      <c r="D1294">
        <v>2035</v>
      </c>
      <c r="E1294" t="s">
        <v>4</v>
      </c>
    </row>
    <row r="1295" spans="1:5" x14ac:dyDescent="0.2">
      <c r="A1295">
        <v>81</v>
      </c>
      <c r="B1295" t="s">
        <v>38</v>
      </c>
      <c r="C1295">
        <v>45.18</v>
      </c>
      <c r="D1295">
        <v>2035</v>
      </c>
      <c r="E1295" t="s">
        <v>4</v>
      </c>
    </row>
    <row r="1296" spans="1:5" x14ac:dyDescent="0.2">
      <c r="A1296">
        <v>82</v>
      </c>
      <c r="B1296" t="s">
        <v>38</v>
      </c>
      <c r="C1296">
        <v>42.39</v>
      </c>
      <c r="D1296">
        <v>2035</v>
      </c>
      <c r="E1296" t="s">
        <v>4</v>
      </c>
    </row>
    <row r="1297" spans="1:5" x14ac:dyDescent="0.2">
      <c r="A1297">
        <v>83</v>
      </c>
      <c r="B1297" t="s">
        <v>38</v>
      </c>
      <c r="C1297">
        <v>37.700000000000003</v>
      </c>
      <c r="D1297">
        <v>2035</v>
      </c>
      <c r="E1297" t="s">
        <v>4</v>
      </c>
    </row>
    <row r="1298" spans="1:5" x14ac:dyDescent="0.2">
      <c r="A1298">
        <v>84</v>
      </c>
      <c r="B1298" t="s">
        <v>38</v>
      </c>
      <c r="C1298">
        <v>34.64</v>
      </c>
      <c r="D1298">
        <v>2035</v>
      </c>
      <c r="E1298" t="s">
        <v>4</v>
      </c>
    </row>
    <row r="1299" spans="1:5" x14ac:dyDescent="0.2">
      <c r="A1299">
        <v>85</v>
      </c>
      <c r="B1299" t="s">
        <v>38</v>
      </c>
      <c r="C1299">
        <v>32.130000000000003</v>
      </c>
      <c r="D1299">
        <v>2035</v>
      </c>
      <c r="E1299" t="s">
        <v>4</v>
      </c>
    </row>
    <row r="1300" spans="1:5" x14ac:dyDescent="0.2">
      <c r="A1300">
        <v>86</v>
      </c>
      <c r="B1300" t="s">
        <v>38</v>
      </c>
      <c r="C1300">
        <v>27.69</v>
      </c>
      <c r="D1300">
        <v>2035</v>
      </c>
      <c r="E1300" t="s">
        <v>4</v>
      </c>
    </row>
    <row r="1301" spans="1:5" x14ac:dyDescent="0.2">
      <c r="A1301">
        <v>87</v>
      </c>
      <c r="B1301" t="s">
        <v>38</v>
      </c>
      <c r="C1301">
        <v>25.05</v>
      </c>
      <c r="D1301">
        <v>2035</v>
      </c>
      <c r="E1301" t="s">
        <v>4</v>
      </c>
    </row>
    <row r="1302" spans="1:5" x14ac:dyDescent="0.2">
      <c r="A1302">
        <v>88</v>
      </c>
      <c r="B1302" t="s">
        <v>38</v>
      </c>
      <c r="C1302">
        <v>27.82</v>
      </c>
      <c r="D1302">
        <v>2035</v>
      </c>
      <c r="E1302" t="s">
        <v>4</v>
      </c>
    </row>
    <row r="1303" spans="1:5" x14ac:dyDescent="0.2">
      <c r="A1303">
        <v>89</v>
      </c>
      <c r="B1303" t="s">
        <v>38</v>
      </c>
      <c r="C1303">
        <v>20.34</v>
      </c>
      <c r="D1303">
        <v>2035</v>
      </c>
      <c r="E1303" t="s">
        <v>4</v>
      </c>
    </row>
    <row r="1304" spans="1:5" x14ac:dyDescent="0.2">
      <c r="A1304">
        <v>90</v>
      </c>
      <c r="B1304" t="s">
        <v>38</v>
      </c>
      <c r="C1304">
        <v>17.61</v>
      </c>
      <c r="D1304">
        <v>2035</v>
      </c>
      <c r="E1304" t="s">
        <v>4</v>
      </c>
    </row>
    <row r="1305" spans="1:5" x14ac:dyDescent="0.2">
      <c r="A1305">
        <v>91</v>
      </c>
      <c r="B1305" t="s">
        <v>38</v>
      </c>
      <c r="C1305">
        <v>26.18</v>
      </c>
      <c r="D1305">
        <v>2035</v>
      </c>
      <c r="E1305" t="s">
        <v>4</v>
      </c>
    </row>
    <row r="1306" spans="1:5" x14ac:dyDescent="0.2">
      <c r="A1306">
        <v>92</v>
      </c>
      <c r="B1306" t="s">
        <v>38</v>
      </c>
      <c r="C1306">
        <v>17.07</v>
      </c>
      <c r="D1306">
        <v>2035</v>
      </c>
      <c r="E1306" t="s">
        <v>4</v>
      </c>
    </row>
    <row r="1307" spans="1:5" x14ac:dyDescent="0.2">
      <c r="A1307">
        <v>93</v>
      </c>
      <c r="B1307" t="s">
        <v>38</v>
      </c>
      <c r="C1307">
        <v>13.78</v>
      </c>
      <c r="D1307">
        <v>2035</v>
      </c>
      <c r="E1307" t="s">
        <v>4</v>
      </c>
    </row>
    <row r="1308" spans="1:5" x14ac:dyDescent="0.2">
      <c r="A1308">
        <v>94</v>
      </c>
      <c r="B1308" t="s">
        <v>38</v>
      </c>
      <c r="C1308">
        <v>16.190000000000001</v>
      </c>
      <c r="D1308">
        <v>2035</v>
      </c>
      <c r="E1308" t="s">
        <v>4</v>
      </c>
    </row>
    <row r="1309" spans="1:5" x14ac:dyDescent="0.2">
      <c r="A1309">
        <v>95</v>
      </c>
      <c r="B1309" t="s">
        <v>38</v>
      </c>
      <c r="C1309">
        <v>18.010000000000002</v>
      </c>
      <c r="D1309">
        <v>2035</v>
      </c>
      <c r="E1309" t="s">
        <v>4</v>
      </c>
    </row>
    <row r="1310" spans="1:5" x14ac:dyDescent="0.2">
      <c r="A1310">
        <v>96</v>
      </c>
      <c r="B1310" t="s">
        <v>38</v>
      </c>
      <c r="C1310">
        <v>12.95</v>
      </c>
      <c r="D1310">
        <v>2035</v>
      </c>
      <c r="E1310" t="s">
        <v>4</v>
      </c>
    </row>
    <row r="1311" spans="1:5" x14ac:dyDescent="0.2">
      <c r="A1311">
        <v>97</v>
      </c>
      <c r="B1311" t="s">
        <v>38</v>
      </c>
      <c r="C1311">
        <v>11.55</v>
      </c>
      <c r="D1311">
        <v>2035</v>
      </c>
      <c r="E1311" t="s">
        <v>4</v>
      </c>
    </row>
    <row r="1312" spans="1:5" x14ac:dyDescent="0.2">
      <c r="A1312">
        <v>98</v>
      </c>
      <c r="B1312" t="s">
        <v>38</v>
      </c>
      <c r="C1312">
        <v>7.31</v>
      </c>
      <c r="D1312">
        <v>2035</v>
      </c>
      <c r="E1312" t="s">
        <v>4</v>
      </c>
    </row>
    <row r="1313" spans="1:5" x14ac:dyDescent="0.2">
      <c r="A1313">
        <v>99</v>
      </c>
      <c r="B1313" t="s">
        <v>38</v>
      </c>
      <c r="C1313">
        <v>6.27</v>
      </c>
      <c r="D1313">
        <v>2035</v>
      </c>
      <c r="E1313" t="s">
        <v>4</v>
      </c>
    </row>
    <row r="1314" spans="1:5" x14ac:dyDescent="0.2">
      <c r="A1314">
        <v>100</v>
      </c>
      <c r="B1314" t="s">
        <v>38</v>
      </c>
      <c r="C1314">
        <v>7.16</v>
      </c>
      <c r="D1314">
        <v>2035</v>
      </c>
      <c r="E1314" t="s">
        <v>4</v>
      </c>
    </row>
    <row r="1315" spans="1:5" x14ac:dyDescent="0.2">
      <c r="A1315">
        <v>0</v>
      </c>
      <c r="B1315" t="s">
        <v>37</v>
      </c>
      <c r="C1315">
        <v>235.23</v>
      </c>
      <c r="D1315">
        <v>2035</v>
      </c>
      <c r="E1315" t="s">
        <v>4</v>
      </c>
    </row>
    <row r="1316" spans="1:5" x14ac:dyDescent="0.2">
      <c r="A1316">
        <v>1</v>
      </c>
      <c r="B1316" t="s">
        <v>37</v>
      </c>
      <c r="C1316">
        <v>237</v>
      </c>
      <c r="D1316">
        <v>2035</v>
      </c>
      <c r="E1316" t="s">
        <v>4</v>
      </c>
    </row>
    <row r="1317" spans="1:5" x14ac:dyDescent="0.2">
      <c r="A1317">
        <v>2</v>
      </c>
      <c r="B1317" t="s">
        <v>37</v>
      </c>
      <c r="C1317">
        <v>238.25</v>
      </c>
      <c r="D1317">
        <v>2035</v>
      </c>
      <c r="E1317" t="s">
        <v>4</v>
      </c>
    </row>
    <row r="1318" spans="1:5" x14ac:dyDescent="0.2">
      <c r="A1318">
        <v>3</v>
      </c>
      <c r="B1318" t="s">
        <v>37</v>
      </c>
      <c r="C1318">
        <v>238.23</v>
      </c>
      <c r="D1318">
        <v>2035</v>
      </c>
      <c r="E1318" t="s">
        <v>4</v>
      </c>
    </row>
    <row r="1319" spans="1:5" x14ac:dyDescent="0.2">
      <c r="A1319">
        <v>4</v>
      </c>
      <c r="B1319" t="s">
        <v>37</v>
      </c>
      <c r="C1319">
        <v>235.69</v>
      </c>
      <c r="D1319">
        <v>2035</v>
      </c>
      <c r="E1319" t="s">
        <v>4</v>
      </c>
    </row>
    <row r="1320" spans="1:5" x14ac:dyDescent="0.2">
      <c r="A1320">
        <v>5</v>
      </c>
      <c r="B1320" t="s">
        <v>37</v>
      </c>
      <c r="C1320">
        <v>235.03</v>
      </c>
      <c r="D1320">
        <v>2035</v>
      </c>
      <c r="E1320" t="s">
        <v>4</v>
      </c>
    </row>
    <row r="1321" spans="1:5" x14ac:dyDescent="0.2">
      <c r="A1321">
        <v>6</v>
      </c>
      <c r="B1321" t="s">
        <v>37</v>
      </c>
      <c r="C1321">
        <v>237.06</v>
      </c>
      <c r="D1321">
        <v>2035</v>
      </c>
      <c r="E1321" t="s">
        <v>4</v>
      </c>
    </row>
    <row r="1322" spans="1:5" x14ac:dyDescent="0.2">
      <c r="A1322">
        <v>7</v>
      </c>
      <c r="B1322" t="s">
        <v>37</v>
      </c>
      <c r="C1322">
        <v>238.88</v>
      </c>
      <c r="D1322">
        <v>2035</v>
      </c>
      <c r="E1322" t="s">
        <v>4</v>
      </c>
    </row>
    <row r="1323" spans="1:5" x14ac:dyDescent="0.2">
      <c r="A1323">
        <v>8</v>
      </c>
      <c r="B1323" t="s">
        <v>37</v>
      </c>
      <c r="C1323">
        <v>240.67</v>
      </c>
      <c r="D1323">
        <v>2035</v>
      </c>
      <c r="E1323" t="s">
        <v>4</v>
      </c>
    </row>
    <row r="1324" spans="1:5" x14ac:dyDescent="0.2">
      <c r="A1324">
        <v>9</v>
      </c>
      <c r="B1324" t="s">
        <v>37</v>
      </c>
      <c r="C1324">
        <v>239.43</v>
      </c>
      <c r="D1324">
        <v>2035</v>
      </c>
      <c r="E1324" t="s">
        <v>4</v>
      </c>
    </row>
    <row r="1325" spans="1:5" x14ac:dyDescent="0.2">
      <c r="A1325">
        <v>10</v>
      </c>
      <c r="B1325" t="s">
        <v>37</v>
      </c>
      <c r="C1325">
        <v>239.45</v>
      </c>
      <c r="D1325">
        <v>2035</v>
      </c>
      <c r="E1325" t="s">
        <v>4</v>
      </c>
    </row>
    <row r="1326" spans="1:5" x14ac:dyDescent="0.2">
      <c r="A1326">
        <v>11</v>
      </c>
      <c r="B1326" t="s">
        <v>37</v>
      </c>
      <c r="C1326">
        <v>239.36</v>
      </c>
      <c r="D1326">
        <v>2035</v>
      </c>
      <c r="E1326" t="s">
        <v>4</v>
      </c>
    </row>
    <row r="1327" spans="1:5" x14ac:dyDescent="0.2">
      <c r="A1327">
        <v>12</v>
      </c>
      <c r="B1327" t="s">
        <v>37</v>
      </c>
      <c r="C1327">
        <v>239.74</v>
      </c>
      <c r="D1327">
        <v>2035</v>
      </c>
      <c r="E1327" t="s">
        <v>4</v>
      </c>
    </row>
    <row r="1328" spans="1:5" x14ac:dyDescent="0.2">
      <c r="A1328">
        <v>13</v>
      </c>
      <c r="B1328" t="s">
        <v>37</v>
      </c>
      <c r="C1328">
        <v>240.13</v>
      </c>
      <c r="D1328">
        <v>2035</v>
      </c>
      <c r="E1328" t="s">
        <v>4</v>
      </c>
    </row>
    <row r="1329" spans="1:5" x14ac:dyDescent="0.2">
      <c r="A1329">
        <v>14</v>
      </c>
      <c r="B1329" t="s">
        <v>37</v>
      </c>
      <c r="C1329">
        <v>239.09</v>
      </c>
      <c r="D1329">
        <v>2035</v>
      </c>
      <c r="E1329" t="s">
        <v>4</v>
      </c>
    </row>
    <row r="1330" spans="1:5" x14ac:dyDescent="0.2">
      <c r="A1330">
        <v>15</v>
      </c>
      <c r="B1330" t="s">
        <v>37</v>
      </c>
      <c r="C1330">
        <v>238.65</v>
      </c>
      <c r="D1330">
        <v>2035</v>
      </c>
      <c r="E1330" t="s">
        <v>4</v>
      </c>
    </row>
    <row r="1331" spans="1:5" x14ac:dyDescent="0.2">
      <c r="A1331">
        <v>16</v>
      </c>
      <c r="B1331" t="s">
        <v>37</v>
      </c>
      <c r="C1331">
        <v>236.07</v>
      </c>
      <c r="D1331">
        <v>2035</v>
      </c>
      <c r="E1331" t="s">
        <v>4</v>
      </c>
    </row>
    <row r="1332" spans="1:5" x14ac:dyDescent="0.2">
      <c r="A1332">
        <v>17</v>
      </c>
      <c r="B1332" t="s">
        <v>37</v>
      </c>
      <c r="C1332">
        <v>234.98</v>
      </c>
      <c r="D1332">
        <v>2035</v>
      </c>
      <c r="E1332" t="s">
        <v>4</v>
      </c>
    </row>
    <row r="1333" spans="1:5" x14ac:dyDescent="0.2">
      <c r="A1333">
        <v>18</v>
      </c>
      <c r="B1333" t="s">
        <v>37</v>
      </c>
      <c r="C1333">
        <v>240.05</v>
      </c>
      <c r="D1333">
        <v>2035</v>
      </c>
      <c r="E1333" t="s">
        <v>4</v>
      </c>
    </row>
    <row r="1334" spans="1:5" x14ac:dyDescent="0.2">
      <c r="A1334">
        <v>19</v>
      </c>
      <c r="B1334" t="s">
        <v>37</v>
      </c>
      <c r="C1334">
        <v>235.73</v>
      </c>
      <c r="D1334">
        <v>2035</v>
      </c>
      <c r="E1334" t="s">
        <v>4</v>
      </c>
    </row>
    <row r="1335" spans="1:5" x14ac:dyDescent="0.2">
      <c r="A1335">
        <v>20</v>
      </c>
      <c r="B1335" t="s">
        <v>37</v>
      </c>
      <c r="C1335">
        <v>230.73</v>
      </c>
      <c r="D1335">
        <v>2035</v>
      </c>
      <c r="E1335" t="s">
        <v>4</v>
      </c>
    </row>
    <row r="1336" spans="1:5" x14ac:dyDescent="0.2">
      <c r="A1336">
        <v>21</v>
      </c>
      <c r="B1336" t="s">
        <v>37</v>
      </c>
      <c r="C1336">
        <v>222.24</v>
      </c>
      <c r="D1336">
        <v>2035</v>
      </c>
      <c r="E1336" t="s">
        <v>4</v>
      </c>
    </row>
    <row r="1337" spans="1:5" x14ac:dyDescent="0.2">
      <c r="A1337">
        <v>22</v>
      </c>
      <c r="B1337" t="s">
        <v>37</v>
      </c>
      <c r="C1337">
        <v>216.4</v>
      </c>
      <c r="D1337">
        <v>2035</v>
      </c>
      <c r="E1337" t="s">
        <v>4</v>
      </c>
    </row>
    <row r="1338" spans="1:5" x14ac:dyDescent="0.2">
      <c r="A1338">
        <v>23</v>
      </c>
      <c r="B1338" t="s">
        <v>37</v>
      </c>
      <c r="C1338">
        <v>209.55</v>
      </c>
      <c r="D1338">
        <v>2035</v>
      </c>
      <c r="E1338" t="s">
        <v>4</v>
      </c>
    </row>
    <row r="1339" spans="1:5" x14ac:dyDescent="0.2">
      <c r="A1339">
        <v>24</v>
      </c>
      <c r="B1339" t="s">
        <v>37</v>
      </c>
      <c r="C1339">
        <v>277.51</v>
      </c>
      <c r="D1339">
        <v>2035</v>
      </c>
      <c r="E1339" t="s">
        <v>4</v>
      </c>
    </row>
    <row r="1340" spans="1:5" x14ac:dyDescent="0.2">
      <c r="A1340">
        <v>25</v>
      </c>
      <c r="B1340" t="s">
        <v>37</v>
      </c>
      <c r="C1340">
        <v>238.86</v>
      </c>
      <c r="D1340">
        <v>2035</v>
      </c>
      <c r="E1340" t="s">
        <v>4</v>
      </c>
    </row>
    <row r="1341" spans="1:5" x14ac:dyDescent="0.2">
      <c r="A1341">
        <v>26</v>
      </c>
      <c r="B1341" t="s">
        <v>37</v>
      </c>
      <c r="C1341">
        <v>215.39</v>
      </c>
      <c r="D1341">
        <v>2035</v>
      </c>
      <c r="E1341" t="s">
        <v>4</v>
      </c>
    </row>
    <row r="1342" spans="1:5" x14ac:dyDescent="0.2">
      <c r="A1342">
        <v>27</v>
      </c>
      <c r="B1342" t="s">
        <v>37</v>
      </c>
      <c r="C1342">
        <v>200</v>
      </c>
      <c r="D1342">
        <v>2035</v>
      </c>
      <c r="E1342" t="s">
        <v>4</v>
      </c>
    </row>
    <row r="1343" spans="1:5" x14ac:dyDescent="0.2">
      <c r="A1343">
        <v>28</v>
      </c>
      <c r="B1343" t="s">
        <v>37</v>
      </c>
      <c r="C1343">
        <v>202.31</v>
      </c>
      <c r="D1343">
        <v>2035</v>
      </c>
      <c r="E1343" t="s">
        <v>4</v>
      </c>
    </row>
    <row r="1344" spans="1:5" x14ac:dyDescent="0.2">
      <c r="A1344">
        <v>29</v>
      </c>
      <c r="B1344" t="s">
        <v>37</v>
      </c>
      <c r="C1344">
        <v>195.82</v>
      </c>
      <c r="D1344">
        <v>2035</v>
      </c>
      <c r="E1344" t="s">
        <v>4</v>
      </c>
    </row>
    <row r="1345" spans="1:5" x14ac:dyDescent="0.2">
      <c r="A1345">
        <v>30</v>
      </c>
      <c r="B1345" t="s">
        <v>37</v>
      </c>
      <c r="C1345">
        <v>205.76</v>
      </c>
      <c r="D1345">
        <v>2035</v>
      </c>
      <c r="E1345" t="s">
        <v>4</v>
      </c>
    </row>
    <row r="1346" spans="1:5" x14ac:dyDescent="0.2">
      <c r="A1346">
        <v>31</v>
      </c>
      <c r="B1346" t="s">
        <v>37</v>
      </c>
      <c r="C1346">
        <v>190.75</v>
      </c>
      <c r="D1346">
        <v>2035</v>
      </c>
      <c r="E1346" t="s">
        <v>4</v>
      </c>
    </row>
    <row r="1347" spans="1:5" x14ac:dyDescent="0.2">
      <c r="A1347">
        <v>32</v>
      </c>
      <c r="B1347" t="s">
        <v>37</v>
      </c>
      <c r="C1347">
        <v>187.99</v>
      </c>
      <c r="D1347">
        <v>2035</v>
      </c>
      <c r="E1347" t="s">
        <v>4</v>
      </c>
    </row>
    <row r="1348" spans="1:5" x14ac:dyDescent="0.2">
      <c r="A1348">
        <v>33</v>
      </c>
      <c r="B1348" t="s">
        <v>37</v>
      </c>
      <c r="C1348">
        <v>183.08</v>
      </c>
      <c r="D1348">
        <v>2035</v>
      </c>
      <c r="E1348" t="s">
        <v>4</v>
      </c>
    </row>
    <row r="1349" spans="1:5" x14ac:dyDescent="0.2">
      <c r="A1349">
        <v>34</v>
      </c>
      <c r="B1349" t="s">
        <v>37</v>
      </c>
      <c r="C1349">
        <v>176</v>
      </c>
      <c r="D1349">
        <v>2035</v>
      </c>
      <c r="E1349" t="s">
        <v>4</v>
      </c>
    </row>
    <row r="1350" spans="1:5" x14ac:dyDescent="0.2">
      <c r="A1350">
        <v>35</v>
      </c>
      <c r="B1350" t="s">
        <v>37</v>
      </c>
      <c r="C1350">
        <v>218.06</v>
      </c>
      <c r="D1350">
        <v>2035</v>
      </c>
      <c r="E1350" t="s">
        <v>4</v>
      </c>
    </row>
    <row r="1351" spans="1:5" x14ac:dyDescent="0.2">
      <c r="A1351">
        <v>36</v>
      </c>
      <c r="B1351" t="s">
        <v>37</v>
      </c>
      <c r="C1351">
        <v>202.9</v>
      </c>
      <c r="D1351">
        <v>2035</v>
      </c>
      <c r="E1351" t="s">
        <v>4</v>
      </c>
    </row>
    <row r="1352" spans="1:5" x14ac:dyDescent="0.2">
      <c r="A1352">
        <v>37</v>
      </c>
      <c r="B1352" t="s">
        <v>37</v>
      </c>
      <c r="C1352">
        <v>179.32</v>
      </c>
      <c r="D1352">
        <v>2035</v>
      </c>
      <c r="E1352" t="s">
        <v>4</v>
      </c>
    </row>
    <row r="1353" spans="1:5" x14ac:dyDescent="0.2">
      <c r="A1353">
        <v>38</v>
      </c>
      <c r="B1353" t="s">
        <v>37</v>
      </c>
      <c r="C1353">
        <v>191.5</v>
      </c>
      <c r="D1353">
        <v>2035</v>
      </c>
      <c r="E1353" t="s">
        <v>4</v>
      </c>
    </row>
    <row r="1354" spans="1:5" x14ac:dyDescent="0.2">
      <c r="A1354">
        <v>39</v>
      </c>
      <c r="B1354" t="s">
        <v>37</v>
      </c>
      <c r="C1354">
        <v>186.34</v>
      </c>
      <c r="D1354">
        <v>2035</v>
      </c>
      <c r="E1354" t="s">
        <v>4</v>
      </c>
    </row>
    <row r="1355" spans="1:5" x14ac:dyDescent="0.2">
      <c r="A1355">
        <v>40</v>
      </c>
      <c r="B1355" t="s">
        <v>37</v>
      </c>
      <c r="C1355">
        <v>201.15</v>
      </c>
      <c r="D1355">
        <v>2035</v>
      </c>
      <c r="E1355" t="s">
        <v>4</v>
      </c>
    </row>
    <row r="1356" spans="1:5" x14ac:dyDescent="0.2">
      <c r="A1356">
        <v>41</v>
      </c>
      <c r="B1356" t="s">
        <v>37</v>
      </c>
      <c r="C1356">
        <v>205.87</v>
      </c>
      <c r="D1356">
        <v>2035</v>
      </c>
      <c r="E1356" t="s">
        <v>4</v>
      </c>
    </row>
    <row r="1357" spans="1:5" x14ac:dyDescent="0.2">
      <c r="A1357">
        <v>42</v>
      </c>
      <c r="B1357" t="s">
        <v>37</v>
      </c>
      <c r="C1357">
        <v>200.21</v>
      </c>
      <c r="D1357">
        <v>2035</v>
      </c>
      <c r="E1357" t="s">
        <v>4</v>
      </c>
    </row>
    <row r="1358" spans="1:5" x14ac:dyDescent="0.2">
      <c r="A1358">
        <v>43</v>
      </c>
      <c r="B1358" t="s">
        <v>37</v>
      </c>
      <c r="C1358">
        <v>172.81</v>
      </c>
      <c r="D1358">
        <v>2035</v>
      </c>
      <c r="E1358" t="s">
        <v>4</v>
      </c>
    </row>
    <row r="1359" spans="1:5" x14ac:dyDescent="0.2">
      <c r="A1359">
        <v>44</v>
      </c>
      <c r="B1359" t="s">
        <v>37</v>
      </c>
      <c r="C1359">
        <v>177.04</v>
      </c>
      <c r="D1359">
        <v>2035</v>
      </c>
      <c r="E1359" t="s">
        <v>4</v>
      </c>
    </row>
    <row r="1360" spans="1:5" x14ac:dyDescent="0.2">
      <c r="A1360">
        <v>45</v>
      </c>
      <c r="B1360" t="s">
        <v>37</v>
      </c>
      <c r="C1360">
        <v>142.46</v>
      </c>
      <c r="D1360">
        <v>2035</v>
      </c>
      <c r="E1360" t="s">
        <v>4</v>
      </c>
    </row>
    <row r="1361" spans="1:5" x14ac:dyDescent="0.2">
      <c r="A1361">
        <v>46</v>
      </c>
      <c r="B1361" t="s">
        <v>37</v>
      </c>
      <c r="C1361">
        <v>130.94999999999999</v>
      </c>
      <c r="D1361">
        <v>2035</v>
      </c>
      <c r="E1361" t="s">
        <v>4</v>
      </c>
    </row>
    <row r="1362" spans="1:5" x14ac:dyDescent="0.2">
      <c r="A1362">
        <v>47</v>
      </c>
      <c r="B1362" t="s">
        <v>37</v>
      </c>
      <c r="C1362">
        <v>127.87</v>
      </c>
      <c r="D1362">
        <v>2035</v>
      </c>
      <c r="E1362" t="s">
        <v>4</v>
      </c>
    </row>
    <row r="1363" spans="1:5" x14ac:dyDescent="0.2">
      <c r="A1363">
        <v>48</v>
      </c>
      <c r="B1363" t="s">
        <v>37</v>
      </c>
      <c r="C1363">
        <v>127.13</v>
      </c>
      <c r="D1363">
        <v>2035</v>
      </c>
      <c r="E1363" t="s">
        <v>4</v>
      </c>
    </row>
    <row r="1364" spans="1:5" x14ac:dyDescent="0.2">
      <c r="A1364">
        <v>49</v>
      </c>
      <c r="B1364" t="s">
        <v>37</v>
      </c>
      <c r="C1364">
        <v>113.37</v>
      </c>
      <c r="D1364">
        <v>2035</v>
      </c>
      <c r="E1364" t="s">
        <v>4</v>
      </c>
    </row>
    <row r="1365" spans="1:5" x14ac:dyDescent="0.2">
      <c r="A1365">
        <v>50</v>
      </c>
      <c r="B1365" t="s">
        <v>37</v>
      </c>
      <c r="C1365">
        <v>135.69</v>
      </c>
      <c r="D1365">
        <v>2035</v>
      </c>
      <c r="E1365" t="s">
        <v>4</v>
      </c>
    </row>
    <row r="1366" spans="1:5" x14ac:dyDescent="0.2">
      <c r="A1366">
        <v>51</v>
      </c>
      <c r="B1366" t="s">
        <v>37</v>
      </c>
      <c r="C1366">
        <v>137.77000000000001</v>
      </c>
      <c r="D1366">
        <v>2035</v>
      </c>
      <c r="E1366" t="s">
        <v>4</v>
      </c>
    </row>
    <row r="1367" spans="1:5" x14ac:dyDescent="0.2">
      <c r="A1367">
        <v>52</v>
      </c>
      <c r="B1367" t="s">
        <v>37</v>
      </c>
      <c r="C1367">
        <v>119.04</v>
      </c>
      <c r="D1367">
        <v>2035</v>
      </c>
      <c r="E1367" t="s">
        <v>4</v>
      </c>
    </row>
    <row r="1368" spans="1:5" x14ac:dyDescent="0.2">
      <c r="A1368">
        <v>53</v>
      </c>
      <c r="B1368" t="s">
        <v>37</v>
      </c>
      <c r="C1368">
        <v>137.88</v>
      </c>
      <c r="D1368">
        <v>2035</v>
      </c>
      <c r="E1368" t="s">
        <v>4</v>
      </c>
    </row>
    <row r="1369" spans="1:5" x14ac:dyDescent="0.2">
      <c r="A1369">
        <v>54</v>
      </c>
      <c r="B1369" t="s">
        <v>37</v>
      </c>
      <c r="C1369">
        <v>115.98</v>
      </c>
      <c r="D1369">
        <v>2035</v>
      </c>
      <c r="E1369" t="s">
        <v>4</v>
      </c>
    </row>
    <row r="1370" spans="1:5" x14ac:dyDescent="0.2">
      <c r="A1370">
        <v>55</v>
      </c>
      <c r="B1370" t="s">
        <v>37</v>
      </c>
      <c r="C1370">
        <v>104.51</v>
      </c>
      <c r="D1370">
        <v>2035</v>
      </c>
      <c r="E1370" t="s">
        <v>4</v>
      </c>
    </row>
    <row r="1371" spans="1:5" x14ac:dyDescent="0.2">
      <c r="A1371">
        <v>56</v>
      </c>
      <c r="B1371" t="s">
        <v>37</v>
      </c>
      <c r="C1371">
        <v>111.6</v>
      </c>
      <c r="D1371">
        <v>2035</v>
      </c>
      <c r="E1371" t="s">
        <v>4</v>
      </c>
    </row>
    <row r="1372" spans="1:5" x14ac:dyDescent="0.2">
      <c r="A1372">
        <v>57</v>
      </c>
      <c r="B1372" t="s">
        <v>37</v>
      </c>
      <c r="C1372">
        <v>100.57</v>
      </c>
      <c r="D1372">
        <v>2035</v>
      </c>
      <c r="E1372" t="s">
        <v>4</v>
      </c>
    </row>
    <row r="1373" spans="1:5" x14ac:dyDescent="0.2">
      <c r="A1373">
        <v>58</v>
      </c>
      <c r="B1373" t="s">
        <v>37</v>
      </c>
      <c r="C1373">
        <v>90.47</v>
      </c>
      <c r="D1373">
        <v>2035</v>
      </c>
      <c r="E1373" t="s">
        <v>4</v>
      </c>
    </row>
    <row r="1374" spans="1:5" x14ac:dyDescent="0.2">
      <c r="A1374">
        <v>59</v>
      </c>
      <c r="B1374" t="s">
        <v>37</v>
      </c>
      <c r="C1374">
        <v>80.400000000000006</v>
      </c>
      <c r="D1374">
        <v>2035</v>
      </c>
      <c r="E1374" t="s">
        <v>4</v>
      </c>
    </row>
    <row r="1375" spans="1:5" x14ac:dyDescent="0.2">
      <c r="A1375">
        <v>60</v>
      </c>
      <c r="B1375" t="s">
        <v>37</v>
      </c>
      <c r="C1375">
        <v>72.78</v>
      </c>
      <c r="D1375">
        <v>2035</v>
      </c>
      <c r="E1375" t="s">
        <v>4</v>
      </c>
    </row>
    <row r="1376" spans="1:5" x14ac:dyDescent="0.2">
      <c r="A1376">
        <v>61</v>
      </c>
      <c r="B1376" t="s">
        <v>37</v>
      </c>
      <c r="C1376">
        <v>82.84</v>
      </c>
      <c r="D1376">
        <v>2035</v>
      </c>
      <c r="E1376" t="s">
        <v>4</v>
      </c>
    </row>
    <row r="1377" spans="1:5" x14ac:dyDescent="0.2">
      <c r="A1377">
        <v>62</v>
      </c>
      <c r="B1377" t="s">
        <v>37</v>
      </c>
      <c r="C1377">
        <v>86.47</v>
      </c>
      <c r="D1377">
        <v>2035</v>
      </c>
      <c r="E1377" t="s">
        <v>4</v>
      </c>
    </row>
    <row r="1378" spans="1:5" x14ac:dyDescent="0.2">
      <c r="A1378">
        <v>63</v>
      </c>
      <c r="B1378" t="s">
        <v>37</v>
      </c>
      <c r="C1378">
        <v>70.19</v>
      </c>
      <c r="D1378">
        <v>2035</v>
      </c>
      <c r="E1378" t="s">
        <v>4</v>
      </c>
    </row>
    <row r="1379" spans="1:5" x14ac:dyDescent="0.2">
      <c r="A1379">
        <v>64</v>
      </c>
      <c r="B1379" t="s">
        <v>37</v>
      </c>
      <c r="C1379">
        <v>73.760000000000005</v>
      </c>
      <c r="D1379">
        <v>2035</v>
      </c>
      <c r="E1379" t="s">
        <v>4</v>
      </c>
    </row>
    <row r="1380" spans="1:5" x14ac:dyDescent="0.2">
      <c r="A1380">
        <v>65</v>
      </c>
      <c r="B1380" t="s">
        <v>37</v>
      </c>
      <c r="C1380">
        <v>61.4</v>
      </c>
      <c r="D1380">
        <v>2035</v>
      </c>
      <c r="E1380" t="s">
        <v>4</v>
      </c>
    </row>
    <row r="1381" spans="1:5" x14ac:dyDescent="0.2">
      <c r="A1381">
        <v>66</v>
      </c>
      <c r="B1381" t="s">
        <v>37</v>
      </c>
      <c r="C1381">
        <v>61.86</v>
      </c>
      <c r="D1381">
        <v>2035</v>
      </c>
      <c r="E1381" t="s">
        <v>4</v>
      </c>
    </row>
    <row r="1382" spans="1:5" x14ac:dyDescent="0.2">
      <c r="A1382">
        <v>67</v>
      </c>
      <c r="B1382" t="s">
        <v>37</v>
      </c>
      <c r="C1382">
        <v>59.52</v>
      </c>
      <c r="D1382">
        <v>2035</v>
      </c>
      <c r="E1382" t="s">
        <v>4</v>
      </c>
    </row>
    <row r="1383" spans="1:5" x14ac:dyDescent="0.2">
      <c r="A1383">
        <v>68</v>
      </c>
      <c r="B1383" t="s">
        <v>37</v>
      </c>
      <c r="C1383">
        <v>62.55</v>
      </c>
      <c r="D1383">
        <v>2035</v>
      </c>
      <c r="E1383" t="s">
        <v>4</v>
      </c>
    </row>
    <row r="1384" spans="1:5" x14ac:dyDescent="0.2">
      <c r="A1384">
        <v>69</v>
      </c>
      <c r="B1384" t="s">
        <v>37</v>
      </c>
      <c r="C1384">
        <v>54.77</v>
      </c>
      <c r="D1384">
        <v>2035</v>
      </c>
      <c r="E1384" t="s">
        <v>4</v>
      </c>
    </row>
    <row r="1385" spans="1:5" x14ac:dyDescent="0.2">
      <c r="A1385">
        <v>70</v>
      </c>
      <c r="B1385" t="s">
        <v>37</v>
      </c>
      <c r="C1385">
        <v>64.58</v>
      </c>
      <c r="D1385">
        <v>2035</v>
      </c>
      <c r="E1385" t="s">
        <v>4</v>
      </c>
    </row>
    <row r="1386" spans="1:5" x14ac:dyDescent="0.2">
      <c r="A1386">
        <v>71</v>
      </c>
      <c r="B1386" t="s">
        <v>37</v>
      </c>
      <c r="C1386">
        <v>57.27</v>
      </c>
      <c r="D1386">
        <v>2035</v>
      </c>
      <c r="E1386" t="s">
        <v>4</v>
      </c>
    </row>
    <row r="1387" spans="1:5" x14ac:dyDescent="0.2">
      <c r="A1387">
        <v>72</v>
      </c>
      <c r="B1387" t="s">
        <v>37</v>
      </c>
      <c r="C1387">
        <v>52.4</v>
      </c>
      <c r="D1387">
        <v>2035</v>
      </c>
      <c r="E1387" t="s">
        <v>4</v>
      </c>
    </row>
    <row r="1388" spans="1:5" x14ac:dyDescent="0.2">
      <c r="A1388">
        <v>73</v>
      </c>
      <c r="B1388" t="s">
        <v>37</v>
      </c>
      <c r="C1388">
        <v>46.26</v>
      </c>
      <c r="D1388">
        <v>2035</v>
      </c>
      <c r="E1388" t="s">
        <v>4</v>
      </c>
    </row>
    <row r="1389" spans="1:5" x14ac:dyDescent="0.2">
      <c r="A1389">
        <v>74</v>
      </c>
      <c r="B1389" t="s">
        <v>37</v>
      </c>
      <c r="C1389">
        <v>44.69</v>
      </c>
      <c r="D1389">
        <v>2035</v>
      </c>
      <c r="E1389" t="s">
        <v>4</v>
      </c>
    </row>
    <row r="1390" spans="1:5" x14ac:dyDescent="0.2">
      <c r="A1390">
        <v>75</v>
      </c>
      <c r="B1390" t="s">
        <v>37</v>
      </c>
      <c r="C1390">
        <v>41.27</v>
      </c>
      <c r="D1390">
        <v>2035</v>
      </c>
      <c r="E1390" t="s">
        <v>4</v>
      </c>
    </row>
    <row r="1391" spans="1:5" x14ac:dyDescent="0.2">
      <c r="A1391">
        <v>76</v>
      </c>
      <c r="B1391" t="s">
        <v>37</v>
      </c>
      <c r="C1391">
        <v>38.53</v>
      </c>
      <c r="D1391">
        <v>2035</v>
      </c>
      <c r="E1391" t="s">
        <v>4</v>
      </c>
    </row>
    <row r="1392" spans="1:5" x14ac:dyDescent="0.2">
      <c r="A1392">
        <v>77</v>
      </c>
      <c r="B1392" t="s">
        <v>37</v>
      </c>
      <c r="C1392">
        <v>34.409999999999997</v>
      </c>
      <c r="D1392">
        <v>2035</v>
      </c>
      <c r="E1392" t="s">
        <v>4</v>
      </c>
    </row>
    <row r="1393" spans="1:5" x14ac:dyDescent="0.2">
      <c r="A1393">
        <v>78</v>
      </c>
      <c r="B1393" t="s">
        <v>37</v>
      </c>
      <c r="C1393">
        <v>30.4</v>
      </c>
      <c r="D1393">
        <v>2035</v>
      </c>
      <c r="E1393" t="s">
        <v>4</v>
      </c>
    </row>
    <row r="1394" spans="1:5" x14ac:dyDescent="0.2">
      <c r="A1394">
        <v>79</v>
      </c>
      <c r="B1394" t="s">
        <v>37</v>
      </c>
      <c r="C1394">
        <v>24.38</v>
      </c>
      <c r="D1394">
        <v>2035</v>
      </c>
      <c r="E1394" t="s">
        <v>4</v>
      </c>
    </row>
    <row r="1395" spans="1:5" x14ac:dyDescent="0.2">
      <c r="A1395">
        <v>80</v>
      </c>
      <c r="B1395" t="s">
        <v>37</v>
      </c>
      <c r="C1395">
        <v>22.33</v>
      </c>
      <c r="D1395">
        <v>2035</v>
      </c>
      <c r="E1395" t="s">
        <v>4</v>
      </c>
    </row>
    <row r="1396" spans="1:5" x14ac:dyDescent="0.2">
      <c r="A1396">
        <v>81</v>
      </c>
      <c r="B1396" t="s">
        <v>37</v>
      </c>
      <c r="C1396">
        <v>22.51</v>
      </c>
      <c r="D1396">
        <v>2035</v>
      </c>
      <c r="E1396" t="s">
        <v>4</v>
      </c>
    </row>
    <row r="1397" spans="1:5" x14ac:dyDescent="0.2">
      <c r="A1397">
        <v>82</v>
      </c>
      <c r="B1397" t="s">
        <v>37</v>
      </c>
      <c r="C1397">
        <v>20.79</v>
      </c>
      <c r="D1397">
        <v>2035</v>
      </c>
      <c r="E1397" t="s">
        <v>4</v>
      </c>
    </row>
    <row r="1398" spans="1:5" x14ac:dyDescent="0.2">
      <c r="A1398">
        <v>83</v>
      </c>
      <c r="B1398" t="s">
        <v>37</v>
      </c>
      <c r="C1398">
        <v>18.3</v>
      </c>
      <c r="D1398">
        <v>2035</v>
      </c>
      <c r="E1398" t="s">
        <v>4</v>
      </c>
    </row>
    <row r="1399" spans="1:5" x14ac:dyDescent="0.2">
      <c r="A1399">
        <v>84</v>
      </c>
      <c r="B1399" t="s">
        <v>37</v>
      </c>
      <c r="C1399">
        <v>15.89</v>
      </c>
      <c r="D1399">
        <v>2035</v>
      </c>
      <c r="E1399" t="s">
        <v>4</v>
      </c>
    </row>
    <row r="1400" spans="1:5" x14ac:dyDescent="0.2">
      <c r="A1400">
        <v>85</v>
      </c>
      <c r="B1400" t="s">
        <v>37</v>
      </c>
      <c r="C1400">
        <v>16.100000000000001</v>
      </c>
      <c r="D1400">
        <v>2035</v>
      </c>
      <c r="E1400" t="s">
        <v>4</v>
      </c>
    </row>
    <row r="1401" spans="1:5" x14ac:dyDescent="0.2">
      <c r="A1401">
        <v>86</v>
      </c>
      <c r="B1401" t="s">
        <v>37</v>
      </c>
      <c r="C1401">
        <v>12.11</v>
      </c>
      <c r="D1401">
        <v>2035</v>
      </c>
      <c r="E1401" t="s">
        <v>4</v>
      </c>
    </row>
    <row r="1402" spans="1:5" x14ac:dyDescent="0.2">
      <c r="A1402">
        <v>87</v>
      </c>
      <c r="B1402" t="s">
        <v>37</v>
      </c>
      <c r="C1402">
        <v>11.33</v>
      </c>
      <c r="D1402">
        <v>2035</v>
      </c>
      <c r="E1402" t="s">
        <v>4</v>
      </c>
    </row>
    <row r="1403" spans="1:5" x14ac:dyDescent="0.2">
      <c r="A1403">
        <v>88</v>
      </c>
      <c r="B1403" t="s">
        <v>37</v>
      </c>
      <c r="C1403">
        <v>10.48</v>
      </c>
      <c r="D1403">
        <v>2035</v>
      </c>
      <c r="E1403" t="s">
        <v>4</v>
      </c>
    </row>
    <row r="1404" spans="1:5" x14ac:dyDescent="0.2">
      <c r="A1404">
        <v>89</v>
      </c>
      <c r="B1404" t="s">
        <v>37</v>
      </c>
      <c r="C1404">
        <v>7.73</v>
      </c>
      <c r="D1404">
        <v>2035</v>
      </c>
      <c r="E1404" t="s">
        <v>4</v>
      </c>
    </row>
    <row r="1405" spans="1:5" x14ac:dyDescent="0.2">
      <c r="A1405">
        <v>90</v>
      </c>
      <c r="B1405" t="s">
        <v>37</v>
      </c>
      <c r="C1405">
        <v>7.11</v>
      </c>
      <c r="D1405">
        <v>2035</v>
      </c>
      <c r="E1405" t="s">
        <v>4</v>
      </c>
    </row>
    <row r="1406" spans="1:5" x14ac:dyDescent="0.2">
      <c r="A1406">
        <v>91</v>
      </c>
      <c r="B1406" t="s">
        <v>37</v>
      </c>
      <c r="C1406">
        <v>8.5</v>
      </c>
      <c r="D1406">
        <v>2035</v>
      </c>
      <c r="E1406" t="s">
        <v>4</v>
      </c>
    </row>
    <row r="1407" spans="1:5" x14ac:dyDescent="0.2">
      <c r="A1407">
        <v>92</v>
      </c>
      <c r="B1407" t="s">
        <v>37</v>
      </c>
      <c r="C1407">
        <v>9.99</v>
      </c>
      <c r="D1407">
        <v>2035</v>
      </c>
      <c r="E1407" t="s">
        <v>4</v>
      </c>
    </row>
    <row r="1408" spans="1:5" x14ac:dyDescent="0.2">
      <c r="A1408">
        <v>93</v>
      </c>
      <c r="B1408" t="s">
        <v>37</v>
      </c>
      <c r="C1408">
        <v>7.32</v>
      </c>
      <c r="D1408">
        <v>2035</v>
      </c>
      <c r="E1408" t="s">
        <v>4</v>
      </c>
    </row>
    <row r="1409" spans="1:5" x14ac:dyDescent="0.2">
      <c r="A1409">
        <v>94</v>
      </c>
      <c r="B1409" t="s">
        <v>37</v>
      </c>
      <c r="C1409">
        <v>4.91</v>
      </c>
      <c r="D1409">
        <v>2035</v>
      </c>
      <c r="E1409" t="s">
        <v>4</v>
      </c>
    </row>
    <row r="1410" spans="1:5" x14ac:dyDescent="0.2">
      <c r="A1410">
        <v>95</v>
      </c>
      <c r="B1410" t="s">
        <v>37</v>
      </c>
      <c r="C1410">
        <v>5.58</v>
      </c>
      <c r="D1410">
        <v>2035</v>
      </c>
      <c r="E1410" t="s">
        <v>4</v>
      </c>
    </row>
    <row r="1411" spans="1:5" x14ac:dyDescent="0.2">
      <c r="A1411">
        <v>96</v>
      </c>
      <c r="B1411" t="s">
        <v>37</v>
      </c>
      <c r="C1411">
        <v>5.2</v>
      </c>
      <c r="D1411">
        <v>2035</v>
      </c>
      <c r="E1411" t="s">
        <v>4</v>
      </c>
    </row>
    <row r="1412" spans="1:5" x14ac:dyDescent="0.2">
      <c r="A1412">
        <v>97</v>
      </c>
      <c r="B1412" t="s">
        <v>37</v>
      </c>
      <c r="C1412">
        <v>4.8600000000000003</v>
      </c>
      <c r="D1412">
        <v>2035</v>
      </c>
      <c r="E1412" t="s">
        <v>4</v>
      </c>
    </row>
    <row r="1413" spans="1:5" x14ac:dyDescent="0.2">
      <c r="A1413">
        <v>98</v>
      </c>
      <c r="B1413" t="s">
        <v>37</v>
      </c>
      <c r="C1413">
        <v>5.01</v>
      </c>
      <c r="D1413">
        <v>2035</v>
      </c>
      <c r="E1413" t="s">
        <v>4</v>
      </c>
    </row>
    <row r="1414" spans="1:5" x14ac:dyDescent="0.2">
      <c r="A1414">
        <v>99</v>
      </c>
      <c r="B1414" t="s">
        <v>37</v>
      </c>
      <c r="C1414">
        <v>3.52</v>
      </c>
      <c r="D1414">
        <v>2035</v>
      </c>
      <c r="E1414" t="s">
        <v>4</v>
      </c>
    </row>
    <row r="1415" spans="1:5" x14ac:dyDescent="0.2">
      <c r="A1415">
        <v>100</v>
      </c>
      <c r="B1415" t="s">
        <v>37</v>
      </c>
      <c r="C1415">
        <v>3.66</v>
      </c>
      <c r="D1415">
        <v>2035</v>
      </c>
      <c r="E1415" t="s">
        <v>4</v>
      </c>
    </row>
    <row r="2022" spans="3:3" x14ac:dyDescent="0.2">
      <c r="C2022" s="19"/>
    </row>
    <row r="2023" spans="3:3" x14ac:dyDescent="0.2">
      <c r="C2023" s="19"/>
    </row>
    <row r="2024" spans="3:3" x14ac:dyDescent="0.2">
      <c r="C2024" s="19"/>
    </row>
    <row r="2025" spans="3:3" x14ac:dyDescent="0.2">
      <c r="C2025" s="19"/>
    </row>
    <row r="2026" spans="3:3" x14ac:dyDescent="0.2">
      <c r="C2026" s="19"/>
    </row>
    <row r="2027" spans="3:3" x14ac:dyDescent="0.2">
      <c r="C2027" s="19"/>
    </row>
    <row r="2028" spans="3:3" x14ac:dyDescent="0.2">
      <c r="C2028" s="19"/>
    </row>
    <row r="2029" spans="3:3" x14ac:dyDescent="0.2">
      <c r="C2029" s="19"/>
    </row>
    <row r="2030" spans="3:3" x14ac:dyDescent="0.2">
      <c r="C2030" s="19"/>
    </row>
    <row r="2123" spans="3:3" x14ac:dyDescent="0.2">
      <c r="C2123" s="19"/>
    </row>
    <row r="2124" spans="3:3" x14ac:dyDescent="0.2">
      <c r="C2124" s="19"/>
    </row>
    <row r="2125" spans="3:3" x14ac:dyDescent="0.2">
      <c r="C2125" s="19"/>
    </row>
    <row r="2126" spans="3:3" x14ac:dyDescent="0.2">
      <c r="C2126" s="19"/>
    </row>
    <row r="2127" spans="3:3" x14ac:dyDescent="0.2">
      <c r="C2127" s="19"/>
    </row>
    <row r="2128" spans="3:3" x14ac:dyDescent="0.2">
      <c r="C2128" s="19"/>
    </row>
    <row r="2129" spans="3:3" x14ac:dyDescent="0.2">
      <c r="C2129" s="19"/>
    </row>
    <row r="2130" spans="3:3" x14ac:dyDescent="0.2">
      <c r="C2130" s="19"/>
    </row>
    <row r="2131" spans="3:3" x14ac:dyDescent="0.2">
      <c r="C2131" s="19"/>
    </row>
    <row r="3216" spans="3:3" x14ac:dyDescent="0.2">
      <c r="C3216" s="19"/>
    </row>
    <row r="3567" spans="3:3" x14ac:dyDescent="0.2">
      <c r="C3567" s="19"/>
    </row>
    <row r="3572" spans="3:3" x14ac:dyDescent="0.2">
      <c r="C3572" s="19"/>
    </row>
    <row r="3574" spans="3:3" x14ac:dyDescent="0.2">
      <c r="C3574" s="19"/>
    </row>
    <row r="10832" spans="3:3" x14ac:dyDescent="0.2">
      <c r="C10832" s="19"/>
    </row>
    <row r="11260" spans="3:3" x14ac:dyDescent="0.2">
      <c r="C11260" s="19"/>
    </row>
    <row r="11264" spans="3:3" x14ac:dyDescent="0.2">
      <c r="C11264" s="19"/>
    </row>
    <row r="15075" spans="3:3" x14ac:dyDescent="0.2">
      <c r="C15075" s="19"/>
    </row>
    <row r="18755" spans="3:3" x14ac:dyDescent="0.2">
      <c r="C18755" s="19"/>
    </row>
    <row r="18756" spans="3:3" x14ac:dyDescent="0.2">
      <c r="C18756" s="19"/>
    </row>
    <row r="18758" spans="3:3" x14ac:dyDescent="0.2">
      <c r="C18758" s="19"/>
    </row>
    <row r="19204" spans="3:3" x14ac:dyDescent="0.2">
      <c r="C19204" s="19"/>
    </row>
    <row r="19206" spans="3:3" x14ac:dyDescent="0.2">
      <c r="C19206" s="19"/>
    </row>
    <row r="19213" spans="3:3" x14ac:dyDescent="0.2">
      <c r="C19213" s="19"/>
    </row>
    <row r="19214" spans="3:3" x14ac:dyDescent="0.2">
      <c r="C19214" s="19"/>
    </row>
    <row r="19215" spans="3:3" x14ac:dyDescent="0.2">
      <c r="C19215" s="19"/>
    </row>
    <row r="19303" spans="3:3" x14ac:dyDescent="0.2">
      <c r="C19303" s="19"/>
    </row>
    <row r="19304" spans="3:3" x14ac:dyDescent="0.2">
      <c r="C19304" s="19"/>
    </row>
    <row r="19305" spans="3:3" x14ac:dyDescent="0.2">
      <c r="C19305" s="19"/>
    </row>
    <row r="19306" spans="3:3" x14ac:dyDescent="0.2">
      <c r="C19306" s="19"/>
    </row>
    <row r="19307" spans="3:3" x14ac:dyDescent="0.2">
      <c r="C19307" s="19"/>
    </row>
    <row r="19315" spans="3:3" x14ac:dyDescent="0.2">
      <c r="C19315" s="19"/>
    </row>
    <row r="24791" spans="3:3" x14ac:dyDescent="0.2">
      <c r="C24791" s="19"/>
    </row>
    <row r="30628" spans="3:3" x14ac:dyDescent="0.2">
      <c r="C30628" s="19"/>
    </row>
    <row r="34871" spans="3:3" x14ac:dyDescent="0.2">
      <c r="C34871" s="19"/>
    </row>
    <row r="36160" spans="3:3" x14ac:dyDescent="0.2">
      <c r="C36160" s="19"/>
    </row>
    <row r="36161" spans="3:3" x14ac:dyDescent="0.2">
      <c r="C36161" s="19"/>
    </row>
    <row r="36162" spans="3:3" x14ac:dyDescent="0.2">
      <c r="C36162" s="19"/>
    </row>
    <row r="36163" spans="3:3" x14ac:dyDescent="0.2">
      <c r="C36163" s="19"/>
    </row>
    <row r="36164" spans="3:3" x14ac:dyDescent="0.2">
      <c r="C36164" s="19"/>
    </row>
    <row r="36165" spans="3:3" x14ac:dyDescent="0.2">
      <c r="C36165" s="19"/>
    </row>
    <row r="36166" spans="3:3" x14ac:dyDescent="0.2">
      <c r="C36166" s="19"/>
    </row>
    <row r="36167" spans="3:3" x14ac:dyDescent="0.2">
      <c r="C36167" s="19"/>
    </row>
    <row r="36168" spans="3:3" x14ac:dyDescent="0.2">
      <c r="C36168" s="19"/>
    </row>
    <row r="36169" spans="3:3" x14ac:dyDescent="0.2">
      <c r="C36169" s="19"/>
    </row>
    <row r="36170" spans="3:3" x14ac:dyDescent="0.2">
      <c r="C36170" s="19"/>
    </row>
    <row r="36171" spans="3:3" x14ac:dyDescent="0.2">
      <c r="C36171" s="19"/>
    </row>
    <row r="36172" spans="3:3" x14ac:dyDescent="0.2">
      <c r="C36172" s="19"/>
    </row>
    <row r="36173" spans="3:3" x14ac:dyDescent="0.2">
      <c r="C36173" s="19"/>
    </row>
    <row r="36174" spans="3:3" x14ac:dyDescent="0.2">
      <c r="C36174" s="19"/>
    </row>
    <row r="36175" spans="3:3" x14ac:dyDescent="0.2">
      <c r="C36175" s="19"/>
    </row>
    <row r="36176" spans="3:3" x14ac:dyDescent="0.2">
      <c r="C36176" s="19"/>
    </row>
    <row r="36177" spans="3:3" x14ac:dyDescent="0.2">
      <c r="C36177" s="19"/>
    </row>
    <row r="36178" spans="3:3" x14ac:dyDescent="0.2">
      <c r="C36178" s="19"/>
    </row>
    <row r="36179" spans="3:3" x14ac:dyDescent="0.2">
      <c r="C36179" s="19"/>
    </row>
    <row r="36180" spans="3:3" x14ac:dyDescent="0.2">
      <c r="C36180" s="19"/>
    </row>
    <row r="36181" spans="3:3" x14ac:dyDescent="0.2">
      <c r="C36181" s="19"/>
    </row>
    <row r="36182" spans="3:3" x14ac:dyDescent="0.2">
      <c r="C36182" s="19"/>
    </row>
    <row r="36183" spans="3:3" x14ac:dyDescent="0.2">
      <c r="C36183" s="19"/>
    </row>
    <row r="36261" spans="3:3" x14ac:dyDescent="0.2">
      <c r="C36261" s="19"/>
    </row>
    <row r="36262" spans="3:3" x14ac:dyDescent="0.2">
      <c r="C36262" s="19"/>
    </row>
    <row r="36263" spans="3:3" x14ac:dyDescent="0.2">
      <c r="C36263" s="19"/>
    </row>
    <row r="36264" spans="3:3" x14ac:dyDescent="0.2">
      <c r="C36264" s="19"/>
    </row>
    <row r="36265" spans="3:3" x14ac:dyDescent="0.2">
      <c r="C36265" s="19"/>
    </row>
    <row r="36266" spans="3:3" x14ac:dyDescent="0.2">
      <c r="C36266" s="19"/>
    </row>
    <row r="36267" spans="3:3" x14ac:dyDescent="0.2">
      <c r="C36267" s="19"/>
    </row>
    <row r="36268" spans="3:3" x14ac:dyDescent="0.2">
      <c r="C36268" s="19"/>
    </row>
    <row r="36269" spans="3:3" x14ac:dyDescent="0.2">
      <c r="C36269" s="19"/>
    </row>
    <row r="36274" spans="3:3" x14ac:dyDescent="0.2">
      <c r="C36274" s="19"/>
    </row>
    <row r="36275" spans="3:3" x14ac:dyDescent="0.2">
      <c r="C36275" s="19"/>
    </row>
    <row r="36276" spans="3:3" x14ac:dyDescent="0.2">
      <c r="C36276" s="19"/>
    </row>
    <row r="36278" spans="3:3" x14ac:dyDescent="0.2">
      <c r="C36278" s="19"/>
    </row>
    <row r="36280" spans="3:3" x14ac:dyDescent="0.2">
      <c r="C36280" s="19"/>
    </row>
    <row r="36281" spans="3:3" x14ac:dyDescent="0.2">
      <c r="C36281" s="19"/>
    </row>
    <row r="44644" spans="3:3" x14ac:dyDescent="0.2">
      <c r="C44644" s="19"/>
    </row>
    <row r="44645" spans="3:3" x14ac:dyDescent="0.2">
      <c r="C44645" s="19"/>
    </row>
    <row r="44646" spans="3:3" x14ac:dyDescent="0.2">
      <c r="C44646" s="19"/>
    </row>
    <row r="44647" spans="3:3" x14ac:dyDescent="0.2">
      <c r="C44647" s="19"/>
    </row>
    <row r="44648" spans="3:3" x14ac:dyDescent="0.2">
      <c r="C44648" s="19"/>
    </row>
    <row r="44649" spans="3:3" x14ac:dyDescent="0.2">
      <c r="C44649" s="19"/>
    </row>
    <row r="44650" spans="3:3" x14ac:dyDescent="0.2">
      <c r="C44650" s="19"/>
    </row>
    <row r="44651" spans="3:3" x14ac:dyDescent="0.2">
      <c r="C44651" s="19"/>
    </row>
    <row r="44652" spans="3:3" x14ac:dyDescent="0.2">
      <c r="C44652" s="19"/>
    </row>
    <row r="44653" spans="3:3" x14ac:dyDescent="0.2">
      <c r="C44653" s="19"/>
    </row>
    <row r="44654" spans="3:3" x14ac:dyDescent="0.2">
      <c r="C44654" s="19"/>
    </row>
    <row r="44655" spans="3:3" x14ac:dyDescent="0.2">
      <c r="C44655" s="19"/>
    </row>
    <row r="44656" spans="3:3" x14ac:dyDescent="0.2">
      <c r="C44656" s="19"/>
    </row>
    <row r="44657" spans="3:3" x14ac:dyDescent="0.2">
      <c r="C44657" s="19"/>
    </row>
    <row r="44658" spans="3:3" x14ac:dyDescent="0.2">
      <c r="C44658" s="19"/>
    </row>
    <row r="44659" spans="3:3" x14ac:dyDescent="0.2">
      <c r="C44659" s="19"/>
    </row>
    <row r="44660" spans="3:3" x14ac:dyDescent="0.2">
      <c r="C44660" s="19"/>
    </row>
    <row r="44661" spans="3:3" x14ac:dyDescent="0.2">
      <c r="C44661" s="19"/>
    </row>
    <row r="44662" spans="3:3" x14ac:dyDescent="0.2">
      <c r="C44662" s="19"/>
    </row>
    <row r="44663" spans="3:3" x14ac:dyDescent="0.2">
      <c r="C44663" s="19"/>
    </row>
    <row r="44664" spans="3:3" x14ac:dyDescent="0.2">
      <c r="C44664" s="19"/>
    </row>
    <row r="44665" spans="3:3" x14ac:dyDescent="0.2">
      <c r="C44665" s="19"/>
    </row>
    <row r="44666" spans="3:3" x14ac:dyDescent="0.2">
      <c r="C44666" s="19"/>
    </row>
    <row r="44667" spans="3:3" x14ac:dyDescent="0.2">
      <c r="C44667" s="19"/>
    </row>
    <row r="44745" spans="3:3" x14ac:dyDescent="0.2">
      <c r="C44745" s="19"/>
    </row>
    <row r="44746" spans="3:3" x14ac:dyDescent="0.2">
      <c r="C44746" s="19"/>
    </row>
    <row r="44747" spans="3:3" x14ac:dyDescent="0.2">
      <c r="C44747" s="19"/>
    </row>
    <row r="44748" spans="3:3" x14ac:dyDescent="0.2">
      <c r="C44748" s="19"/>
    </row>
    <row r="44749" spans="3:3" x14ac:dyDescent="0.2">
      <c r="C44749" s="19"/>
    </row>
    <row r="44750" spans="3:3" x14ac:dyDescent="0.2">
      <c r="C44750" s="19"/>
    </row>
    <row r="44751" spans="3:3" x14ac:dyDescent="0.2">
      <c r="C44751" s="19"/>
    </row>
    <row r="44752" spans="3:3" x14ac:dyDescent="0.2">
      <c r="C44752" s="19"/>
    </row>
    <row r="44753" spans="3:3" x14ac:dyDescent="0.2">
      <c r="C44753" s="19"/>
    </row>
    <row r="44754" spans="3:3" x14ac:dyDescent="0.2">
      <c r="C44754" s="19"/>
    </row>
    <row r="44755" spans="3:3" x14ac:dyDescent="0.2">
      <c r="C44755" s="19"/>
    </row>
    <row r="44756" spans="3:3" x14ac:dyDescent="0.2">
      <c r="C44756" s="19"/>
    </row>
    <row r="44757" spans="3:3" x14ac:dyDescent="0.2">
      <c r="C44757" s="19"/>
    </row>
    <row r="44758" spans="3:3" x14ac:dyDescent="0.2">
      <c r="C44758" s="19"/>
    </row>
    <row r="44759" spans="3:3" x14ac:dyDescent="0.2">
      <c r="C44759" s="19"/>
    </row>
    <row r="44760" spans="3:3" x14ac:dyDescent="0.2">
      <c r="C44760" s="19"/>
    </row>
    <row r="44761" spans="3:3" x14ac:dyDescent="0.2">
      <c r="C44761" s="19"/>
    </row>
    <row r="44762" spans="3:3" x14ac:dyDescent="0.2">
      <c r="C44762" s="19"/>
    </row>
    <row r="44763" spans="3:3" x14ac:dyDescent="0.2">
      <c r="C44763" s="19"/>
    </row>
    <row r="55547" spans="3:3" x14ac:dyDescent="0.2">
      <c r="C55547" s="19"/>
    </row>
    <row r="55993" spans="3:3" x14ac:dyDescent="0.2">
      <c r="C55993" s="19"/>
    </row>
    <row r="56093" spans="3:3" x14ac:dyDescent="0.2">
      <c r="C56093" s="19"/>
    </row>
    <row r="58376" spans="3:3" x14ac:dyDescent="0.2">
      <c r="C58376" s="19"/>
    </row>
    <row r="58831" spans="3:3" x14ac:dyDescent="0.2">
      <c r="C58831" s="19"/>
    </row>
    <row r="61761" spans="3:3" x14ac:dyDescent="0.2">
      <c r="C61761" s="19"/>
    </row>
    <row r="64240" spans="3:3" x14ac:dyDescent="0.2">
      <c r="C64240" s="19"/>
    </row>
    <row r="64241" spans="3:3" x14ac:dyDescent="0.2">
      <c r="C64241" s="19"/>
    </row>
    <row r="64242" spans="3:3" x14ac:dyDescent="0.2">
      <c r="C64242" s="19"/>
    </row>
    <row r="64243" spans="3:3" x14ac:dyDescent="0.2">
      <c r="C64243" s="19"/>
    </row>
    <row r="64244" spans="3:3" x14ac:dyDescent="0.2">
      <c r="C64244" s="19"/>
    </row>
    <row r="64245" spans="3:3" x14ac:dyDescent="0.2">
      <c r="C64245" s="19"/>
    </row>
    <row r="64246" spans="3:3" x14ac:dyDescent="0.2">
      <c r="C64246" s="19"/>
    </row>
    <row r="64341" spans="3:3" x14ac:dyDescent="0.2">
      <c r="C64341" s="19"/>
    </row>
    <row r="64342" spans="3:3" x14ac:dyDescent="0.2">
      <c r="C64342" s="19"/>
    </row>
    <row r="64343" spans="3:3" x14ac:dyDescent="0.2">
      <c r="C64343" s="19"/>
    </row>
    <row r="64344" spans="3:3" x14ac:dyDescent="0.2">
      <c r="C64344" s="19"/>
    </row>
    <row r="64345" spans="3:3" x14ac:dyDescent="0.2">
      <c r="C64345" s="19"/>
    </row>
    <row r="64346" spans="3:3" x14ac:dyDescent="0.2">
      <c r="C64346" s="19"/>
    </row>
    <row r="64347" spans="3:3" x14ac:dyDescent="0.2">
      <c r="C64347" s="19"/>
    </row>
    <row r="74359" spans="3:3" x14ac:dyDescent="0.2">
      <c r="C74359" s="19"/>
    </row>
    <row r="74360" spans="3:3" x14ac:dyDescent="0.2">
      <c r="C74360" s="19"/>
    </row>
    <row r="74361" spans="3:3" x14ac:dyDescent="0.2">
      <c r="C74361" s="19"/>
    </row>
    <row r="74460" spans="3:3" x14ac:dyDescent="0.2">
      <c r="C74460" s="19"/>
    </row>
    <row r="76737" spans="3:3" x14ac:dyDescent="0.2">
      <c r="C76737" s="1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749992370372631"/>
  </sheetPr>
  <dimension ref="B2:AH233"/>
  <sheetViews>
    <sheetView showGridLines="0" zoomScaleNormal="100" workbookViewId="0"/>
  </sheetViews>
  <sheetFormatPr defaultRowHeight="12.75" x14ac:dyDescent="0.2"/>
  <cols>
    <col min="1" max="1" width="3.5703125" style="7" customWidth="1"/>
    <col min="2" max="2" width="27.28515625" style="7" customWidth="1"/>
    <col min="3" max="3" width="11.42578125" style="7" bestFit="1" customWidth="1"/>
    <col min="4" max="4" width="9.140625" style="7"/>
    <col min="5" max="5" width="11.140625" style="7" bestFit="1" customWidth="1"/>
    <col min="6" max="9" width="9.140625" style="7"/>
    <col min="10" max="10" width="10.5703125" style="7" bestFit="1" customWidth="1"/>
    <col min="11" max="11" width="7.7109375" style="7" bestFit="1" customWidth="1"/>
    <col min="12" max="12" width="9.42578125" style="7" customWidth="1"/>
    <col min="13" max="14" width="9.140625" style="7"/>
    <col min="15" max="15" width="15.85546875" style="27" customWidth="1"/>
    <col min="16" max="16" width="16.85546875" style="7" customWidth="1"/>
    <col min="17" max="17" width="16" style="7" customWidth="1"/>
    <col min="18" max="18" width="13.28515625" style="7" customWidth="1"/>
    <col min="19" max="19" width="15.140625" style="7" customWidth="1"/>
    <col min="20" max="20" width="9.140625" style="7"/>
    <col min="21" max="21" width="13.28515625" style="7" customWidth="1"/>
    <col min="22" max="22" width="12.28515625" style="7" customWidth="1"/>
    <col min="23" max="24" width="9.140625" style="7"/>
    <col min="25" max="25" width="0" style="7" hidden="1" customWidth="1"/>
    <col min="26" max="16384" width="9.140625" style="7"/>
  </cols>
  <sheetData>
    <row r="2" spans="2:34" x14ac:dyDescent="0.2">
      <c r="B2" s="76" t="s">
        <v>215</v>
      </c>
    </row>
    <row r="3" spans="2:34" ht="12.75" customHeight="1" x14ac:dyDescent="0.2"/>
    <row r="4" spans="2:34" x14ac:dyDescent="0.2">
      <c r="P4" s="598" t="s">
        <v>271</v>
      </c>
      <c r="Q4" s="598"/>
    </row>
    <row r="5" spans="2:34" x14ac:dyDescent="0.2">
      <c r="C5" s="7" t="s">
        <v>69</v>
      </c>
      <c r="E5" s="596" t="s">
        <v>3</v>
      </c>
      <c r="F5" s="596"/>
      <c r="G5" s="596"/>
      <c r="H5" s="596"/>
      <c r="I5" s="596"/>
      <c r="J5" s="597" t="s">
        <v>4</v>
      </c>
      <c r="K5" s="597"/>
      <c r="L5" s="597"/>
      <c r="M5" s="597"/>
      <c r="N5" s="597"/>
      <c r="O5" s="595" t="s">
        <v>295</v>
      </c>
      <c r="P5" s="598"/>
      <c r="Q5" s="598"/>
      <c r="S5" s="7" t="s">
        <v>4</v>
      </c>
      <c r="U5" s="7" t="s">
        <v>293</v>
      </c>
      <c r="Y5" s="7" t="s">
        <v>4</v>
      </c>
    </row>
    <row r="6" spans="2:34" x14ac:dyDescent="0.2">
      <c r="B6" s="344"/>
      <c r="C6" s="345" t="s">
        <v>24</v>
      </c>
      <c r="D6" s="351" t="s">
        <v>25</v>
      </c>
      <c r="E6" s="607" t="s">
        <v>29</v>
      </c>
      <c r="F6" s="608" t="s">
        <v>30</v>
      </c>
      <c r="G6" s="608" t="s">
        <v>26</v>
      </c>
      <c r="H6" s="608" t="s">
        <v>27</v>
      </c>
      <c r="I6" s="609" t="s">
        <v>28</v>
      </c>
      <c r="J6" s="494" t="str">
        <f>E6</f>
        <v>population</v>
      </c>
      <c r="K6" s="494" t="str">
        <f>F6</f>
        <v>deaths</v>
      </c>
      <c r="L6" s="494" t="str">
        <f>G6</f>
        <v>yll</v>
      </c>
      <c r="M6" s="494" t="str">
        <f>H6</f>
        <v>yld</v>
      </c>
      <c r="N6" s="494" t="str">
        <f>I6</f>
        <v>daly</v>
      </c>
      <c r="O6" s="595"/>
      <c r="P6" s="492" t="str">
        <f>J5</f>
        <v>Fresno</v>
      </c>
      <c r="Q6" s="493" t="s">
        <v>3</v>
      </c>
      <c r="S6" s="7" t="s">
        <v>29</v>
      </c>
      <c r="T6" s="7" t="s">
        <v>30</v>
      </c>
      <c r="U6" s="7" t="s">
        <v>29</v>
      </c>
      <c r="V6" s="7" t="s">
        <v>30</v>
      </c>
      <c r="W6"/>
      <c r="X6"/>
      <c r="Y6" t="s">
        <v>294</v>
      </c>
      <c r="Z6"/>
      <c r="AB6"/>
      <c r="AC6"/>
      <c r="AD6"/>
      <c r="AE6"/>
      <c r="AF6"/>
      <c r="AG6"/>
      <c r="AH6"/>
    </row>
    <row r="7" spans="2:34" x14ac:dyDescent="0.2">
      <c r="B7" s="8" t="s">
        <v>8</v>
      </c>
      <c r="C7" s="6">
        <v>2</v>
      </c>
      <c r="D7" s="352" t="s">
        <v>9</v>
      </c>
      <c r="E7" s="30">
        <v>9881935</v>
      </c>
      <c r="F7" s="32">
        <v>0</v>
      </c>
      <c r="G7" s="31">
        <v>0</v>
      </c>
      <c r="H7" s="31">
        <v>0</v>
      </c>
      <c r="I7" s="457">
        <f t="shared" ref="I7:I15" si="0">G7+H7</f>
        <v>0</v>
      </c>
      <c r="J7" s="456">
        <f>IF($J$5="Fresno",S7,U7)</f>
        <v>38504</v>
      </c>
      <c r="K7" s="33">
        <f>IF($J$5="Fresno",T7,V7)</f>
        <v>0</v>
      </c>
      <c r="L7" s="28">
        <f>$O7*G7/$E7*$J7</f>
        <v>0</v>
      </c>
      <c r="M7" s="28">
        <f>$O7*H7/$E7*$J7</f>
        <v>0</v>
      </c>
      <c r="N7" s="461">
        <f>$O7*I7/$E7*$J7</f>
        <v>0</v>
      </c>
      <c r="O7" s="349">
        <f t="shared" ref="O7:O15" si="1">IF(OR(F7 = 0, K7 = 0),1,(K7/J7)/(F7/E7))</f>
        <v>1</v>
      </c>
      <c r="P7" s="419">
        <f>K7/J7*100000</f>
        <v>0</v>
      </c>
      <c r="Q7" s="419">
        <f>(F7/E7)*100000</f>
        <v>0</v>
      </c>
      <c r="S7" s="456">
        <v>38504</v>
      </c>
      <c r="T7" s="33">
        <v>0</v>
      </c>
      <c r="U7" s="32">
        <v>2038</v>
      </c>
      <c r="V7" s="32">
        <v>0</v>
      </c>
    </row>
    <row r="8" spans="2:34" x14ac:dyDescent="0.2">
      <c r="B8" s="8" t="s">
        <v>8</v>
      </c>
      <c r="C8" s="6">
        <v>2</v>
      </c>
      <c r="D8" s="352" t="s">
        <v>10</v>
      </c>
      <c r="E8" s="30">
        <v>20056351</v>
      </c>
      <c r="F8" s="32">
        <v>0</v>
      </c>
      <c r="G8" s="31">
        <v>0</v>
      </c>
      <c r="H8" s="31">
        <v>0</v>
      </c>
      <c r="I8" s="457">
        <f t="shared" si="0"/>
        <v>0</v>
      </c>
      <c r="J8" s="456">
        <f t="shared" ref="J8:J24" si="2">IF($J$5="Fresno",S8,U8)</f>
        <v>73835</v>
      </c>
      <c r="K8" s="33">
        <f t="shared" ref="K8:K22" si="3">IF($J$5="Fresno",T8,V8)</f>
        <v>0</v>
      </c>
      <c r="L8" s="28">
        <f t="shared" ref="L8:L22" si="4">$O8*G8/$E8*$J8</f>
        <v>0</v>
      </c>
      <c r="M8" s="28">
        <f t="shared" ref="M8:M22" si="5">$O8*H8/$E8*$J8</f>
        <v>0</v>
      </c>
      <c r="N8" s="461">
        <f t="shared" ref="N8:N22" si="6">$O8*I8/$E8*$J8</f>
        <v>0</v>
      </c>
      <c r="O8" s="349">
        <f t="shared" si="1"/>
        <v>1</v>
      </c>
      <c r="P8" s="419">
        <f t="shared" ref="P8:P71" si="7">K8/J8*100000</f>
        <v>0</v>
      </c>
      <c r="Q8" s="419">
        <f t="shared" ref="Q8:Q71" si="8">(F8/E8)*100000</f>
        <v>0</v>
      </c>
      <c r="S8" s="456">
        <v>73835</v>
      </c>
      <c r="T8" s="33">
        <v>0</v>
      </c>
      <c r="U8" s="32">
        <v>4837</v>
      </c>
      <c r="V8" s="32">
        <v>0</v>
      </c>
    </row>
    <row r="9" spans="2:34" x14ac:dyDescent="0.2">
      <c r="B9" s="8" t="s">
        <v>8</v>
      </c>
      <c r="C9" s="6">
        <v>2</v>
      </c>
      <c r="D9" s="352" t="s">
        <v>11</v>
      </c>
      <c r="E9" s="30">
        <v>31774758</v>
      </c>
      <c r="F9" s="32">
        <v>0</v>
      </c>
      <c r="G9" s="31">
        <v>0</v>
      </c>
      <c r="H9" s="31">
        <v>0</v>
      </c>
      <c r="I9" s="457">
        <f t="shared" si="0"/>
        <v>0</v>
      </c>
      <c r="J9" s="456">
        <f t="shared" si="2"/>
        <v>110381</v>
      </c>
      <c r="K9" s="33">
        <f t="shared" si="3"/>
        <v>0</v>
      </c>
      <c r="L9" s="28">
        <f t="shared" si="4"/>
        <v>0</v>
      </c>
      <c r="M9" s="28">
        <f t="shared" si="5"/>
        <v>0</v>
      </c>
      <c r="N9" s="461">
        <f t="shared" si="6"/>
        <v>0</v>
      </c>
      <c r="O9" s="349">
        <f t="shared" si="1"/>
        <v>1</v>
      </c>
      <c r="P9" s="419">
        <f t="shared" si="7"/>
        <v>0</v>
      </c>
      <c r="Q9" s="419">
        <f t="shared" si="8"/>
        <v>0</v>
      </c>
      <c r="S9" s="456">
        <v>110381</v>
      </c>
      <c r="T9" s="33">
        <v>0</v>
      </c>
      <c r="U9" s="32">
        <v>5555</v>
      </c>
      <c r="V9" s="32">
        <v>0</v>
      </c>
    </row>
    <row r="10" spans="2:34" x14ac:dyDescent="0.2">
      <c r="B10" s="8" t="s">
        <v>8</v>
      </c>
      <c r="C10" s="6">
        <v>2</v>
      </c>
      <c r="D10" s="352" t="s">
        <v>12</v>
      </c>
      <c r="E10" s="30">
        <v>30600206</v>
      </c>
      <c r="F10" s="32">
        <v>0</v>
      </c>
      <c r="G10" s="31">
        <v>0</v>
      </c>
      <c r="H10" s="31">
        <v>0</v>
      </c>
      <c r="I10" s="457">
        <f t="shared" si="0"/>
        <v>0</v>
      </c>
      <c r="J10" s="456">
        <f t="shared" si="2"/>
        <v>87117</v>
      </c>
      <c r="K10" s="33">
        <f t="shared" si="3"/>
        <v>0</v>
      </c>
      <c r="L10" s="28">
        <f t="shared" si="4"/>
        <v>0</v>
      </c>
      <c r="M10" s="28">
        <f t="shared" si="5"/>
        <v>0</v>
      </c>
      <c r="N10" s="461">
        <f t="shared" si="6"/>
        <v>0</v>
      </c>
      <c r="O10" s="349">
        <f t="shared" si="1"/>
        <v>1</v>
      </c>
      <c r="P10" s="419">
        <f t="shared" si="7"/>
        <v>0</v>
      </c>
      <c r="Q10" s="419">
        <f t="shared" si="8"/>
        <v>0</v>
      </c>
      <c r="S10" s="456">
        <v>87117</v>
      </c>
      <c r="T10" s="33">
        <v>0</v>
      </c>
      <c r="U10" s="32">
        <v>4386</v>
      </c>
      <c r="V10" s="32">
        <v>0</v>
      </c>
    </row>
    <row r="11" spans="2:34" x14ac:dyDescent="0.2">
      <c r="B11" s="8" t="s">
        <v>8</v>
      </c>
      <c r="C11" s="6">
        <v>2</v>
      </c>
      <c r="D11" s="352" t="s">
        <v>13</v>
      </c>
      <c r="E11" s="30">
        <v>33005514</v>
      </c>
      <c r="F11" s="32">
        <v>0</v>
      </c>
      <c r="G11" s="31">
        <v>0</v>
      </c>
      <c r="H11" s="31">
        <v>0</v>
      </c>
      <c r="I11" s="457">
        <f t="shared" si="0"/>
        <v>0</v>
      </c>
      <c r="J11" s="456">
        <f t="shared" si="2"/>
        <v>82694</v>
      </c>
      <c r="K11" s="33">
        <f t="shared" si="3"/>
        <v>0</v>
      </c>
      <c r="L11" s="28">
        <f t="shared" si="4"/>
        <v>0</v>
      </c>
      <c r="M11" s="28">
        <f t="shared" si="5"/>
        <v>0</v>
      </c>
      <c r="N11" s="461">
        <f t="shared" si="6"/>
        <v>0</v>
      </c>
      <c r="O11" s="349">
        <f t="shared" si="1"/>
        <v>1</v>
      </c>
      <c r="P11" s="419">
        <f t="shared" si="7"/>
        <v>0</v>
      </c>
      <c r="Q11" s="419">
        <f t="shared" si="8"/>
        <v>0</v>
      </c>
      <c r="S11" s="456">
        <v>82694</v>
      </c>
      <c r="T11" s="33">
        <v>0</v>
      </c>
      <c r="U11" s="32">
        <v>3180</v>
      </c>
      <c r="V11" s="32">
        <v>0</v>
      </c>
    </row>
    <row r="12" spans="2:34" x14ac:dyDescent="0.2">
      <c r="B12" s="8" t="s">
        <v>8</v>
      </c>
      <c r="C12" s="6">
        <v>2</v>
      </c>
      <c r="D12" s="352" t="s">
        <v>14</v>
      </c>
      <c r="E12" s="30">
        <v>15323140</v>
      </c>
      <c r="F12" s="32">
        <v>0</v>
      </c>
      <c r="G12" s="31">
        <v>0</v>
      </c>
      <c r="H12" s="31">
        <v>0</v>
      </c>
      <c r="I12" s="457">
        <f t="shared" si="0"/>
        <v>0</v>
      </c>
      <c r="J12" s="456">
        <f t="shared" si="2"/>
        <v>35399</v>
      </c>
      <c r="K12" s="33">
        <f t="shared" si="3"/>
        <v>0</v>
      </c>
      <c r="L12" s="28">
        <f t="shared" si="4"/>
        <v>0</v>
      </c>
      <c r="M12" s="28">
        <f t="shared" si="5"/>
        <v>0</v>
      </c>
      <c r="N12" s="461">
        <f t="shared" si="6"/>
        <v>0</v>
      </c>
      <c r="O12" s="349">
        <f t="shared" si="1"/>
        <v>1</v>
      </c>
      <c r="P12" s="419">
        <f t="shared" si="7"/>
        <v>0</v>
      </c>
      <c r="Q12" s="419">
        <f t="shared" si="8"/>
        <v>0</v>
      </c>
      <c r="S12" s="456">
        <v>35399</v>
      </c>
      <c r="T12" s="33">
        <v>0</v>
      </c>
      <c r="U12" s="32">
        <v>1259</v>
      </c>
      <c r="V12" s="32">
        <v>0</v>
      </c>
    </row>
    <row r="13" spans="2:34" x14ac:dyDescent="0.2">
      <c r="B13" s="8" t="s">
        <v>8</v>
      </c>
      <c r="C13" s="6">
        <v>2</v>
      </c>
      <c r="D13" s="352" t="s">
        <v>15</v>
      </c>
      <c r="E13" s="30">
        <v>9169601</v>
      </c>
      <c r="F13" s="32">
        <v>0</v>
      </c>
      <c r="G13" s="31">
        <v>0</v>
      </c>
      <c r="H13" s="31">
        <v>0</v>
      </c>
      <c r="I13" s="457">
        <f t="shared" si="0"/>
        <v>0</v>
      </c>
      <c r="J13" s="456">
        <f t="shared" si="2"/>
        <v>20855</v>
      </c>
      <c r="K13" s="33">
        <f t="shared" si="3"/>
        <v>0</v>
      </c>
      <c r="L13" s="28">
        <f t="shared" si="4"/>
        <v>0</v>
      </c>
      <c r="M13" s="28">
        <f t="shared" si="5"/>
        <v>0</v>
      </c>
      <c r="N13" s="461">
        <f t="shared" si="6"/>
        <v>0</v>
      </c>
      <c r="O13" s="349">
        <f t="shared" si="1"/>
        <v>1</v>
      </c>
      <c r="P13" s="419">
        <f t="shared" si="7"/>
        <v>0</v>
      </c>
      <c r="Q13" s="419">
        <f t="shared" si="8"/>
        <v>0</v>
      </c>
      <c r="S13" s="456">
        <v>20855</v>
      </c>
      <c r="T13" s="33">
        <v>0</v>
      </c>
      <c r="U13" s="32">
        <v>1012</v>
      </c>
      <c r="V13" s="32">
        <v>0</v>
      </c>
    </row>
    <row r="14" spans="2:34" x14ac:dyDescent="0.2">
      <c r="B14" s="8" t="s">
        <v>8</v>
      </c>
      <c r="C14" s="6">
        <v>2</v>
      </c>
      <c r="D14" s="352" t="s">
        <v>16</v>
      </c>
      <c r="E14" s="30">
        <v>7152707</v>
      </c>
      <c r="F14" s="32">
        <v>0</v>
      </c>
      <c r="G14" s="31">
        <v>0</v>
      </c>
      <c r="H14" s="31">
        <v>0</v>
      </c>
      <c r="I14" s="457">
        <f t="shared" si="0"/>
        <v>0</v>
      </c>
      <c r="J14" s="456">
        <f t="shared" si="2"/>
        <v>16854</v>
      </c>
      <c r="K14" s="33">
        <f t="shared" si="3"/>
        <v>0</v>
      </c>
      <c r="L14" s="28">
        <f t="shared" si="4"/>
        <v>0</v>
      </c>
      <c r="M14" s="28">
        <f t="shared" si="5"/>
        <v>0</v>
      </c>
      <c r="N14" s="461">
        <f t="shared" si="6"/>
        <v>0</v>
      </c>
      <c r="O14" s="349">
        <f t="shared" si="1"/>
        <v>1</v>
      </c>
      <c r="P14" s="419">
        <f t="shared" si="7"/>
        <v>0</v>
      </c>
      <c r="Q14" s="419">
        <f t="shared" si="8"/>
        <v>0</v>
      </c>
      <c r="S14" s="456">
        <v>16854</v>
      </c>
      <c r="T14" s="33">
        <v>0</v>
      </c>
      <c r="U14" s="32">
        <v>417</v>
      </c>
      <c r="V14" s="32">
        <v>0</v>
      </c>
    </row>
    <row r="15" spans="2:34" x14ac:dyDescent="0.2">
      <c r="B15" s="8" t="s">
        <v>8</v>
      </c>
      <c r="C15" s="6">
        <v>1</v>
      </c>
      <c r="D15" s="352" t="s">
        <v>9</v>
      </c>
      <c r="E15" s="30">
        <v>10319427</v>
      </c>
      <c r="F15" s="31">
        <v>0</v>
      </c>
      <c r="G15" s="31">
        <v>0</v>
      </c>
      <c r="H15" s="31">
        <v>0</v>
      </c>
      <c r="I15" s="457">
        <f t="shared" si="0"/>
        <v>0</v>
      </c>
      <c r="J15" s="456">
        <f t="shared" si="2"/>
        <v>40476</v>
      </c>
      <c r="K15" s="33">
        <f t="shared" si="3"/>
        <v>0</v>
      </c>
      <c r="L15" s="28">
        <f t="shared" si="4"/>
        <v>0</v>
      </c>
      <c r="M15" s="28">
        <f t="shared" si="5"/>
        <v>0</v>
      </c>
      <c r="N15" s="461">
        <f t="shared" si="6"/>
        <v>0</v>
      </c>
      <c r="O15" s="349">
        <f t="shared" si="1"/>
        <v>1</v>
      </c>
      <c r="P15" s="419">
        <f t="shared" si="7"/>
        <v>0</v>
      </c>
      <c r="Q15" s="419">
        <f t="shared" si="8"/>
        <v>0</v>
      </c>
      <c r="R15"/>
      <c r="S15" s="456">
        <v>40476</v>
      </c>
      <c r="T15" s="33">
        <v>0</v>
      </c>
      <c r="U15" s="31">
        <v>1962</v>
      </c>
      <c r="V15" s="32">
        <v>0</v>
      </c>
    </row>
    <row r="16" spans="2:34" x14ac:dyDescent="0.2">
      <c r="B16" s="8" t="s">
        <v>8</v>
      </c>
      <c r="C16" s="6">
        <v>1</v>
      </c>
      <c r="D16" s="352" t="s">
        <v>10</v>
      </c>
      <c r="E16" s="30">
        <v>20969500</v>
      </c>
      <c r="F16" s="31">
        <v>0</v>
      </c>
      <c r="G16" s="31">
        <v>0</v>
      </c>
      <c r="H16" s="31">
        <v>0</v>
      </c>
      <c r="I16" s="457">
        <f t="shared" ref="I16:I73" si="9">G16+H16</f>
        <v>0</v>
      </c>
      <c r="J16" s="456">
        <f t="shared" si="2"/>
        <v>76614</v>
      </c>
      <c r="K16" s="33">
        <f t="shared" si="3"/>
        <v>0</v>
      </c>
      <c r="L16" s="28">
        <f t="shared" si="4"/>
        <v>0</v>
      </c>
      <c r="M16" s="28">
        <f t="shared" si="5"/>
        <v>0</v>
      </c>
      <c r="N16" s="461">
        <f t="shared" si="6"/>
        <v>0</v>
      </c>
      <c r="O16" s="349">
        <f t="shared" ref="O16:O73" si="10">IF(OR(F16 = 0, K16 = 0),1,(K16/J16)/(F16/E16))</f>
        <v>1</v>
      </c>
      <c r="P16" s="419">
        <f t="shared" si="7"/>
        <v>0</v>
      </c>
      <c r="Q16" s="419">
        <f t="shared" si="8"/>
        <v>0</v>
      </c>
      <c r="R16"/>
      <c r="S16" s="456">
        <v>76614</v>
      </c>
      <c r="T16" s="33">
        <v>0</v>
      </c>
      <c r="U16" s="31">
        <v>4589</v>
      </c>
      <c r="V16" s="32">
        <v>0</v>
      </c>
    </row>
    <row r="17" spans="2:22" x14ac:dyDescent="0.2">
      <c r="B17" s="8" t="s">
        <v>8</v>
      </c>
      <c r="C17" s="6">
        <v>1</v>
      </c>
      <c r="D17" s="352" t="s">
        <v>11</v>
      </c>
      <c r="E17" s="30">
        <v>32953433</v>
      </c>
      <c r="F17" s="31">
        <v>94.716930000000005</v>
      </c>
      <c r="G17" s="31">
        <v>5665.1390000000001</v>
      </c>
      <c r="H17" s="31">
        <v>300.30263000000002</v>
      </c>
      <c r="I17" s="457">
        <f t="shared" si="9"/>
        <v>5965.4416300000003</v>
      </c>
      <c r="J17" s="456">
        <f t="shared" si="2"/>
        <v>116710</v>
      </c>
      <c r="K17" s="33">
        <f t="shared" si="3"/>
        <v>0</v>
      </c>
      <c r="L17" s="28">
        <f t="shared" si="4"/>
        <v>20.064021029007812</v>
      </c>
      <c r="M17" s="28">
        <f t="shared" si="5"/>
        <v>1.0635711292143675</v>
      </c>
      <c r="N17" s="461">
        <f t="shared" si="6"/>
        <v>21.127592158222182</v>
      </c>
      <c r="O17" s="349">
        <f t="shared" si="10"/>
        <v>1</v>
      </c>
      <c r="P17" s="419">
        <f t="shared" si="7"/>
        <v>0</v>
      </c>
      <c r="Q17" s="419">
        <f t="shared" si="8"/>
        <v>0.28742659376338725</v>
      </c>
      <c r="R17"/>
      <c r="S17" s="456">
        <v>116710</v>
      </c>
      <c r="T17" s="33">
        <v>0</v>
      </c>
      <c r="U17" s="31">
        <v>4767</v>
      </c>
      <c r="V17" s="32">
        <v>0</v>
      </c>
    </row>
    <row r="18" spans="2:22" x14ac:dyDescent="0.2">
      <c r="B18" s="8" t="s">
        <v>8</v>
      </c>
      <c r="C18" s="6">
        <v>1</v>
      </c>
      <c r="D18" s="352" t="s">
        <v>12</v>
      </c>
      <c r="E18" s="30">
        <v>30432499</v>
      </c>
      <c r="F18" s="31">
        <v>2492.761</v>
      </c>
      <c r="G18" s="31">
        <v>116347.2</v>
      </c>
      <c r="H18" s="31">
        <v>8597.7450000000008</v>
      </c>
      <c r="I18" s="457">
        <f t="shared" si="9"/>
        <v>124944.94499999999</v>
      </c>
      <c r="J18" s="456">
        <f t="shared" si="2"/>
        <v>89486</v>
      </c>
      <c r="K18" s="33">
        <f t="shared" si="3"/>
        <v>3</v>
      </c>
      <c r="L18" s="28">
        <f t="shared" si="4"/>
        <v>140.02208795789088</v>
      </c>
      <c r="M18" s="28">
        <f t="shared" si="5"/>
        <v>10.347255513063628</v>
      </c>
      <c r="N18" s="461">
        <f t="shared" si="6"/>
        <v>150.36934347095448</v>
      </c>
      <c r="O18" s="349">
        <f t="shared" si="10"/>
        <v>0.40928246089484438</v>
      </c>
      <c r="P18" s="419">
        <f t="shared" si="7"/>
        <v>3.352479717497709</v>
      </c>
      <c r="Q18" s="419">
        <f t="shared" si="8"/>
        <v>8.191115031335416</v>
      </c>
      <c r="R18"/>
      <c r="S18" s="456">
        <v>89486</v>
      </c>
      <c r="T18" s="33">
        <v>3</v>
      </c>
      <c r="U18" s="31">
        <v>4198</v>
      </c>
      <c r="V18" s="32">
        <v>1</v>
      </c>
    </row>
    <row r="19" spans="2:22" x14ac:dyDescent="0.2">
      <c r="B19" s="8" t="s">
        <v>8</v>
      </c>
      <c r="C19" s="6">
        <v>1</v>
      </c>
      <c r="D19" s="352" t="s">
        <v>13</v>
      </c>
      <c r="E19" s="30">
        <v>31666007</v>
      </c>
      <c r="F19" s="31">
        <v>10670.67</v>
      </c>
      <c r="G19" s="31">
        <v>361032</v>
      </c>
      <c r="H19" s="31">
        <v>42267.199999999997</v>
      </c>
      <c r="I19" s="457">
        <f t="shared" si="9"/>
        <v>403299.2</v>
      </c>
      <c r="J19" s="456">
        <f t="shared" si="2"/>
        <v>81265</v>
      </c>
      <c r="K19" s="33">
        <f t="shared" si="3"/>
        <v>21</v>
      </c>
      <c r="L19" s="28">
        <f t="shared" si="4"/>
        <v>710.51508480723328</v>
      </c>
      <c r="M19" s="28">
        <f t="shared" si="5"/>
        <v>83.182330631534853</v>
      </c>
      <c r="N19" s="461">
        <f t="shared" si="6"/>
        <v>793.69741543876819</v>
      </c>
      <c r="O19" s="349">
        <f t="shared" si="10"/>
        <v>0.7668622673750537</v>
      </c>
      <c r="P19" s="419">
        <f t="shared" si="7"/>
        <v>25.84138312926844</v>
      </c>
      <c r="Q19" s="419">
        <f t="shared" si="8"/>
        <v>33.69755460484803</v>
      </c>
      <c r="R19"/>
      <c r="S19" s="456">
        <v>81265</v>
      </c>
      <c r="T19" s="33">
        <v>21</v>
      </c>
      <c r="U19" s="31">
        <v>2957</v>
      </c>
      <c r="V19" s="32">
        <v>1</v>
      </c>
    </row>
    <row r="20" spans="2:22" x14ac:dyDescent="0.2">
      <c r="B20" s="8" t="s">
        <v>8</v>
      </c>
      <c r="C20" s="6">
        <v>1</v>
      </c>
      <c r="D20" s="352" t="s">
        <v>14</v>
      </c>
      <c r="E20" s="30">
        <v>13930047</v>
      </c>
      <c r="F20" s="31">
        <v>9557.9599999999991</v>
      </c>
      <c r="G20" s="31">
        <v>223173.7</v>
      </c>
      <c r="H20" s="31">
        <v>39838.800000000003</v>
      </c>
      <c r="I20" s="457">
        <f t="shared" si="9"/>
        <v>263012.5</v>
      </c>
      <c r="J20" s="456">
        <f t="shared" si="2"/>
        <v>33077</v>
      </c>
      <c r="K20" s="33">
        <f t="shared" si="3"/>
        <v>18</v>
      </c>
      <c r="L20" s="28">
        <f t="shared" si="4"/>
        <v>420.29121276925207</v>
      </c>
      <c r="M20" s="28">
        <f t="shared" si="5"/>
        <v>75.02630268383632</v>
      </c>
      <c r="N20" s="461">
        <f t="shared" si="6"/>
        <v>495.31751545308845</v>
      </c>
      <c r="O20" s="349">
        <f t="shared" si="10"/>
        <v>0.7931106193723213</v>
      </c>
      <c r="P20" s="419">
        <f t="shared" si="7"/>
        <v>54.418478096562566</v>
      </c>
      <c r="Q20" s="419">
        <f t="shared" si="8"/>
        <v>68.613982422313427</v>
      </c>
      <c r="R20"/>
      <c r="S20" s="456">
        <v>33077</v>
      </c>
      <c r="T20" s="33">
        <v>18</v>
      </c>
      <c r="U20" s="31">
        <v>1391</v>
      </c>
      <c r="V20" s="32">
        <v>0</v>
      </c>
    </row>
    <row r="21" spans="2:22" x14ac:dyDescent="0.2">
      <c r="B21" s="8" t="s">
        <v>8</v>
      </c>
      <c r="C21" s="6">
        <v>1</v>
      </c>
      <c r="D21" s="352" t="s">
        <v>15</v>
      </c>
      <c r="E21" s="30">
        <v>7426360</v>
      </c>
      <c r="F21" s="31">
        <v>8317.74</v>
      </c>
      <c r="G21" s="31">
        <v>122873.9</v>
      </c>
      <c r="H21" s="31">
        <v>34594.9</v>
      </c>
      <c r="I21" s="457">
        <f t="shared" si="9"/>
        <v>157468.79999999999</v>
      </c>
      <c r="J21" s="456">
        <f t="shared" si="2"/>
        <v>16815</v>
      </c>
      <c r="K21" s="33">
        <f t="shared" si="3"/>
        <v>11</v>
      </c>
      <c r="L21" s="28">
        <f t="shared" si="4"/>
        <v>162.49761353444563</v>
      </c>
      <c r="M21" s="28">
        <f t="shared" si="5"/>
        <v>45.750877041119338</v>
      </c>
      <c r="N21" s="461">
        <f t="shared" si="6"/>
        <v>208.24849057556494</v>
      </c>
      <c r="O21" s="349">
        <f t="shared" si="10"/>
        <v>0.58407211288303262</v>
      </c>
      <c r="P21" s="419">
        <f t="shared" si="7"/>
        <v>65.417781742491826</v>
      </c>
      <c r="Q21" s="419">
        <f t="shared" si="8"/>
        <v>112.00291933060073</v>
      </c>
      <c r="R21"/>
      <c r="S21" s="456">
        <v>16815</v>
      </c>
      <c r="T21" s="33">
        <v>11</v>
      </c>
      <c r="U21" s="31">
        <v>1164</v>
      </c>
      <c r="V21" s="32">
        <v>1</v>
      </c>
    </row>
    <row r="22" spans="2:22" x14ac:dyDescent="0.2">
      <c r="B22" s="8" t="s">
        <v>8</v>
      </c>
      <c r="C22" s="6">
        <v>1</v>
      </c>
      <c r="D22" s="352" t="s">
        <v>16</v>
      </c>
      <c r="E22" s="30">
        <v>4084053</v>
      </c>
      <c r="F22" s="31">
        <v>11428</v>
      </c>
      <c r="G22" s="31">
        <v>62575</v>
      </c>
      <c r="H22" s="31">
        <v>35683.199999999997</v>
      </c>
      <c r="I22" s="457">
        <f t="shared" si="9"/>
        <v>98258.2</v>
      </c>
      <c r="J22" s="456">
        <f t="shared" si="2"/>
        <v>10368</v>
      </c>
      <c r="K22" s="33">
        <f t="shared" si="3"/>
        <v>26</v>
      </c>
      <c r="L22" s="28">
        <f t="shared" si="4"/>
        <v>142.36524326216309</v>
      </c>
      <c r="M22" s="28">
        <f t="shared" si="5"/>
        <v>81.183339166958348</v>
      </c>
      <c r="N22" s="461">
        <f t="shared" si="6"/>
        <v>223.54858242912144</v>
      </c>
      <c r="O22" s="349">
        <f t="shared" si="10"/>
        <v>0.8961887692185535</v>
      </c>
      <c r="P22" s="419">
        <f t="shared" si="7"/>
        <v>250.77160493827159</v>
      </c>
      <c r="Q22" s="419">
        <f t="shared" si="8"/>
        <v>279.82007089526019</v>
      </c>
      <c r="R22"/>
      <c r="S22" s="456">
        <v>10368</v>
      </c>
      <c r="T22" s="33">
        <v>26</v>
      </c>
      <c r="U22" s="31">
        <v>674</v>
      </c>
      <c r="V22" s="32">
        <v>2</v>
      </c>
    </row>
    <row r="23" spans="2:22" x14ac:dyDescent="0.2">
      <c r="B23" s="8" t="s">
        <v>17</v>
      </c>
      <c r="C23" s="6"/>
      <c r="D23" s="352"/>
      <c r="E23" s="30">
        <f>SUM(E7:E22)</f>
        <v>308745538</v>
      </c>
      <c r="F23" s="30">
        <f t="shared" ref="F23:K23" si="11">SUM(F7:F22)</f>
        <v>42561.847929999996</v>
      </c>
      <c r="G23" s="30">
        <f t="shared" si="11"/>
        <v>891666.93900000001</v>
      </c>
      <c r="H23" s="30">
        <f t="shared" si="11"/>
        <v>161282.14763000002</v>
      </c>
      <c r="I23" s="455">
        <f t="shared" si="11"/>
        <v>1052949.08663</v>
      </c>
      <c r="J23" s="456">
        <f t="shared" si="11"/>
        <v>930450</v>
      </c>
      <c r="K23" s="30">
        <f t="shared" si="11"/>
        <v>79</v>
      </c>
      <c r="L23" s="28">
        <f>$O23*G23/$E23*$J23</f>
        <v>1655.0429928900883</v>
      </c>
      <c r="M23" s="28">
        <f>$O23*H23/$E23*$J23</f>
        <v>299.35940948158924</v>
      </c>
      <c r="N23" s="461">
        <f>$O23*I23/$E23*$J23</f>
        <v>1954.4024023716772</v>
      </c>
      <c r="O23" s="349">
        <f t="shared" si="10"/>
        <v>0.6159057594224675</v>
      </c>
      <c r="P23" s="419">
        <f>SUMPRODUCT(P7:P22,E7:E22)/E23</f>
        <v>10.326789679302465</v>
      </c>
      <c r="Q23" s="419">
        <f t="shared" si="8"/>
        <v>13.785413128788278</v>
      </c>
      <c r="R23" s="18"/>
      <c r="S23" s="456">
        <f>SUM(S7:S22)</f>
        <v>930450</v>
      </c>
      <c r="T23" s="30">
        <f>SUM(T7:T22)</f>
        <v>79</v>
      </c>
      <c r="U23" s="32">
        <f>SUM(U7:U22)</f>
        <v>44386</v>
      </c>
      <c r="V23" s="32">
        <f>SUM(V7:V22)</f>
        <v>5</v>
      </c>
    </row>
    <row r="24" spans="2:22" x14ac:dyDescent="0.2">
      <c r="B24" s="8" t="s">
        <v>18</v>
      </c>
      <c r="C24" s="6">
        <v>2</v>
      </c>
      <c r="D24" s="352" t="s">
        <v>9</v>
      </c>
      <c r="E24" s="30">
        <v>9881935</v>
      </c>
      <c r="F24" s="31">
        <v>0</v>
      </c>
      <c r="G24" s="31">
        <v>0</v>
      </c>
      <c r="H24" s="31">
        <v>0</v>
      </c>
      <c r="I24" s="457">
        <f t="shared" ref="I24:I31" si="12">G24+H24</f>
        <v>0</v>
      </c>
      <c r="J24" s="456">
        <f t="shared" si="2"/>
        <v>38504</v>
      </c>
      <c r="K24" s="33">
        <f>IF($J$5="Fresno",T24,V24)</f>
        <v>0</v>
      </c>
      <c r="L24" s="28">
        <f t="shared" ref="L24:L87" si="13">$O24*G24/$E24*$J24</f>
        <v>0</v>
      </c>
      <c r="M24" s="28">
        <f t="shared" ref="M24:M87" si="14">$O24*H24/$E24*$J24</f>
        <v>0</v>
      </c>
      <c r="N24" s="461">
        <f t="shared" ref="N24:N87" si="15">$O24*I24/$E24*$J24</f>
        <v>0</v>
      </c>
      <c r="O24" s="349">
        <f t="shared" ref="O24:O31" si="16">IF(OR(F24 = 0, K24 = 0),1,(K24/J24)/(F24/E24))</f>
        <v>1</v>
      </c>
      <c r="P24" s="419">
        <f t="shared" si="7"/>
        <v>0</v>
      </c>
      <c r="Q24" s="419">
        <f t="shared" si="8"/>
        <v>0</v>
      </c>
      <c r="R24" s="18"/>
      <c r="S24" s="456">
        <v>38504</v>
      </c>
      <c r="T24" s="33">
        <v>0</v>
      </c>
      <c r="U24" s="32">
        <v>2038</v>
      </c>
      <c r="V24" s="32">
        <v>0</v>
      </c>
    </row>
    <row r="25" spans="2:22" x14ac:dyDescent="0.2">
      <c r="B25" s="8" t="s">
        <v>18</v>
      </c>
      <c r="C25" s="6">
        <v>2</v>
      </c>
      <c r="D25" s="352" t="s">
        <v>10</v>
      </c>
      <c r="E25" s="30">
        <v>20056351</v>
      </c>
      <c r="F25" s="31">
        <v>0</v>
      </c>
      <c r="G25" s="31">
        <v>0</v>
      </c>
      <c r="H25" s="31">
        <v>0</v>
      </c>
      <c r="I25" s="457">
        <f t="shared" si="12"/>
        <v>0</v>
      </c>
      <c r="J25" s="456">
        <v>73835</v>
      </c>
      <c r="K25" s="33">
        <f t="shared" ref="K25:K39" si="17">IF($J$5="Fresno",T25,V25)</f>
        <v>0</v>
      </c>
      <c r="L25" s="28">
        <f t="shared" si="13"/>
        <v>0</v>
      </c>
      <c r="M25" s="28">
        <f t="shared" si="14"/>
        <v>0</v>
      </c>
      <c r="N25" s="461">
        <f t="shared" si="15"/>
        <v>0</v>
      </c>
      <c r="O25" s="349">
        <f t="shared" si="16"/>
        <v>1</v>
      </c>
      <c r="P25" s="419">
        <f t="shared" si="7"/>
        <v>0</v>
      </c>
      <c r="Q25" s="419">
        <f t="shared" si="8"/>
        <v>0</v>
      </c>
      <c r="R25" s="18"/>
      <c r="S25" s="456">
        <v>73835</v>
      </c>
      <c r="T25" s="33">
        <v>0</v>
      </c>
      <c r="U25" s="32">
        <v>4837</v>
      </c>
      <c r="V25" s="32">
        <v>0</v>
      </c>
    </row>
    <row r="26" spans="2:22" x14ac:dyDescent="0.2">
      <c r="B26" s="8" t="s">
        <v>18</v>
      </c>
      <c r="C26" s="6">
        <v>2</v>
      </c>
      <c r="D26" s="352" t="s">
        <v>11</v>
      </c>
      <c r="E26" s="30">
        <v>31774758</v>
      </c>
      <c r="F26" s="31">
        <v>103.2166</v>
      </c>
      <c r="G26" s="31">
        <v>6312.1040000000003</v>
      </c>
      <c r="H26" s="31">
        <v>146.88910000000001</v>
      </c>
      <c r="I26" s="457">
        <f t="shared" si="12"/>
        <v>6458.9931000000006</v>
      </c>
      <c r="J26" s="456">
        <v>110381</v>
      </c>
      <c r="K26" s="33">
        <f t="shared" si="17"/>
        <v>1</v>
      </c>
      <c r="L26" s="28">
        <f t="shared" si="13"/>
        <v>61.153961668956356</v>
      </c>
      <c r="M26" s="28">
        <f t="shared" si="14"/>
        <v>1.4231150803262267</v>
      </c>
      <c r="N26" s="461">
        <f t="shared" si="15"/>
        <v>62.577076749282583</v>
      </c>
      <c r="O26" s="349">
        <f t="shared" si="16"/>
        <v>2.7889349080798409</v>
      </c>
      <c r="P26" s="419">
        <f t="shared" si="7"/>
        <v>0.905953017276524</v>
      </c>
      <c r="Q26" s="419">
        <f t="shared" si="8"/>
        <v>0.32483835124723842</v>
      </c>
      <c r="R26" s="18"/>
      <c r="S26" s="456">
        <v>110381</v>
      </c>
      <c r="T26" s="33">
        <v>1</v>
      </c>
      <c r="U26" s="32">
        <v>5555</v>
      </c>
      <c r="V26" s="32">
        <v>0</v>
      </c>
    </row>
    <row r="27" spans="2:22" x14ac:dyDescent="0.2">
      <c r="B27" s="8" t="s">
        <v>18</v>
      </c>
      <c r="C27" s="6">
        <v>2</v>
      </c>
      <c r="D27" s="352" t="s">
        <v>12</v>
      </c>
      <c r="E27" s="30">
        <v>30600206</v>
      </c>
      <c r="F27" s="31">
        <v>803.8</v>
      </c>
      <c r="G27" s="31">
        <v>37653.11</v>
      </c>
      <c r="H27" s="31">
        <v>1298.8050000000001</v>
      </c>
      <c r="I27" s="457">
        <f t="shared" si="12"/>
        <v>38951.915000000001</v>
      </c>
      <c r="J27" s="456">
        <v>87117</v>
      </c>
      <c r="K27" s="33">
        <f t="shared" si="17"/>
        <v>0</v>
      </c>
      <c r="L27" s="28">
        <f t="shared" si="13"/>
        <v>107.19620592979015</v>
      </c>
      <c r="M27" s="28">
        <f t="shared" si="14"/>
        <v>3.6976220089825538</v>
      </c>
      <c r="N27" s="461">
        <f t="shared" si="15"/>
        <v>110.8938279387727</v>
      </c>
      <c r="O27" s="349">
        <f t="shared" si="16"/>
        <v>1</v>
      </c>
      <c r="P27" s="419">
        <f t="shared" si="7"/>
        <v>0</v>
      </c>
      <c r="Q27" s="419">
        <f t="shared" si="8"/>
        <v>2.6267797020712869</v>
      </c>
      <c r="R27" s="18"/>
      <c r="S27" s="456">
        <v>87117</v>
      </c>
      <c r="T27" s="33">
        <v>0</v>
      </c>
      <c r="U27" s="32">
        <v>4386</v>
      </c>
      <c r="V27" s="32">
        <v>0</v>
      </c>
    </row>
    <row r="28" spans="2:22" x14ac:dyDescent="0.2">
      <c r="B28" s="8" t="s">
        <v>18</v>
      </c>
      <c r="C28" s="6">
        <v>2</v>
      </c>
      <c r="D28" s="352" t="s">
        <v>13</v>
      </c>
      <c r="E28" s="30">
        <v>33005514</v>
      </c>
      <c r="F28" s="31">
        <v>5451.97</v>
      </c>
      <c r="G28" s="31">
        <v>181482.4</v>
      </c>
      <c r="H28" s="31">
        <v>8305.17</v>
      </c>
      <c r="I28" s="457">
        <f t="shared" si="12"/>
        <v>189787.57</v>
      </c>
      <c r="J28" s="456">
        <v>82694</v>
      </c>
      <c r="K28" s="33">
        <f t="shared" si="17"/>
        <v>21</v>
      </c>
      <c r="L28" s="28">
        <f t="shared" si="13"/>
        <v>699.03730211281413</v>
      </c>
      <c r="M28" s="28">
        <f t="shared" si="14"/>
        <v>31.990009115970921</v>
      </c>
      <c r="N28" s="461">
        <f t="shared" si="15"/>
        <v>731.02731122878515</v>
      </c>
      <c r="O28" s="349">
        <f t="shared" si="16"/>
        <v>1.5373697733982417</v>
      </c>
      <c r="P28" s="419">
        <f t="shared" si="7"/>
        <v>25.394829129078289</v>
      </c>
      <c r="Q28" s="419">
        <f t="shared" si="8"/>
        <v>16.518361144140947</v>
      </c>
      <c r="R28" s="18"/>
      <c r="S28" s="456">
        <v>82694</v>
      </c>
      <c r="T28" s="33">
        <v>21</v>
      </c>
      <c r="U28" s="32">
        <v>3180</v>
      </c>
      <c r="V28" s="32">
        <v>2</v>
      </c>
    </row>
    <row r="29" spans="2:22" x14ac:dyDescent="0.2">
      <c r="B29" s="8" t="s">
        <v>18</v>
      </c>
      <c r="C29" s="6">
        <v>2</v>
      </c>
      <c r="D29" s="352" t="s">
        <v>14</v>
      </c>
      <c r="E29" s="30">
        <v>15323140</v>
      </c>
      <c r="F29" s="31">
        <v>7354.05</v>
      </c>
      <c r="G29" s="31">
        <v>170263.3</v>
      </c>
      <c r="H29" s="31">
        <v>9603.35</v>
      </c>
      <c r="I29" s="457">
        <f t="shared" si="12"/>
        <v>179866.65</v>
      </c>
      <c r="J29" s="456">
        <v>35399</v>
      </c>
      <c r="K29" s="33">
        <f t="shared" si="17"/>
        <v>11</v>
      </c>
      <c r="L29" s="28">
        <f t="shared" si="13"/>
        <v>254.67549173584621</v>
      </c>
      <c r="M29" s="28">
        <f t="shared" si="14"/>
        <v>14.364445441627403</v>
      </c>
      <c r="N29" s="461">
        <f t="shared" si="15"/>
        <v>269.03993717747363</v>
      </c>
      <c r="O29" s="349">
        <f t="shared" si="16"/>
        <v>0.64747481877636748</v>
      </c>
      <c r="P29" s="419">
        <f t="shared" si="7"/>
        <v>31.074324133450098</v>
      </c>
      <c r="Q29" s="419">
        <f t="shared" si="8"/>
        <v>47.993100630810652</v>
      </c>
      <c r="R29" s="18"/>
      <c r="S29" s="456">
        <v>35399</v>
      </c>
      <c r="T29" s="33">
        <v>11</v>
      </c>
      <c r="U29" s="32">
        <v>1259</v>
      </c>
      <c r="V29" s="32">
        <v>3</v>
      </c>
    </row>
    <row r="30" spans="2:22" x14ac:dyDescent="0.2">
      <c r="B30" s="8" t="s">
        <v>18</v>
      </c>
      <c r="C30" s="6">
        <v>2</v>
      </c>
      <c r="D30" s="352" t="s">
        <v>15</v>
      </c>
      <c r="E30" s="30">
        <v>9169601</v>
      </c>
      <c r="F30" s="31">
        <v>8376.92</v>
      </c>
      <c r="G30" s="31">
        <v>123770.5</v>
      </c>
      <c r="H30" s="31">
        <v>9438.77</v>
      </c>
      <c r="I30" s="457">
        <f t="shared" si="12"/>
        <v>133209.26999999999</v>
      </c>
      <c r="J30" s="456">
        <v>20855</v>
      </c>
      <c r="K30" s="33">
        <f t="shared" si="17"/>
        <v>21</v>
      </c>
      <c r="L30" s="28">
        <f t="shared" si="13"/>
        <v>310.27877788017548</v>
      </c>
      <c r="M30" s="28">
        <f t="shared" si="14"/>
        <v>23.661938994284291</v>
      </c>
      <c r="N30" s="461">
        <f t="shared" si="15"/>
        <v>333.94071687445972</v>
      </c>
      <c r="O30" s="349">
        <f t="shared" si="16"/>
        <v>1.1022374713709304</v>
      </c>
      <c r="P30" s="419">
        <f t="shared" si="7"/>
        <v>100.69527691201151</v>
      </c>
      <c r="Q30" s="419">
        <f t="shared" si="8"/>
        <v>91.35533814393888</v>
      </c>
      <c r="R30" s="18"/>
      <c r="S30" s="456">
        <v>20855</v>
      </c>
      <c r="T30" s="33">
        <v>21</v>
      </c>
      <c r="U30" s="32">
        <v>1012</v>
      </c>
      <c r="V30" s="32">
        <v>1</v>
      </c>
    </row>
    <row r="31" spans="2:22" x14ac:dyDescent="0.2">
      <c r="B31" s="8" t="s">
        <v>18</v>
      </c>
      <c r="C31" s="6">
        <v>2</v>
      </c>
      <c r="D31" s="352" t="s">
        <v>16</v>
      </c>
      <c r="E31" s="30">
        <v>7152707</v>
      </c>
      <c r="F31" s="31">
        <v>9741.3700000000008</v>
      </c>
      <c r="G31" s="31">
        <v>62005.5</v>
      </c>
      <c r="H31" s="31">
        <v>8061.82</v>
      </c>
      <c r="I31" s="457">
        <f t="shared" si="12"/>
        <v>70067.320000000007</v>
      </c>
      <c r="J31" s="456">
        <v>16854</v>
      </c>
      <c r="K31" s="33">
        <f t="shared" si="17"/>
        <v>16</v>
      </c>
      <c r="L31" s="28">
        <f t="shared" si="13"/>
        <v>101.84275928334515</v>
      </c>
      <c r="M31" s="28">
        <f t="shared" si="14"/>
        <v>13.2413736466226</v>
      </c>
      <c r="N31" s="461">
        <f t="shared" si="15"/>
        <v>115.08413292996775</v>
      </c>
      <c r="O31" s="349">
        <f t="shared" si="16"/>
        <v>0.69705554943119874</v>
      </c>
      <c r="P31" s="419">
        <f t="shared" si="7"/>
        <v>94.932953601518932</v>
      </c>
      <c r="Q31" s="419">
        <f t="shared" si="8"/>
        <v>136.19137481795354</v>
      </c>
      <c r="R31" s="18"/>
      <c r="S31" s="456">
        <v>16854</v>
      </c>
      <c r="T31" s="33">
        <v>16</v>
      </c>
      <c r="U31" s="32">
        <v>417</v>
      </c>
      <c r="V31" s="32">
        <v>1</v>
      </c>
    </row>
    <row r="32" spans="2:22" x14ac:dyDescent="0.2">
      <c r="B32" s="8" t="s">
        <v>18</v>
      </c>
      <c r="C32" s="6">
        <v>1</v>
      </c>
      <c r="D32" s="352" t="s">
        <v>9</v>
      </c>
      <c r="E32" s="30">
        <v>10319427</v>
      </c>
      <c r="F32" s="31">
        <v>0</v>
      </c>
      <c r="G32" s="31">
        <v>0</v>
      </c>
      <c r="H32" s="31">
        <v>0</v>
      </c>
      <c r="I32" s="457">
        <f t="shared" si="9"/>
        <v>0</v>
      </c>
      <c r="J32" s="456">
        <v>40476</v>
      </c>
      <c r="K32" s="33">
        <f t="shared" si="17"/>
        <v>0</v>
      </c>
      <c r="L32" s="28">
        <f t="shared" si="13"/>
        <v>0</v>
      </c>
      <c r="M32" s="28">
        <f t="shared" si="14"/>
        <v>0</v>
      </c>
      <c r="N32" s="461">
        <f t="shared" si="15"/>
        <v>0</v>
      </c>
      <c r="O32" s="349">
        <f t="shared" si="10"/>
        <v>1</v>
      </c>
      <c r="P32" s="419">
        <f t="shared" si="7"/>
        <v>0</v>
      </c>
      <c r="Q32" s="419">
        <f t="shared" si="8"/>
        <v>0</v>
      </c>
      <c r="R32" s="18"/>
      <c r="S32" s="456">
        <v>40476</v>
      </c>
      <c r="T32" s="33">
        <v>0</v>
      </c>
      <c r="U32" s="31">
        <v>1962</v>
      </c>
      <c r="V32" s="32">
        <v>0</v>
      </c>
    </row>
    <row r="33" spans="2:22" x14ac:dyDescent="0.2">
      <c r="B33" s="8" t="s">
        <v>18</v>
      </c>
      <c r="C33" s="6">
        <v>1</v>
      </c>
      <c r="D33" s="352" t="s">
        <v>10</v>
      </c>
      <c r="E33" s="30">
        <v>20969500</v>
      </c>
      <c r="F33" s="31">
        <v>0</v>
      </c>
      <c r="G33" s="31">
        <v>0</v>
      </c>
      <c r="H33" s="31">
        <v>0</v>
      </c>
      <c r="I33" s="457">
        <f t="shared" si="9"/>
        <v>0</v>
      </c>
      <c r="J33" s="456">
        <v>76614</v>
      </c>
      <c r="K33" s="33">
        <f t="shared" si="17"/>
        <v>0</v>
      </c>
      <c r="L33" s="28">
        <f t="shared" si="13"/>
        <v>0</v>
      </c>
      <c r="M33" s="28">
        <f t="shared" si="14"/>
        <v>0</v>
      </c>
      <c r="N33" s="461">
        <f t="shared" si="15"/>
        <v>0</v>
      </c>
      <c r="O33" s="349">
        <f t="shared" si="10"/>
        <v>1</v>
      </c>
      <c r="P33" s="419">
        <f t="shared" si="7"/>
        <v>0</v>
      </c>
      <c r="Q33" s="419">
        <f t="shared" si="8"/>
        <v>0</v>
      </c>
      <c r="R33" s="18"/>
      <c r="S33" s="456">
        <v>76614</v>
      </c>
      <c r="T33" s="33">
        <v>0</v>
      </c>
      <c r="U33" s="31">
        <v>4589</v>
      </c>
      <c r="V33" s="32">
        <v>0</v>
      </c>
    </row>
    <row r="34" spans="2:22" x14ac:dyDescent="0.2">
      <c r="B34" s="8" t="s">
        <v>18</v>
      </c>
      <c r="C34" s="6">
        <v>1</v>
      </c>
      <c r="D34" s="352" t="s">
        <v>11</v>
      </c>
      <c r="E34" s="30">
        <v>32953433</v>
      </c>
      <c r="F34" s="31">
        <v>67.92313</v>
      </c>
      <c r="G34" s="31">
        <v>4136.2629999999999</v>
      </c>
      <c r="H34" s="31">
        <v>116.4747</v>
      </c>
      <c r="I34" s="457">
        <f t="shared" si="9"/>
        <v>4252.7376999999997</v>
      </c>
      <c r="J34" s="456">
        <v>116710</v>
      </c>
      <c r="K34" s="33">
        <f t="shared" si="17"/>
        <v>0</v>
      </c>
      <c r="L34" s="28">
        <f t="shared" si="13"/>
        <v>14.649255351635139</v>
      </c>
      <c r="M34" s="28">
        <f t="shared" si="14"/>
        <v>0.41251429667434042</v>
      </c>
      <c r="N34" s="461">
        <f t="shared" si="15"/>
        <v>15.061769648309479</v>
      </c>
      <c r="O34" s="349">
        <f t="shared" si="10"/>
        <v>1</v>
      </c>
      <c r="P34" s="419">
        <f t="shared" si="7"/>
        <v>0</v>
      </c>
      <c r="Q34" s="419">
        <f t="shared" si="8"/>
        <v>0.20611852488934915</v>
      </c>
      <c r="R34" s="18"/>
      <c r="S34" s="456">
        <v>116710</v>
      </c>
      <c r="T34" s="33">
        <v>0</v>
      </c>
      <c r="U34" s="31">
        <v>4767</v>
      </c>
      <c r="V34" s="32">
        <v>0</v>
      </c>
    </row>
    <row r="35" spans="2:22" x14ac:dyDescent="0.2">
      <c r="B35" s="8" t="s">
        <v>18</v>
      </c>
      <c r="C35" s="6">
        <v>1</v>
      </c>
      <c r="D35" s="352" t="s">
        <v>12</v>
      </c>
      <c r="E35" s="30">
        <v>30432499</v>
      </c>
      <c r="F35" s="31">
        <v>702.66330000000005</v>
      </c>
      <c r="G35" s="31">
        <v>32869.550000000003</v>
      </c>
      <c r="H35" s="31">
        <v>1243.095</v>
      </c>
      <c r="I35" s="457">
        <f t="shared" si="9"/>
        <v>34112.645000000004</v>
      </c>
      <c r="J35" s="456">
        <v>89486</v>
      </c>
      <c r="K35" s="33">
        <f t="shared" si="17"/>
        <v>2</v>
      </c>
      <c r="L35" s="28">
        <f t="shared" si="13"/>
        <v>93.557042185069292</v>
      </c>
      <c r="M35" s="28">
        <f t="shared" si="14"/>
        <v>3.5382380152770181</v>
      </c>
      <c r="N35" s="461">
        <f t="shared" si="15"/>
        <v>97.095280200346323</v>
      </c>
      <c r="O35" s="349">
        <f t="shared" si="10"/>
        <v>0.96797746184902789</v>
      </c>
      <c r="P35" s="419">
        <f t="shared" si="7"/>
        <v>2.2349864783318059</v>
      </c>
      <c r="Q35" s="419">
        <f t="shared" si="8"/>
        <v>2.3089240880283941</v>
      </c>
      <c r="R35" s="18"/>
      <c r="S35" s="456">
        <v>89486</v>
      </c>
      <c r="T35" s="33">
        <v>2</v>
      </c>
      <c r="U35" s="31">
        <v>4198</v>
      </c>
      <c r="V35" s="32">
        <v>1</v>
      </c>
    </row>
    <row r="36" spans="2:22" x14ac:dyDescent="0.2">
      <c r="B36" s="8" t="s">
        <v>18</v>
      </c>
      <c r="C36" s="6">
        <v>1</v>
      </c>
      <c r="D36" s="352" t="s">
        <v>13</v>
      </c>
      <c r="E36" s="30">
        <v>31666007</v>
      </c>
      <c r="F36" s="31">
        <v>4273.8370000000004</v>
      </c>
      <c r="G36" s="31">
        <v>142695</v>
      </c>
      <c r="H36" s="31">
        <v>6929.54</v>
      </c>
      <c r="I36" s="457">
        <f t="shared" si="9"/>
        <v>149624.54</v>
      </c>
      <c r="J36" s="456">
        <v>81265</v>
      </c>
      <c r="K36" s="33">
        <f t="shared" si="17"/>
        <v>9</v>
      </c>
      <c r="L36" s="28">
        <f t="shared" si="13"/>
        <v>300.49227427250969</v>
      </c>
      <c r="M36" s="28">
        <f t="shared" si="14"/>
        <v>14.592475099073736</v>
      </c>
      <c r="N36" s="461">
        <f t="shared" si="15"/>
        <v>315.08474937158343</v>
      </c>
      <c r="O36" s="349">
        <f t="shared" si="10"/>
        <v>0.82056751251302462</v>
      </c>
      <c r="P36" s="419">
        <f t="shared" si="7"/>
        <v>11.07487848397219</v>
      </c>
      <c r="Q36" s="419">
        <f t="shared" si="8"/>
        <v>13.496608524087044</v>
      </c>
      <c r="S36" s="456">
        <v>81265</v>
      </c>
      <c r="T36" s="33">
        <v>9</v>
      </c>
      <c r="U36" s="31">
        <v>2957</v>
      </c>
      <c r="V36" s="32">
        <v>0</v>
      </c>
    </row>
    <row r="37" spans="2:22" x14ac:dyDescent="0.2">
      <c r="B37" s="8" t="s">
        <v>18</v>
      </c>
      <c r="C37" s="6">
        <v>1</v>
      </c>
      <c r="D37" s="352" t="s">
        <v>14</v>
      </c>
      <c r="E37" s="30">
        <v>13930047</v>
      </c>
      <c r="F37" s="31">
        <v>5497.69</v>
      </c>
      <c r="G37" s="31">
        <v>126962.6</v>
      </c>
      <c r="H37" s="31">
        <v>7703.3</v>
      </c>
      <c r="I37" s="457">
        <f t="shared" si="9"/>
        <v>134665.9</v>
      </c>
      <c r="J37" s="456">
        <v>33077</v>
      </c>
      <c r="K37" s="33">
        <f t="shared" si="17"/>
        <v>6</v>
      </c>
      <c r="L37" s="28">
        <f t="shared" si="13"/>
        <v>138.56285094285056</v>
      </c>
      <c r="M37" s="28">
        <f t="shared" si="14"/>
        <v>8.4071309950179067</v>
      </c>
      <c r="N37" s="461">
        <f t="shared" si="15"/>
        <v>146.96998193786845</v>
      </c>
      <c r="O37" s="349">
        <f t="shared" si="10"/>
        <v>0.45961846857715827</v>
      </c>
      <c r="P37" s="419">
        <f t="shared" si="7"/>
        <v>18.139492698854191</v>
      </c>
      <c r="Q37" s="419">
        <f t="shared" si="8"/>
        <v>39.466413860628037</v>
      </c>
      <c r="S37" s="456">
        <v>33077</v>
      </c>
      <c r="T37" s="33">
        <v>6</v>
      </c>
      <c r="U37" s="31">
        <v>1391</v>
      </c>
      <c r="V37" s="32">
        <v>1</v>
      </c>
    </row>
    <row r="38" spans="2:22" x14ac:dyDescent="0.2">
      <c r="B38" s="8" t="s">
        <v>18</v>
      </c>
      <c r="C38" s="6">
        <v>1</v>
      </c>
      <c r="D38" s="352" t="s">
        <v>15</v>
      </c>
      <c r="E38" s="30">
        <v>7426360</v>
      </c>
      <c r="F38" s="31">
        <v>7400.1</v>
      </c>
      <c r="G38" s="31">
        <v>108048.7</v>
      </c>
      <c r="H38" s="31">
        <v>8795.9500000000007</v>
      </c>
      <c r="I38" s="457">
        <f t="shared" si="9"/>
        <v>116844.65</v>
      </c>
      <c r="J38" s="456">
        <v>16815</v>
      </c>
      <c r="K38" s="33">
        <f t="shared" si="17"/>
        <v>9</v>
      </c>
      <c r="L38" s="28">
        <f t="shared" si="13"/>
        <v>131.408805286415</v>
      </c>
      <c r="M38" s="28">
        <f t="shared" si="14"/>
        <v>10.697632464426155</v>
      </c>
      <c r="N38" s="461">
        <f t="shared" si="15"/>
        <v>142.10643775084117</v>
      </c>
      <c r="O38" s="349">
        <f t="shared" si="10"/>
        <v>0.53713573632181177</v>
      </c>
      <c r="P38" s="419">
        <f t="shared" si="7"/>
        <v>53.523639607493308</v>
      </c>
      <c r="Q38" s="419">
        <f t="shared" si="8"/>
        <v>99.646394734432491</v>
      </c>
      <c r="S38" s="456">
        <v>16815</v>
      </c>
      <c r="T38" s="33">
        <v>9</v>
      </c>
      <c r="U38" s="31">
        <v>1164</v>
      </c>
      <c r="V38" s="32">
        <v>1</v>
      </c>
    </row>
    <row r="39" spans="2:22" x14ac:dyDescent="0.2">
      <c r="B39" s="8" t="s">
        <v>18</v>
      </c>
      <c r="C39" s="6">
        <v>1</v>
      </c>
      <c r="D39" s="352" t="s">
        <v>16</v>
      </c>
      <c r="E39" s="30">
        <v>4084053</v>
      </c>
      <c r="F39" s="31">
        <v>14135</v>
      </c>
      <c r="G39" s="31">
        <v>77397.7</v>
      </c>
      <c r="H39" s="31">
        <v>11593.9</v>
      </c>
      <c r="I39" s="457">
        <f t="shared" si="9"/>
        <v>88991.599999999991</v>
      </c>
      <c r="J39" s="456">
        <v>10368</v>
      </c>
      <c r="K39" s="33">
        <f t="shared" si="17"/>
        <v>15</v>
      </c>
      <c r="L39" s="28">
        <f t="shared" si="13"/>
        <v>82.134099752387698</v>
      </c>
      <c r="M39" s="28">
        <f t="shared" si="14"/>
        <v>12.30339582596392</v>
      </c>
      <c r="N39" s="461">
        <f t="shared" si="15"/>
        <v>94.437495578351601</v>
      </c>
      <c r="O39" s="349">
        <f t="shared" si="10"/>
        <v>0.41801496236685926</v>
      </c>
      <c r="P39" s="419">
        <f t="shared" si="7"/>
        <v>144.67592592592592</v>
      </c>
      <c r="Q39" s="419">
        <f t="shared" si="8"/>
        <v>346.10226654747134</v>
      </c>
      <c r="S39" s="456">
        <v>10368</v>
      </c>
      <c r="T39" s="33">
        <v>15</v>
      </c>
      <c r="U39" s="31">
        <v>674</v>
      </c>
      <c r="V39" s="32">
        <v>1</v>
      </c>
    </row>
    <row r="40" spans="2:22" x14ac:dyDescent="0.2">
      <c r="B40" s="8" t="s">
        <v>19</v>
      </c>
      <c r="C40" s="6"/>
      <c r="D40" s="352"/>
      <c r="E40" s="30">
        <f>SUM(E24:E39)</f>
        <v>308745538</v>
      </c>
      <c r="F40" s="30">
        <f t="shared" ref="F40:K40" si="18">SUM(F24:F39)</f>
        <v>63908.540030000004</v>
      </c>
      <c r="G40" s="30">
        <f t="shared" si="18"/>
        <v>1073596.727</v>
      </c>
      <c r="H40" s="30">
        <f t="shared" si="18"/>
        <v>73237.063800000004</v>
      </c>
      <c r="I40" s="455">
        <f t="shared" si="18"/>
        <v>1146833.7908000001</v>
      </c>
      <c r="J40" s="456">
        <f t="shared" si="18"/>
        <v>930450</v>
      </c>
      <c r="K40" s="30">
        <f t="shared" si="18"/>
        <v>111</v>
      </c>
      <c r="L40" s="28">
        <f t="shared" si="13"/>
        <v>1864.6840725990526</v>
      </c>
      <c r="M40" s="28">
        <f t="shared" si="14"/>
        <v>127.20231252323914</v>
      </c>
      <c r="N40" s="461">
        <f t="shared" si="15"/>
        <v>1991.886385122292</v>
      </c>
      <c r="O40" s="349">
        <f t="shared" si="10"/>
        <v>0.57633067065789212</v>
      </c>
      <c r="P40" s="419">
        <f>SUMPRODUCT(P24:P39,E24:E39)/E40</f>
        <v>14.915916011435927</v>
      </c>
      <c r="Q40" s="419">
        <f t="shared" si="8"/>
        <v>20.69942142127411</v>
      </c>
      <c r="S40" s="456">
        <f>SUM(S24:S39)</f>
        <v>930450</v>
      </c>
      <c r="T40" s="30">
        <f>SUM(T24:T39)</f>
        <v>111</v>
      </c>
      <c r="U40" s="32">
        <f>SUM(U24:U39)</f>
        <v>44386</v>
      </c>
      <c r="V40" s="32">
        <f>SUM(V24:V39)</f>
        <v>11</v>
      </c>
    </row>
    <row r="41" spans="2:22" hidden="1" x14ac:dyDescent="0.2">
      <c r="B41" s="8" t="s">
        <v>20</v>
      </c>
      <c r="C41" s="6">
        <v>2</v>
      </c>
      <c r="D41" s="352" t="s">
        <v>9</v>
      </c>
      <c r="E41" s="30">
        <v>9881935</v>
      </c>
      <c r="F41" s="31">
        <v>11.817600000000001</v>
      </c>
      <c r="G41" s="31">
        <v>1001.78</v>
      </c>
      <c r="H41" s="31">
        <v>3.7901899999999999</v>
      </c>
      <c r="I41" s="457">
        <f t="shared" ref="I41:I48" si="19">G41+H41</f>
        <v>1005.57019</v>
      </c>
      <c r="J41" s="456">
        <v>38504</v>
      </c>
      <c r="K41" s="33">
        <v>0</v>
      </c>
      <c r="L41" s="28">
        <f t="shared" si="13"/>
        <v>3.9033384777374063</v>
      </c>
      <c r="M41" s="28">
        <f t="shared" si="14"/>
        <v>1.4768107234058917E-2</v>
      </c>
      <c r="N41" s="461">
        <f t="shared" si="15"/>
        <v>3.9181065849714654</v>
      </c>
      <c r="O41" s="349">
        <f t="shared" ref="O41:O48" si="20">IF(OR(F41 = 0, K41 = 0),1,(K41/J41)/(F41/E41))</f>
        <v>1</v>
      </c>
      <c r="P41" s="419">
        <f t="shared" si="7"/>
        <v>0</v>
      </c>
      <c r="Q41" s="419">
        <f t="shared" si="8"/>
        <v>0.11958791471508363</v>
      </c>
      <c r="U41" s="32"/>
      <c r="V41" s="32"/>
    </row>
    <row r="42" spans="2:22" hidden="1" x14ac:dyDescent="0.2">
      <c r="B42" s="8" t="s">
        <v>20</v>
      </c>
      <c r="C42" s="6">
        <v>2</v>
      </c>
      <c r="D42" s="352" t="s">
        <v>10</v>
      </c>
      <c r="E42" s="30">
        <v>20056351</v>
      </c>
      <c r="F42" s="31">
        <v>5.9893200000000002</v>
      </c>
      <c r="G42" s="31">
        <v>451.255</v>
      </c>
      <c r="H42" s="31">
        <v>15.956899999999999</v>
      </c>
      <c r="I42" s="457">
        <f t="shared" si="19"/>
        <v>467.21190000000001</v>
      </c>
      <c r="J42" s="456">
        <v>73835</v>
      </c>
      <c r="K42" s="33">
        <v>0</v>
      </c>
      <c r="L42" s="28">
        <f t="shared" si="13"/>
        <v>1.661240019433246</v>
      </c>
      <c r="M42" s="28">
        <f t="shared" si="14"/>
        <v>5.8743373183885741E-2</v>
      </c>
      <c r="N42" s="461">
        <f t="shared" si="15"/>
        <v>1.7199833926171317</v>
      </c>
      <c r="O42" s="349">
        <f t="shared" si="20"/>
        <v>1</v>
      </c>
      <c r="P42" s="419">
        <f t="shared" si="7"/>
        <v>0</v>
      </c>
      <c r="Q42" s="419">
        <f t="shared" si="8"/>
        <v>2.9862461022944806E-2</v>
      </c>
      <c r="U42" s="32"/>
      <c r="V42" s="32"/>
    </row>
    <row r="43" spans="2:22" hidden="1" x14ac:dyDescent="0.2">
      <c r="B43" s="8" t="s">
        <v>20</v>
      </c>
      <c r="C43" s="6">
        <v>2</v>
      </c>
      <c r="D43" s="352" t="s">
        <v>11</v>
      </c>
      <c r="E43" s="30">
        <v>31774758</v>
      </c>
      <c r="F43" s="31">
        <v>119.23090000000001</v>
      </c>
      <c r="G43" s="31">
        <v>7325.4620000000004</v>
      </c>
      <c r="H43" s="31">
        <v>169.47049999999999</v>
      </c>
      <c r="I43" s="457">
        <f t="shared" si="19"/>
        <v>7494.9325000000008</v>
      </c>
      <c r="J43" s="456">
        <v>110381</v>
      </c>
      <c r="K43" s="33">
        <v>0</v>
      </c>
      <c r="L43" s="28">
        <f t="shared" si="13"/>
        <v>25.447615400312415</v>
      </c>
      <c r="M43" s="28">
        <f t="shared" si="14"/>
        <v>0.58871646671549782</v>
      </c>
      <c r="N43" s="461">
        <f t="shared" si="15"/>
        <v>26.036331867027911</v>
      </c>
      <c r="O43" s="349">
        <f t="shared" si="20"/>
        <v>1</v>
      </c>
      <c r="P43" s="419">
        <f t="shared" si="7"/>
        <v>0</v>
      </c>
      <c r="Q43" s="419">
        <f t="shared" si="8"/>
        <v>0.37523779095343546</v>
      </c>
      <c r="U43" s="32"/>
      <c r="V43" s="32"/>
    </row>
    <row r="44" spans="2:22" hidden="1" x14ac:dyDescent="0.2">
      <c r="B44" s="8" t="s">
        <v>20</v>
      </c>
      <c r="C44" s="6">
        <v>2</v>
      </c>
      <c r="D44" s="352" t="s">
        <v>12</v>
      </c>
      <c r="E44" s="30">
        <v>30600206</v>
      </c>
      <c r="F44" s="31">
        <v>877.197</v>
      </c>
      <c r="G44" s="31">
        <v>41127.96</v>
      </c>
      <c r="H44" s="31">
        <v>539.30399999999997</v>
      </c>
      <c r="I44" s="457">
        <f t="shared" si="19"/>
        <v>41667.263999999996</v>
      </c>
      <c r="J44" s="456">
        <v>87117</v>
      </c>
      <c r="K44" s="33">
        <v>2</v>
      </c>
      <c r="L44" s="28">
        <f t="shared" si="13"/>
        <v>93.771319327357475</v>
      </c>
      <c r="M44" s="28">
        <f t="shared" si="14"/>
        <v>1.2296074883977033</v>
      </c>
      <c r="N44" s="461">
        <f t="shared" si="15"/>
        <v>95.000926815755193</v>
      </c>
      <c r="O44" s="349">
        <f t="shared" si="20"/>
        <v>0.80085574734979803</v>
      </c>
      <c r="P44" s="419">
        <f t="shared" si="7"/>
        <v>2.2957631690714786</v>
      </c>
      <c r="Q44" s="419">
        <f t="shared" si="8"/>
        <v>2.8666375644660693</v>
      </c>
      <c r="U44" s="32"/>
      <c r="V44" s="32"/>
    </row>
    <row r="45" spans="2:22" hidden="1" x14ac:dyDescent="0.2">
      <c r="B45" s="8" t="s">
        <v>20</v>
      </c>
      <c r="C45" s="6">
        <v>2</v>
      </c>
      <c r="D45" s="352" t="s">
        <v>13</v>
      </c>
      <c r="E45" s="30">
        <v>33005514</v>
      </c>
      <c r="F45" s="31">
        <v>3916.6190000000001</v>
      </c>
      <c r="G45" s="31">
        <v>132797.6</v>
      </c>
      <c r="H45" s="31">
        <v>1838.921</v>
      </c>
      <c r="I45" s="457">
        <f t="shared" si="19"/>
        <v>134636.52100000001</v>
      </c>
      <c r="J45" s="456">
        <v>82694</v>
      </c>
      <c r="K45" s="33">
        <v>7</v>
      </c>
      <c r="L45" s="28">
        <f t="shared" si="13"/>
        <v>237.34328000757799</v>
      </c>
      <c r="M45" s="28">
        <f t="shared" si="14"/>
        <v>3.2866222116575554</v>
      </c>
      <c r="N45" s="461">
        <f t="shared" si="15"/>
        <v>240.62990221923553</v>
      </c>
      <c r="O45" s="349">
        <f t="shared" si="20"/>
        <v>0.71334433120964902</v>
      </c>
      <c r="P45" s="419">
        <f t="shared" si="7"/>
        <v>8.4649430430260963</v>
      </c>
      <c r="Q45" s="419">
        <f t="shared" si="8"/>
        <v>11.866559630006066</v>
      </c>
      <c r="U45" s="32"/>
      <c r="V45" s="32"/>
    </row>
    <row r="46" spans="2:22" hidden="1" x14ac:dyDescent="0.2">
      <c r="B46" s="8" t="s">
        <v>20</v>
      </c>
      <c r="C46" s="6">
        <v>2</v>
      </c>
      <c r="D46" s="352" t="s">
        <v>14</v>
      </c>
      <c r="E46" s="30">
        <v>15323140</v>
      </c>
      <c r="F46" s="31">
        <v>3302.63</v>
      </c>
      <c r="G46" s="31">
        <v>77095</v>
      </c>
      <c r="H46" s="31">
        <v>1721.971</v>
      </c>
      <c r="I46" s="457">
        <f t="shared" si="19"/>
        <v>78816.971000000005</v>
      </c>
      <c r="J46" s="456">
        <v>35399</v>
      </c>
      <c r="K46" s="33">
        <v>15</v>
      </c>
      <c r="L46" s="28">
        <f t="shared" si="13"/>
        <v>350.15275704514278</v>
      </c>
      <c r="M46" s="28">
        <f t="shared" si="14"/>
        <v>7.820907882505761</v>
      </c>
      <c r="N46" s="461">
        <f t="shared" si="15"/>
        <v>357.9736649276486</v>
      </c>
      <c r="O46" s="349">
        <f t="shared" si="20"/>
        <v>1.96602082322092</v>
      </c>
      <c r="P46" s="419">
        <f t="shared" si="7"/>
        <v>42.37407836379559</v>
      </c>
      <c r="Q46" s="419">
        <f t="shared" si="8"/>
        <v>21.553219509839369</v>
      </c>
      <c r="U46" s="32"/>
      <c r="V46" s="32"/>
    </row>
    <row r="47" spans="2:22" hidden="1" x14ac:dyDescent="0.2">
      <c r="B47" s="8" t="s">
        <v>20</v>
      </c>
      <c r="C47" s="6">
        <v>2</v>
      </c>
      <c r="D47" s="352" t="s">
        <v>15</v>
      </c>
      <c r="E47" s="30">
        <v>9169601</v>
      </c>
      <c r="F47" s="31">
        <v>3287.73</v>
      </c>
      <c r="G47" s="31">
        <v>48299.3</v>
      </c>
      <c r="H47" s="31">
        <v>1770.018</v>
      </c>
      <c r="I47" s="457">
        <f t="shared" si="19"/>
        <v>50069.317999999999</v>
      </c>
      <c r="J47" s="456">
        <v>20855</v>
      </c>
      <c r="K47" s="33">
        <v>19</v>
      </c>
      <c r="L47" s="28">
        <f t="shared" si="13"/>
        <v>279.12471522904866</v>
      </c>
      <c r="M47" s="28">
        <f t="shared" si="14"/>
        <v>10.22904618079952</v>
      </c>
      <c r="N47" s="461">
        <f t="shared" si="15"/>
        <v>289.35376140984818</v>
      </c>
      <c r="O47" s="349">
        <f t="shared" si="20"/>
        <v>2.5409592528939124</v>
      </c>
      <c r="P47" s="419">
        <f t="shared" si="7"/>
        <v>91.105250539438984</v>
      </c>
      <c r="Q47" s="419">
        <f t="shared" si="8"/>
        <v>35.854668049351325</v>
      </c>
      <c r="U47" s="32"/>
      <c r="V47" s="32"/>
    </row>
    <row r="48" spans="2:22" hidden="1" x14ac:dyDescent="0.2">
      <c r="B48" s="8" t="s">
        <v>20</v>
      </c>
      <c r="C48" s="6">
        <v>2</v>
      </c>
      <c r="D48" s="352" t="s">
        <v>16</v>
      </c>
      <c r="E48" s="30">
        <v>7152707</v>
      </c>
      <c r="F48" s="31">
        <v>6812.66</v>
      </c>
      <c r="G48" s="31">
        <v>43363.8</v>
      </c>
      <c r="H48" s="31">
        <v>2050.46</v>
      </c>
      <c r="I48" s="457">
        <f t="shared" si="19"/>
        <v>45414.26</v>
      </c>
      <c r="J48" s="456">
        <v>16854</v>
      </c>
      <c r="K48" s="33">
        <v>50</v>
      </c>
      <c r="L48" s="28">
        <f t="shared" si="13"/>
        <v>318.25894731279709</v>
      </c>
      <c r="M48" s="28">
        <f t="shared" si="14"/>
        <v>15.04889426450168</v>
      </c>
      <c r="N48" s="461">
        <f t="shared" si="15"/>
        <v>333.3078415772988</v>
      </c>
      <c r="O48" s="349">
        <f t="shared" si="20"/>
        <v>3.114732359296239</v>
      </c>
      <c r="P48" s="419">
        <f t="shared" si="7"/>
        <v>296.66548000474666</v>
      </c>
      <c r="Q48" s="419">
        <f t="shared" si="8"/>
        <v>95.245897811835434</v>
      </c>
      <c r="U48" s="32"/>
      <c r="V48" s="32"/>
    </row>
    <row r="49" spans="2:22" hidden="1" x14ac:dyDescent="0.2">
      <c r="B49" s="8" t="s">
        <v>20</v>
      </c>
      <c r="C49" s="6">
        <v>1</v>
      </c>
      <c r="D49" s="352" t="s">
        <v>9</v>
      </c>
      <c r="E49" s="30">
        <v>10319427</v>
      </c>
      <c r="F49" s="31">
        <v>6.9508200000000002</v>
      </c>
      <c r="G49" s="31">
        <v>589.04200000000003</v>
      </c>
      <c r="H49" s="31">
        <v>2.4030300000000002</v>
      </c>
      <c r="I49" s="457">
        <f t="shared" si="9"/>
        <v>591.44502999999997</v>
      </c>
      <c r="J49" s="456">
        <v>40476</v>
      </c>
      <c r="K49" s="33">
        <v>0</v>
      </c>
      <c r="L49" s="28">
        <f t="shared" si="13"/>
        <v>2.3104057998569107</v>
      </c>
      <c r="M49" s="28">
        <f t="shared" si="14"/>
        <v>9.4254305282647968E-3</v>
      </c>
      <c r="N49" s="461">
        <f t="shared" si="15"/>
        <v>2.3198312303851751</v>
      </c>
      <c r="O49" s="349">
        <f t="shared" si="10"/>
        <v>1</v>
      </c>
      <c r="P49" s="419">
        <f t="shared" si="7"/>
        <v>0</v>
      </c>
      <c r="Q49" s="419">
        <f t="shared" si="8"/>
        <v>6.7356646837077289E-2</v>
      </c>
      <c r="U49" s="31"/>
      <c r="V49" s="32"/>
    </row>
    <row r="50" spans="2:22" hidden="1" x14ac:dyDescent="0.2">
      <c r="B50" s="8" t="s">
        <v>20</v>
      </c>
      <c r="C50" s="6">
        <v>1</v>
      </c>
      <c r="D50" s="352" t="s">
        <v>10</v>
      </c>
      <c r="E50" s="30">
        <v>20969500</v>
      </c>
      <c r="F50" s="31">
        <v>3.0499299999999998</v>
      </c>
      <c r="G50" s="31">
        <v>231.584</v>
      </c>
      <c r="H50" s="31">
        <v>11.4907</v>
      </c>
      <c r="I50" s="457">
        <f t="shared" si="9"/>
        <v>243.07470000000001</v>
      </c>
      <c r="J50" s="456">
        <v>76614</v>
      </c>
      <c r="K50" s="33">
        <v>0</v>
      </c>
      <c r="L50" s="28">
        <f t="shared" si="13"/>
        <v>0.84611347795607916</v>
      </c>
      <c r="M50" s="28">
        <f t="shared" si="14"/>
        <v>4.1982330995016574E-2</v>
      </c>
      <c r="N50" s="461">
        <f t="shared" si="15"/>
        <v>0.88809580895109563</v>
      </c>
      <c r="O50" s="349">
        <f t="shared" si="10"/>
        <v>1</v>
      </c>
      <c r="P50" s="419">
        <f t="shared" si="7"/>
        <v>0</v>
      </c>
      <c r="Q50" s="419">
        <f t="shared" si="8"/>
        <v>1.4544600491189585E-2</v>
      </c>
      <c r="U50" s="31"/>
      <c r="V50" s="32"/>
    </row>
    <row r="51" spans="2:22" hidden="1" x14ac:dyDescent="0.2">
      <c r="B51" s="8" t="s">
        <v>20</v>
      </c>
      <c r="C51" s="6">
        <v>1</v>
      </c>
      <c r="D51" s="352" t="s">
        <v>11</v>
      </c>
      <c r="E51" s="30">
        <v>32953433</v>
      </c>
      <c r="F51" s="31">
        <v>32.130459999999999</v>
      </c>
      <c r="G51" s="31">
        <v>1972.473</v>
      </c>
      <c r="H51" s="31">
        <v>136.7576</v>
      </c>
      <c r="I51" s="457">
        <f t="shared" si="9"/>
        <v>2109.2305999999999</v>
      </c>
      <c r="J51" s="456">
        <v>116710</v>
      </c>
      <c r="K51" s="33">
        <v>1</v>
      </c>
      <c r="L51" s="28">
        <f t="shared" si="13"/>
        <v>61.389503916221557</v>
      </c>
      <c r="M51" s="28">
        <f t="shared" si="14"/>
        <v>4.2563225051866667</v>
      </c>
      <c r="N51" s="461">
        <f t="shared" si="15"/>
        <v>65.645826421408216</v>
      </c>
      <c r="O51" s="349">
        <f t="shared" si="10"/>
        <v>8.787708707740137</v>
      </c>
      <c r="P51" s="419">
        <f t="shared" si="7"/>
        <v>0.85682460800274185</v>
      </c>
      <c r="Q51" s="419">
        <f t="shared" si="8"/>
        <v>9.750261831597333E-2</v>
      </c>
      <c r="U51" s="31"/>
      <c r="V51" s="32"/>
    </row>
    <row r="52" spans="2:22" hidden="1" x14ac:dyDescent="0.2">
      <c r="B52" s="8" t="s">
        <v>20</v>
      </c>
      <c r="C52" s="6">
        <v>1</v>
      </c>
      <c r="D52" s="352" t="s">
        <v>12</v>
      </c>
      <c r="E52" s="30">
        <v>30432499</v>
      </c>
      <c r="F52" s="31">
        <v>346.87029999999999</v>
      </c>
      <c r="G52" s="31">
        <v>16094.11</v>
      </c>
      <c r="H52" s="31">
        <v>583.34799999999996</v>
      </c>
      <c r="I52" s="457">
        <f t="shared" si="9"/>
        <v>16677.457999999999</v>
      </c>
      <c r="J52" s="456">
        <v>89486</v>
      </c>
      <c r="K52" s="33">
        <v>3</v>
      </c>
      <c r="L52" s="28">
        <f t="shared" si="13"/>
        <v>139.19418872125976</v>
      </c>
      <c r="M52" s="28">
        <f t="shared" si="14"/>
        <v>5.0452402526246836</v>
      </c>
      <c r="N52" s="461">
        <f t="shared" si="15"/>
        <v>144.23942897388443</v>
      </c>
      <c r="O52" s="349">
        <f t="shared" si="10"/>
        <v>2.9412819618822743</v>
      </c>
      <c r="P52" s="419">
        <f t="shared" si="7"/>
        <v>3.352479717497709</v>
      </c>
      <c r="Q52" s="419">
        <f t="shared" si="8"/>
        <v>1.1398022226173408</v>
      </c>
      <c r="U52" s="31"/>
      <c r="V52" s="32"/>
    </row>
    <row r="53" spans="2:22" hidden="1" x14ac:dyDescent="0.2">
      <c r="B53" s="8" t="s">
        <v>20</v>
      </c>
      <c r="C53" s="6">
        <v>1</v>
      </c>
      <c r="D53" s="352" t="s">
        <v>13</v>
      </c>
      <c r="E53" s="30">
        <v>31666007</v>
      </c>
      <c r="F53" s="31">
        <v>1884.7270000000001</v>
      </c>
      <c r="G53" s="31">
        <v>63493</v>
      </c>
      <c r="H53" s="31">
        <v>2074.1680000000001</v>
      </c>
      <c r="I53" s="457">
        <f t="shared" si="9"/>
        <v>65567.168000000005</v>
      </c>
      <c r="J53" s="456">
        <v>81265</v>
      </c>
      <c r="K53" s="33">
        <v>5</v>
      </c>
      <c r="L53" s="28">
        <f t="shared" si="13"/>
        <v>168.44084050369096</v>
      </c>
      <c r="M53" s="28">
        <f t="shared" si="14"/>
        <v>5.5025688070473873</v>
      </c>
      <c r="N53" s="461">
        <f t="shared" si="15"/>
        <v>173.94340931073836</v>
      </c>
      <c r="O53" s="349">
        <f t="shared" si="10"/>
        <v>1.0337399869748678</v>
      </c>
      <c r="P53" s="419">
        <f t="shared" si="7"/>
        <v>6.1527102688734381</v>
      </c>
      <c r="Q53" s="419">
        <f t="shared" si="8"/>
        <v>5.9518934610227303</v>
      </c>
      <c r="U53" s="31"/>
      <c r="V53" s="32"/>
    </row>
    <row r="54" spans="2:22" hidden="1" x14ac:dyDescent="0.2">
      <c r="B54" s="8" t="s">
        <v>20</v>
      </c>
      <c r="C54" s="6">
        <v>1</v>
      </c>
      <c r="D54" s="352" t="s">
        <v>14</v>
      </c>
      <c r="E54" s="30">
        <v>13930047</v>
      </c>
      <c r="F54" s="31">
        <v>2316.5500000000002</v>
      </c>
      <c r="G54" s="31">
        <v>53449</v>
      </c>
      <c r="H54" s="31">
        <v>2108.46</v>
      </c>
      <c r="I54" s="457">
        <f t="shared" si="9"/>
        <v>55557.46</v>
      </c>
      <c r="J54" s="456">
        <v>33077</v>
      </c>
      <c r="K54" s="33">
        <v>7</v>
      </c>
      <c r="L54" s="28">
        <f t="shared" si="13"/>
        <v>161.50870907167987</v>
      </c>
      <c r="M54" s="28">
        <f t="shared" si="14"/>
        <v>6.3712071830955512</v>
      </c>
      <c r="N54" s="461">
        <f t="shared" si="15"/>
        <v>167.8799162547754</v>
      </c>
      <c r="O54" s="349">
        <f t="shared" si="10"/>
        <v>1.2725733676936031</v>
      </c>
      <c r="P54" s="419">
        <f t="shared" si="7"/>
        <v>21.162741481996552</v>
      </c>
      <c r="Q54" s="419">
        <f t="shared" si="8"/>
        <v>16.62987928181434</v>
      </c>
      <c r="U54" s="31"/>
      <c r="V54" s="32"/>
    </row>
    <row r="55" spans="2:22" hidden="1" x14ac:dyDescent="0.2">
      <c r="B55" s="8" t="s">
        <v>20</v>
      </c>
      <c r="C55" s="6">
        <v>1</v>
      </c>
      <c r="D55" s="352" t="s">
        <v>15</v>
      </c>
      <c r="E55" s="30">
        <v>7426360</v>
      </c>
      <c r="F55" s="31">
        <v>3956.4</v>
      </c>
      <c r="G55" s="31">
        <v>57000.2</v>
      </c>
      <c r="H55" s="31">
        <v>2605.6799999999998</v>
      </c>
      <c r="I55" s="457">
        <f t="shared" si="9"/>
        <v>59605.88</v>
      </c>
      <c r="J55" s="456">
        <v>16815</v>
      </c>
      <c r="K55" s="33">
        <v>15</v>
      </c>
      <c r="L55" s="28">
        <f t="shared" si="13"/>
        <v>216.10630876554444</v>
      </c>
      <c r="M55" s="28">
        <f t="shared" si="14"/>
        <v>9.8789808917197437</v>
      </c>
      <c r="N55" s="461">
        <f t="shared" si="15"/>
        <v>225.98528965726416</v>
      </c>
      <c r="O55" s="349">
        <f t="shared" si="10"/>
        <v>1.6744423222942744</v>
      </c>
      <c r="P55" s="419">
        <f t="shared" si="7"/>
        <v>89.206066012488847</v>
      </c>
      <c r="Q55" s="419">
        <f t="shared" si="8"/>
        <v>53.275090353820715</v>
      </c>
      <c r="U55" s="31"/>
      <c r="V55" s="32"/>
    </row>
    <row r="56" spans="2:22" hidden="1" x14ac:dyDescent="0.2">
      <c r="B56" s="8" t="s">
        <v>20</v>
      </c>
      <c r="C56" s="6">
        <v>1</v>
      </c>
      <c r="D56" s="352" t="s">
        <v>16</v>
      </c>
      <c r="E56" s="30">
        <v>4084053</v>
      </c>
      <c r="F56" s="31">
        <v>17829.400000000001</v>
      </c>
      <c r="G56" s="31">
        <v>97626.7</v>
      </c>
      <c r="H56" s="31">
        <v>4634.1400000000003</v>
      </c>
      <c r="I56" s="457">
        <f t="shared" si="9"/>
        <v>102260.84</v>
      </c>
      <c r="J56" s="456">
        <v>10368</v>
      </c>
      <c r="K56" s="33">
        <v>115</v>
      </c>
      <c r="L56" s="28">
        <f t="shared" si="13"/>
        <v>629.69424097277522</v>
      </c>
      <c r="M56" s="28">
        <f t="shared" si="14"/>
        <v>29.89029916878863</v>
      </c>
      <c r="N56" s="461">
        <f t="shared" si="15"/>
        <v>659.58454014156393</v>
      </c>
      <c r="O56" s="349">
        <f t="shared" si="10"/>
        <v>2.5407240165172462</v>
      </c>
      <c r="P56" s="419">
        <f t="shared" si="7"/>
        <v>1109.1820987654321</v>
      </c>
      <c r="Q56" s="419">
        <f t="shared" si="8"/>
        <v>436.56142562302699</v>
      </c>
      <c r="U56" s="31"/>
      <c r="V56" s="32"/>
    </row>
    <row r="57" spans="2:22" hidden="1" x14ac:dyDescent="0.2">
      <c r="B57" s="8" t="s">
        <v>17</v>
      </c>
      <c r="C57" s="6"/>
      <c r="D57" s="352"/>
      <c r="E57" s="30">
        <f>SUM(E41:E56)</f>
        <v>308745538</v>
      </c>
      <c r="F57" s="30">
        <f t="shared" ref="F57:K57" si="21">SUM(F41:F56)</f>
        <v>44709.95233</v>
      </c>
      <c r="G57" s="30">
        <f t="shared" si="21"/>
        <v>641918.26599999995</v>
      </c>
      <c r="H57" s="30">
        <f t="shared" si="21"/>
        <v>20266.338920000002</v>
      </c>
      <c r="I57" s="455">
        <f t="shared" si="21"/>
        <v>662184.60491999995</v>
      </c>
      <c r="J57" s="456">
        <f t="shared" si="21"/>
        <v>930450</v>
      </c>
      <c r="K57" s="30">
        <f t="shared" si="21"/>
        <v>239</v>
      </c>
      <c r="L57" s="28">
        <f t="shared" si="13"/>
        <v>3431.4164426218254</v>
      </c>
      <c r="M57" s="28">
        <f t="shared" si="14"/>
        <v>108.33505180523193</v>
      </c>
      <c r="N57" s="461">
        <f t="shared" si="15"/>
        <v>3539.7514944270574</v>
      </c>
      <c r="O57" s="349">
        <f t="shared" si="10"/>
        <v>1.7737864940882242</v>
      </c>
      <c r="P57" s="419">
        <f>SUMPRODUCT(P41:P56,E41:E56)/E57</f>
        <v>31.639740961687348</v>
      </c>
      <c r="Q57" s="419">
        <f t="shared" si="8"/>
        <v>14.481165499467073</v>
      </c>
      <c r="U57" s="32"/>
      <c r="V57" s="32"/>
    </row>
    <row r="58" spans="2:22" x14ac:dyDescent="0.2">
      <c r="B58" s="8" t="s">
        <v>21</v>
      </c>
      <c r="C58" s="6">
        <v>2</v>
      </c>
      <c r="D58" s="352" t="s">
        <v>9</v>
      </c>
      <c r="E58" s="30">
        <v>9881935</v>
      </c>
      <c r="F58" s="31">
        <v>78.372600000000006</v>
      </c>
      <c r="G58" s="31">
        <v>6657.37</v>
      </c>
      <c r="H58" s="31">
        <v>58.744799999999998</v>
      </c>
      <c r="I58" s="457">
        <f t="shared" ref="I58:I65" si="22">G58+H58</f>
        <v>6716.1148000000003</v>
      </c>
      <c r="J58" s="456">
        <f>IF($J$5="Fresno",S58,U58)</f>
        <v>38504</v>
      </c>
      <c r="K58" s="33">
        <f>IF($J$5="Fresno",T58,V58)</f>
        <v>0</v>
      </c>
      <c r="L58" s="28">
        <f t="shared" si="13"/>
        <v>25.939795645286072</v>
      </c>
      <c r="M58" s="28">
        <f t="shared" si="14"/>
        <v>0.22889340794085369</v>
      </c>
      <c r="N58" s="461">
        <f t="shared" si="15"/>
        <v>26.168689053226924</v>
      </c>
      <c r="O58" s="349">
        <f t="shared" ref="O58:O65" si="23">IF(OR(F58 = 0, K58 = 0),1,(K58/J58)/(F58/E58))</f>
        <v>1</v>
      </c>
      <c r="P58" s="419">
        <f t="shared" si="7"/>
        <v>0</v>
      </c>
      <c r="Q58" s="419">
        <f t="shared" si="8"/>
        <v>0.79308961251010057</v>
      </c>
      <c r="S58" s="456">
        <v>38504</v>
      </c>
      <c r="T58" s="33">
        <v>0</v>
      </c>
      <c r="U58" s="32">
        <v>2038</v>
      </c>
      <c r="V58" s="32">
        <v>0</v>
      </c>
    </row>
    <row r="59" spans="2:22" x14ac:dyDescent="0.2">
      <c r="B59" s="8" t="s">
        <v>21</v>
      </c>
      <c r="C59" s="6">
        <v>2</v>
      </c>
      <c r="D59" s="352" t="s">
        <v>10</v>
      </c>
      <c r="E59" s="30">
        <v>20056351</v>
      </c>
      <c r="F59" s="31">
        <v>45.125300000000003</v>
      </c>
      <c r="G59" s="31">
        <v>3401.45</v>
      </c>
      <c r="H59" s="31">
        <v>246.52699999999999</v>
      </c>
      <c r="I59" s="457">
        <f t="shared" si="22"/>
        <v>3647.9769999999999</v>
      </c>
      <c r="J59" s="456">
        <f t="shared" ref="J59:J73" si="24">IF($J$5="Fresno",S59,U59)</f>
        <v>73835</v>
      </c>
      <c r="K59" s="33">
        <f t="shared" ref="K59:K73" si="25">IF($J$5="Fresno",T59,V59)</f>
        <v>0</v>
      </c>
      <c r="L59" s="28">
        <f t="shared" si="13"/>
        <v>12.522021615497254</v>
      </c>
      <c r="M59" s="28">
        <f t="shared" si="14"/>
        <v>0.9075589595036504</v>
      </c>
      <c r="N59" s="461">
        <f t="shared" si="15"/>
        <v>13.429580575000905</v>
      </c>
      <c r="O59" s="349">
        <f t="shared" si="23"/>
        <v>1</v>
      </c>
      <c r="P59" s="419">
        <f t="shared" si="7"/>
        <v>0</v>
      </c>
      <c r="Q59" s="419">
        <f t="shared" si="8"/>
        <v>0.22499257217825919</v>
      </c>
      <c r="S59" s="456">
        <v>73835</v>
      </c>
      <c r="T59" s="33">
        <v>0</v>
      </c>
      <c r="U59" s="32">
        <v>4837</v>
      </c>
      <c r="V59" s="32">
        <v>0</v>
      </c>
    </row>
    <row r="60" spans="2:22" x14ac:dyDescent="0.2">
      <c r="B60" s="8" t="s">
        <v>21</v>
      </c>
      <c r="C60" s="6">
        <v>2</v>
      </c>
      <c r="D60" s="352" t="s">
        <v>11</v>
      </c>
      <c r="E60" s="30">
        <v>31774758</v>
      </c>
      <c r="F60" s="31">
        <v>601.83190000000002</v>
      </c>
      <c r="G60" s="31">
        <v>37229.519999999997</v>
      </c>
      <c r="H60" s="31">
        <v>6142.6790000000001</v>
      </c>
      <c r="I60" s="457">
        <f t="shared" si="22"/>
        <v>43372.198999999993</v>
      </c>
      <c r="J60" s="456">
        <f t="shared" si="24"/>
        <v>110381</v>
      </c>
      <c r="K60" s="33">
        <f t="shared" si="25"/>
        <v>0</v>
      </c>
      <c r="L60" s="28">
        <f t="shared" si="13"/>
        <v>129.33006907936166</v>
      </c>
      <c r="M60" s="28">
        <f t="shared" si="14"/>
        <v>21.338795112113836</v>
      </c>
      <c r="N60" s="461">
        <f t="shared" si="15"/>
        <v>150.66886419147548</v>
      </c>
      <c r="O60" s="349">
        <f t="shared" si="23"/>
        <v>1</v>
      </c>
      <c r="P60" s="419">
        <f t="shared" si="7"/>
        <v>0</v>
      </c>
      <c r="Q60" s="419">
        <f t="shared" si="8"/>
        <v>1.8940565967489036</v>
      </c>
      <c r="S60" s="456">
        <v>110381</v>
      </c>
      <c r="T60" s="33">
        <v>0</v>
      </c>
      <c r="U60" s="32">
        <v>5555</v>
      </c>
      <c r="V60" s="32">
        <v>0</v>
      </c>
    </row>
    <row r="61" spans="2:22" x14ac:dyDescent="0.2">
      <c r="B61" s="8" t="s">
        <v>21</v>
      </c>
      <c r="C61" s="6">
        <v>2</v>
      </c>
      <c r="D61" s="352" t="s">
        <v>12</v>
      </c>
      <c r="E61" s="30">
        <v>30600206</v>
      </c>
      <c r="F61" s="31">
        <v>5425.509</v>
      </c>
      <c r="G61" s="31">
        <v>252192.7</v>
      </c>
      <c r="H61" s="31">
        <v>25697.02</v>
      </c>
      <c r="I61" s="457">
        <f t="shared" si="22"/>
        <v>277889.72000000003</v>
      </c>
      <c r="J61" s="456">
        <f t="shared" si="24"/>
        <v>87117</v>
      </c>
      <c r="K61" s="33">
        <f t="shared" si="25"/>
        <v>10</v>
      </c>
      <c r="L61" s="28">
        <f t="shared" si="13"/>
        <v>464.82772399787746</v>
      </c>
      <c r="M61" s="28">
        <f t="shared" si="14"/>
        <v>47.363334942398957</v>
      </c>
      <c r="N61" s="461">
        <f t="shared" si="15"/>
        <v>512.19105894027643</v>
      </c>
      <c r="O61" s="349">
        <f t="shared" si="23"/>
        <v>0.64741230639189862</v>
      </c>
      <c r="P61" s="419">
        <f t="shared" si="7"/>
        <v>11.478815845357392</v>
      </c>
      <c r="Q61" s="419">
        <f t="shared" si="8"/>
        <v>17.730302207769451</v>
      </c>
      <c r="S61" s="456">
        <v>87117</v>
      </c>
      <c r="T61" s="33">
        <v>10</v>
      </c>
      <c r="U61" s="32">
        <v>4386</v>
      </c>
      <c r="V61" s="32">
        <v>0</v>
      </c>
    </row>
    <row r="62" spans="2:22" x14ac:dyDescent="0.2">
      <c r="B62" s="8" t="s">
        <v>21</v>
      </c>
      <c r="C62" s="6">
        <v>2</v>
      </c>
      <c r="D62" s="352" t="s">
        <v>13</v>
      </c>
      <c r="E62" s="30">
        <v>33005514</v>
      </c>
      <c r="F62" s="31">
        <v>37320.83</v>
      </c>
      <c r="G62" s="31">
        <v>1247929</v>
      </c>
      <c r="H62" s="31">
        <v>93788.5</v>
      </c>
      <c r="I62" s="457">
        <f t="shared" si="22"/>
        <v>1341717.5</v>
      </c>
      <c r="J62" s="456">
        <f t="shared" si="24"/>
        <v>82694</v>
      </c>
      <c r="K62" s="33">
        <f t="shared" si="25"/>
        <v>88</v>
      </c>
      <c r="L62" s="28">
        <f t="shared" si="13"/>
        <v>2942.5324142040786</v>
      </c>
      <c r="M62" s="28">
        <f t="shared" si="14"/>
        <v>221.14695734258862</v>
      </c>
      <c r="N62" s="461">
        <f t="shared" si="15"/>
        <v>3163.6793715466679</v>
      </c>
      <c r="O62" s="349">
        <f t="shared" si="23"/>
        <v>0.94111756503158617</v>
      </c>
      <c r="P62" s="419">
        <f t="shared" si="7"/>
        <v>106.41642682661379</v>
      </c>
      <c r="Q62" s="419">
        <f t="shared" si="8"/>
        <v>113.07453051632524</v>
      </c>
      <c r="S62" s="456">
        <v>82694</v>
      </c>
      <c r="T62" s="33">
        <v>88</v>
      </c>
      <c r="U62" s="32">
        <v>3180</v>
      </c>
      <c r="V62" s="32">
        <v>8</v>
      </c>
    </row>
    <row r="63" spans="2:22" x14ac:dyDescent="0.2">
      <c r="B63" s="8" t="s">
        <v>21</v>
      </c>
      <c r="C63" s="6">
        <v>2</v>
      </c>
      <c r="D63" s="352" t="s">
        <v>14</v>
      </c>
      <c r="E63" s="30">
        <v>15323140</v>
      </c>
      <c r="F63" s="31">
        <v>46256.5</v>
      </c>
      <c r="G63" s="31">
        <v>1072270</v>
      </c>
      <c r="H63" s="31">
        <v>91209.7</v>
      </c>
      <c r="I63" s="457">
        <f t="shared" si="22"/>
        <v>1163479.7</v>
      </c>
      <c r="J63" s="456">
        <f t="shared" si="24"/>
        <v>35399</v>
      </c>
      <c r="K63" s="33">
        <f t="shared" si="25"/>
        <v>98</v>
      </c>
      <c r="L63" s="28">
        <f t="shared" si="13"/>
        <v>2271.7339184763223</v>
      </c>
      <c r="M63" s="28">
        <f t="shared" si="14"/>
        <v>193.23880103336825</v>
      </c>
      <c r="N63" s="461">
        <f t="shared" si="15"/>
        <v>2464.9727195096898</v>
      </c>
      <c r="O63" s="349">
        <f t="shared" si="23"/>
        <v>0.91708604042908914</v>
      </c>
      <c r="P63" s="419">
        <f t="shared" si="7"/>
        <v>276.84397864346448</v>
      </c>
      <c r="Q63" s="419">
        <f t="shared" si="8"/>
        <v>301.87350634400002</v>
      </c>
      <c r="S63" s="456">
        <v>35399</v>
      </c>
      <c r="T63" s="33">
        <v>98</v>
      </c>
      <c r="U63" s="32">
        <v>1259</v>
      </c>
      <c r="V63" s="32">
        <v>5</v>
      </c>
    </row>
    <row r="64" spans="2:22" x14ac:dyDescent="0.2">
      <c r="B64" s="8" t="s">
        <v>21</v>
      </c>
      <c r="C64" s="6">
        <v>2</v>
      </c>
      <c r="D64" s="352" t="s">
        <v>15</v>
      </c>
      <c r="E64" s="30">
        <v>9169601</v>
      </c>
      <c r="F64" s="31">
        <v>60668.2</v>
      </c>
      <c r="G64" s="31">
        <v>886284</v>
      </c>
      <c r="H64" s="31">
        <v>78977.7</v>
      </c>
      <c r="I64" s="457">
        <f t="shared" si="22"/>
        <v>965261.7</v>
      </c>
      <c r="J64" s="456">
        <f t="shared" si="24"/>
        <v>20855</v>
      </c>
      <c r="K64" s="33">
        <f t="shared" si="25"/>
        <v>117</v>
      </c>
      <c r="L64" s="28">
        <f t="shared" si="13"/>
        <v>1709.2187999643966</v>
      </c>
      <c r="M64" s="28">
        <f t="shared" si="14"/>
        <v>152.31028611364766</v>
      </c>
      <c r="N64" s="461">
        <f t="shared" si="15"/>
        <v>1861.529086078044</v>
      </c>
      <c r="O64" s="349">
        <f t="shared" si="23"/>
        <v>0.84793975292395241</v>
      </c>
      <c r="P64" s="419">
        <f t="shared" si="7"/>
        <v>561.01654279549268</v>
      </c>
      <c r="Q64" s="419">
        <f t="shared" si="8"/>
        <v>661.62311751623645</v>
      </c>
      <c r="S64" s="456">
        <v>20855</v>
      </c>
      <c r="T64" s="33">
        <v>117</v>
      </c>
      <c r="U64" s="32">
        <v>1012</v>
      </c>
      <c r="V64" s="32">
        <v>11</v>
      </c>
    </row>
    <row r="65" spans="2:22" x14ac:dyDescent="0.2">
      <c r="B65" s="8" t="s">
        <v>21</v>
      </c>
      <c r="C65" s="6">
        <v>2</v>
      </c>
      <c r="D65" s="352" t="s">
        <v>16</v>
      </c>
      <c r="E65" s="30">
        <v>7152707</v>
      </c>
      <c r="F65" s="31">
        <v>127113</v>
      </c>
      <c r="G65" s="31">
        <v>809099</v>
      </c>
      <c r="H65" s="31">
        <v>67471</v>
      </c>
      <c r="I65" s="457">
        <f t="shared" si="22"/>
        <v>876570</v>
      </c>
      <c r="J65" s="456">
        <f t="shared" si="24"/>
        <v>16854</v>
      </c>
      <c r="K65" s="33">
        <f t="shared" si="25"/>
        <v>244</v>
      </c>
      <c r="L65" s="28">
        <f t="shared" si="13"/>
        <v>1553.107518507155</v>
      </c>
      <c r="M65" s="28">
        <f t="shared" si="14"/>
        <v>129.51408589208026</v>
      </c>
      <c r="N65" s="461">
        <f t="shared" si="15"/>
        <v>1682.6216043992351</v>
      </c>
      <c r="O65" s="349">
        <f t="shared" si="23"/>
        <v>0.81464294972056039</v>
      </c>
      <c r="P65" s="419">
        <f t="shared" si="7"/>
        <v>1447.7275424231636</v>
      </c>
      <c r="Q65" s="419">
        <f t="shared" si="8"/>
        <v>1777.1313713814925</v>
      </c>
      <c r="S65" s="456">
        <v>16854</v>
      </c>
      <c r="T65" s="33">
        <v>244</v>
      </c>
      <c r="U65" s="32">
        <v>417</v>
      </c>
      <c r="V65" s="32">
        <v>10</v>
      </c>
    </row>
    <row r="66" spans="2:22" x14ac:dyDescent="0.2">
      <c r="B66" s="8" t="s">
        <v>21</v>
      </c>
      <c r="C66" s="6">
        <v>1</v>
      </c>
      <c r="D66" s="352" t="s">
        <v>9</v>
      </c>
      <c r="E66" s="30">
        <v>10319427</v>
      </c>
      <c r="F66" s="31">
        <v>61.214399999999998</v>
      </c>
      <c r="G66" s="31">
        <v>5196.62</v>
      </c>
      <c r="H66" s="31">
        <v>22.8568</v>
      </c>
      <c r="I66" s="457">
        <f t="shared" si="9"/>
        <v>5219.4767999999995</v>
      </c>
      <c r="J66" s="456">
        <f t="shared" si="24"/>
        <v>40476</v>
      </c>
      <c r="K66" s="33">
        <f t="shared" si="25"/>
        <v>0</v>
      </c>
      <c r="L66" s="28">
        <f t="shared" si="13"/>
        <v>20.382758763640656</v>
      </c>
      <c r="M66" s="28">
        <f t="shared" si="14"/>
        <v>8.9651473555653824E-2</v>
      </c>
      <c r="N66" s="461">
        <f t="shared" si="15"/>
        <v>20.472410237196307</v>
      </c>
      <c r="O66" s="349">
        <f t="shared" si="10"/>
        <v>1</v>
      </c>
      <c r="P66" s="419">
        <f t="shared" si="7"/>
        <v>0</v>
      </c>
      <c r="Q66" s="419">
        <f t="shared" si="8"/>
        <v>0.59319572685576438</v>
      </c>
      <c r="S66" s="456">
        <v>40476</v>
      </c>
      <c r="T66" s="33">
        <v>0</v>
      </c>
      <c r="U66" s="31">
        <v>1962</v>
      </c>
      <c r="V66" s="32">
        <v>0</v>
      </c>
    </row>
    <row r="67" spans="2:22" x14ac:dyDescent="0.2">
      <c r="B67" s="8" t="s">
        <v>21</v>
      </c>
      <c r="C67" s="6">
        <v>1</v>
      </c>
      <c r="D67" s="352" t="s">
        <v>10</v>
      </c>
      <c r="E67" s="30">
        <v>20969500</v>
      </c>
      <c r="F67" s="31">
        <v>30.742899999999999</v>
      </c>
      <c r="G67" s="31">
        <v>2337.2199999999998</v>
      </c>
      <c r="H67" s="31">
        <v>126.18600000000001</v>
      </c>
      <c r="I67" s="457">
        <f t="shared" si="9"/>
        <v>2463.4059999999999</v>
      </c>
      <c r="J67" s="456">
        <f t="shared" si="24"/>
        <v>76614</v>
      </c>
      <c r="K67" s="33">
        <f t="shared" si="25"/>
        <v>0</v>
      </c>
      <c r="L67" s="28">
        <f t="shared" si="13"/>
        <v>8.5392485791268271</v>
      </c>
      <c r="M67" s="28">
        <f t="shared" si="14"/>
        <v>0.46103217549297792</v>
      </c>
      <c r="N67" s="461">
        <f t="shared" si="15"/>
        <v>9.0002807546198049</v>
      </c>
      <c r="O67" s="349">
        <f t="shared" si="10"/>
        <v>1</v>
      </c>
      <c r="P67" s="419">
        <f t="shared" si="7"/>
        <v>0</v>
      </c>
      <c r="Q67" s="419">
        <f t="shared" si="8"/>
        <v>0.14660769212427574</v>
      </c>
      <c r="S67" s="456">
        <v>76614</v>
      </c>
      <c r="T67" s="33">
        <v>0</v>
      </c>
      <c r="U67" s="31">
        <v>4589</v>
      </c>
      <c r="V67" s="32">
        <v>0</v>
      </c>
    </row>
    <row r="68" spans="2:22" x14ac:dyDescent="0.2">
      <c r="B68" s="8" t="s">
        <v>21</v>
      </c>
      <c r="C68" s="6">
        <v>1</v>
      </c>
      <c r="D68" s="352" t="s">
        <v>11</v>
      </c>
      <c r="E68" s="30">
        <v>32953433</v>
      </c>
      <c r="F68" s="31">
        <v>243.5378</v>
      </c>
      <c r="G68" s="31">
        <v>15107.02</v>
      </c>
      <c r="H68" s="31">
        <v>4036.587</v>
      </c>
      <c r="I68" s="457">
        <f t="shared" si="9"/>
        <v>19143.607</v>
      </c>
      <c r="J68" s="456">
        <f t="shared" si="24"/>
        <v>116710</v>
      </c>
      <c r="K68" s="33">
        <f t="shared" si="25"/>
        <v>0</v>
      </c>
      <c r="L68" s="28">
        <f t="shared" si="13"/>
        <v>53.503994688504832</v>
      </c>
      <c r="M68" s="28">
        <f t="shared" si="14"/>
        <v>14.296236412455116</v>
      </c>
      <c r="N68" s="461">
        <f t="shared" si="15"/>
        <v>67.800231100959948</v>
      </c>
      <c r="O68" s="349">
        <f t="shared" si="10"/>
        <v>1</v>
      </c>
      <c r="P68" s="419">
        <f t="shared" si="7"/>
        <v>0</v>
      </c>
      <c r="Q68" s="419">
        <f t="shared" si="8"/>
        <v>0.73903620299590633</v>
      </c>
      <c r="S68" s="456">
        <v>116710</v>
      </c>
      <c r="T68" s="33">
        <v>0</v>
      </c>
      <c r="U68" s="31">
        <v>4767</v>
      </c>
      <c r="V68" s="32">
        <v>0</v>
      </c>
    </row>
    <row r="69" spans="2:22" x14ac:dyDescent="0.2">
      <c r="B69" s="8" t="s">
        <v>21</v>
      </c>
      <c r="C69" s="6">
        <v>1</v>
      </c>
      <c r="D69" s="352" t="s">
        <v>12</v>
      </c>
      <c r="E69" s="30">
        <v>30432499</v>
      </c>
      <c r="F69" s="31">
        <v>2039.413</v>
      </c>
      <c r="G69" s="31">
        <v>94878.6</v>
      </c>
      <c r="H69" s="31">
        <v>19350.240000000002</v>
      </c>
      <c r="I69" s="457">
        <f t="shared" si="9"/>
        <v>114228.84000000001</v>
      </c>
      <c r="J69" s="456">
        <f t="shared" si="24"/>
        <v>89486</v>
      </c>
      <c r="K69" s="33">
        <f t="shared" si="25"/>
        <v>3</v>
      </c>
      <c r="L69" s="28">
        <f t="shared" si="13"/>
        <v>139.56751280883273</v>
      </c>
      <c r="M69" s="28">
        <f t="shared" si="14"/>
        <v>28.464425793108113</v>
      </c>
      <c r="N69" s="461">
        <f t="shared" si="15"/>
        <v>168.03193860194085</v>
      </c>
      <c r="O69" s="349">
        <f t="shared" si="10"/>
        <v>0.50026324069852113</v>
      </c>
      <c r="P69" s="419">
        <f t="shared" si="7"/>
        <v>3.352479717497709</v>
      </c>
      <c r="Q69" s="419">
        <f t="shared" si="8"/>
        <v>6.7014312561055212</v>
      </c>
      <c r="S69" s="456">
        <v>89486</v>
      </c>
      <c r="T69" s="33">
        <v>3</v>
      </c>
      <c r="U69" s="31">
        <v>4198</v>
      </c>
      <c r="V69" s="32">
        <v>0</v>
      </c>
    </row>
    <row r="70" spans="2:22" x14ac:dyDescent="0.2">
      <c r="B70" s="8" t="s">
        <v>21</v>
      </c>
      <c r="C70" s="6">
        <v>1</v>
      </c>
      <c r="D70" s="352" t="s">
        <v>13</v>
      </c>
      <c r="E70" s="30">
        <v>31666007</v>
      </c>
      <c r="F70" s="31">
        <v>13597.68</v>
      </c>
      <c r="G70" s="31">
        <v>452097</v>
      </c>
      <c r="H70" s="31">
        <v>72390.3</v>
      </c>
      <c r="I70" s="457">
        <f t="shared" si="9"/>
        <v>524487.30000000005</v>
      </c>
      <c r="J70" s="456">
        <f t="shared" si="24"/>
        <v>81265</v>
      </c>
      <c r="K70" s="33">
        <f t="shared" si="25"/>
        <v>15</v>
      </c>
      <c r="L70" s="28">
        <f t="shared" si="13"/>
        <v>498.72147307481856</v>
      </c>
      <c r="M70" s="28">
        <f t="shared" si="14"/>
        <v>79.855865118167216</v>
      </c>
      <c r="N70" s="461">
        <f t="shared" si="15"/>
        <v>578.57733819298585</v>
      </c>
      <c r="O70" s="349">
        <f t="shared" si="10"/>
        <v>0.42984928261979582</v>
      </c>
      <c r="P70" s="419">
        <f t="shared" si="7"/>
        <v>18.458130806620314</v>
      </c>
      <c r="Q70" s="419">
        <f t="shared" si="8"/>
        <v>42.940936632774701</v>
      </c>
      <c r="S70" s="456">
        <v>81265</v>
      </c>
      <c r="T70" s="33">
        <v>15</v>
      </c>
      <c r="U70" s="31">
        <v>2957</v>
      </c>
      <c r="V70" s="32">
        <v>0</v>
      </c>
    </row>
    <row r="71" spans="2:22" x14ac:dyDescent="0.2">
      <c r="B71" s="8" t="s">
        <v>21</v>
      </c>
      <c r="C71" s="6">
        <v>1</v>
      </c>
      <c r="D71" s="352" t="s">
        <v>14</v>
      </c>
      <c r="E71" s="30">
        <v>13930047</v>
      </c>
      <c r="F71" s="31">
        <v>23268.7</v>
      </c>
      <c r="G71" s="31">
        <v>534482</v>
      </c>
      <c r="H71" s="31">
        <v>71881.399999999994</v>
      </c>
      <c r="I71" s="457">
        <f t="shared" si="9"/>
        <v>606363.4</v>
      </c>
      <c r="J71" s="456">
        <f t="shared" si="24"/>
        <v>33077</v>
      </c>
      <c r="K71" s="33">
        <f t="shared" si="25"/>
        <v>37</v>
      </c>
      <c r="L71" s="28">
        <f t="shared" si="13"/>
        <v>849.88993798536228</v>
      </c>
      <c r="M71" s="28">
        <f t="shared" si="14"/>
        <v>114.29997378452599</v>
      </c>
      <c r="N71" s="461">
        <f t="shared" si="15"/>
        <v>964.18991176988834</v>
      </c>
      <c r="O71" s="349">
        <f t="shared" si="10"/>
        <v>0.66966264241192675</v>
      </c>
      <c r="P71" s="419">
        <f t="shared" si="7"/>
        <v>111.86020497626748</v>
      </c>
      <c r="Q71" s="419">
        <f t="shared" si="8"/>
        <v>167.03963741113006</v>
      </c>
      <c r="S71" s="456">
        <v>33077</v>
      </c>
      <c r="T71" s="33">
        <v>37</v>
      </c>
      <c r="U71" s="31">
        <v>1391</v>
      </c>
      <c r="V71" s="32">
        <v>2</v>
      </c>
    </row>
    <row r="72" spans="2:22" x14ac:dyDescent="0.2">
      <c r="B72" s="8" t="s">
        <v>21</v>
      </c>
      <c r="C72" s="6">
        <v>1</v>
      </c>
      <c r="D72" s="352" t="s">
        <v>15</v>
      </c>
      <c r="E72" s="30">
        <v>7426360</v>
      </c>
      <c r="F72" s="31">
        <v>44649.8</v>
      </c>
      <c r="G72" s="31">
        <v>642094</v>
      </c>
      <c r="H72" s="31">
        <v>68504.899999999994</v>
      </c>
      <c r="I72" s="457">
        <f t="shared" si="9"/>
        <v>710598.9</v>
      </c>
      <c r="J72" s="456">
        <f t="shared" si="24"/>
        <v>16815</v>
      </c>
      <c r="K72" s="33">
        <f t="shared" si="25"/>
        <v>71</v>
      </c>
      <c r="L72" s="28">
        <f t="shared" si="13"/>
        <v>1021.0275074020487</v>
      </c>
      <c r="M72" s="28">
        <f t="shared" si="14"/>
        <v>108.93325166070171</v>
      </c>
      <c r="N72" s="461">
        <f t="shared" si="15"/>
        <v>1129.9607590627506</v>
      </c>
      <c r="O72" s="349">
        <f t="shared" si="10"/>
        <v>0.70229238186760035</v>
      </c>
      <c r="P72" s="419">
        <f t="shared" ref="P72:P135" si="26">K72/J72*100000</f>
        <v>422.24204579244719</v>
      </c>
      <c r="Q72" s="419">
        <f t="shared" ref="Q72:Q135" si="27">(F72/E72)*100000</f>
        <v>601.23398273178248</v>
      </c>
      <c r="S72" s="456">
        <v>16815</v>
      </c>
      <c r="T72" s="33">
        <v>71</v>
      </c>
      <c r="U72" s="31">
        <v>1164</v>
      </c>
      <c r="V72" s="32">
        <v>6</v>
      </c>
    </row>
    <row r="73" spans="2:22" x14ac:dyDescent="0.2">
      <c r="B73" s="8" t="s">
        <v>21</v>
      </c>
      <c r="C73" s="6">
        <v>1</v>
      </c>
      <c r="D73" s="352" t="s">
        <v>16</v>
      </c>
      <c r="E73" s="30">
        <v>4084053</v>
      </c>
      <c r="F73" s="31">
        <v>201486</v>
      </c>
      <c r="G73" s="31">
        <v>1103260</v>
      </c>
      <c r="H73" s="31">
        <v>85129</v>
      </c>
      <c r="I73" s="457">
        <f t="shared" si="9"/>
        <v>1188389</v>
      </c>
      <c r="J73" s="456">
        <f t="shared" si="24"/>
        <v>10368</v>
      </c>
      <c r="K73" s="33">
        <f t="shared" si="25"/>
        <v>287</v>
      </c>
      <c r="L73" s="28">
        <f t="shared" si="13"/>
        <v>1571.5018413190001</v>
      </c>
      <c r="M73" s="28">
        <f t="shared" si="14"/>
        <v>121.25915944532127</v>
      </c>
      <c r="N73" s="461">
        <f t="shared" si="15"/>
        <v>1692.7610007643211</v>
      </c>
      <c r="O73" s="349">
        <f t="shared" si="10"/>
        <v>0.56109112907991776</v>
      </c>
      <c r="P73" s="419">
        <f t="shared" si="26"/>
        <v>2768.1327160493829</v>
      </c>
      <c r="Q73" s="419">
        <f t="shared" si="27"/>
        <v>4933.481519461182</v>
      </c>
      <c r="S73" s="456">
        <v>10368</v>
      </c>
      <c r="T73" s="33">
        <v>287</v>
      </c>
      <c r="U73" s="31">
        <v>674</v>
      </c>
      <c r="V73" s="32">
        <v>9</v>
      </c>
    </row>
    <row r="74" spans="2:22" x14ac:dyDescent="0.2">
      <c r="B74" s="8" t="s">
        <v>17</v>
      </c>
      <c r="C74" s="6"/>
      <c r="D74" s="352"/>
      <c r="E74" s="30">
        <f>SUM(E58:E73)</f>
        <v>308745538</v>
      </c>
      <c r="F74" s="30">
        <f t="shared" ref="F74:K74" si="28">SUM(F58:F73)</f>
        <v>562886.45689999999</v>
      </c>
      <c r="G74" s="30">
        <f t="shared" si="28"/>
        <v>7164515.4999999991</v>
      </c>
      <c r="H74" s="30">
        <f t="shared" si="28"/>
        <v>685033.3406</v>
      </c>
      <c r="I74" s="455">
        <f t="shared" si="28"/>
        <v>7849548.8406000007</v>
      </c>
      <c r="J74" s="456">
        <f t="shared" si="28"/>
        <v>930450</v>
      </c>
      <c r="K74" s="30">
        <f t="shared" si="28"/>
        <v>970</v>
      </c>
      <c r="L74" s="28">
        <f t="shared" si="13"/>
        <v>12346.326598926558</v>
      </c>
      <c r="M74" s="28">
        <f t="shared" si="14"/>
        <v>1180.4909004944298</v>
      </c>
      <c r="N74" s="461">
        <f t="shared" si="15"/>
        <v>13526.817499420989</v>
      </c>
      <c r="O74" s="349">
        <f t="shared" ref="O74:O141" si="29">IF(OR(F74 = 0, K74 = 0),1,(K74/J74)/(F74/E74))</f>
        <v>0.57181900343275227</v>
      </c>
      <c r="P74" s="419">
        <f>SUMPRODUCT(P58:P73,E58:E73)/E74</f>
        <v>130.49850303192764</v>
      </c>
      <c r="Q74" s="419">
        <f t="shared" si="27"/>
        <v>182.3140378145319</v>
      </c>
      <c r="S74" s="456">
        <f>SUM(S58:S73)</f>
        <v>930450</v>
      </c>
      <c r="T74" s="30">
        <f>SUM(T58:T73)</f>
        <v>970</v>
      </c>
      <c r="U74" s="32">
        <f>SUM(U58:U73)</f>
        <v>44386</v>
      </c>
      <c r="V74" s="32">
        <f>SUM(V58:V73)</f>
        <v>51</v>
      </c>
    </row>
    <row r="75" spans="2:22" hidden="1" x14ac:dyDescent="0.2">
      <c r="B75" s="8" t="s">
        <v>22</v>
      </c>
      <c r="C75" s="6">
        <v>2</v>
      </c>
      <c r="D75" s="352" t="s">
        <v>9</v>
      </c>
      <c r="E75" s="30">
        <v>9881935</v>
      </c>
      <c r="F75" s="31">
        <v>98.162599999999998</v>
      </c>
      <c r="G75" s="31">
        <v>8375.18</v>
      </c>
      <c r="H75" s="31">
        <v>22.302299999999999</v>
      </c>
      <c r="I75" s="457">
        <f t="shared" ref="I75:I82" si="30">G75+H75</f>
        <v>8397.4822999999997</v>
      </c>
      <c r="J75" s="456">
        <v>38504</v>
      </c>
      <c r="K75" s="33">
        <v>0</v>
      </c>
      <c r="L75" s="28">
        <f t="shared" si="13"/>
        <v>32.633075477626598</v>
      </c>
      <c r="M75" s="28">
        <f t="shared" si="14"/>
        <v>8.6898745964226629E-2</v>
      </c>
      <c r="N75" s="461">
        <f t="shared" si="15"/>
        <v>32.719974223590825</v>
      </c>
      <c r="O75" s="349">
        <f t="shared" ref="O75:O82" si="31">IF(OR(F75 = 0, K75 = 0),1,(K75/J75)/(F75/E75))</f>
        <v>1</v>
      </c>
      <c r="P75" s="419">
        <f t="shared" si="26"/>
        <v>0</v>
      </c>
      <c r="Q75" s="419">
        <f t="shared" si="27"/>
        <v>0.99335403440722891</v>
      </c>
      <c r="U75" s="32"/>
      <c r="V75" s="32"/>
    </row>
    <row r="76" spans="2:22" hidden="1" x14ac:dyDescent="0.2">
      <c r="B76" s="8" t="s">
        <v>22</v>
      </c>
      <c r="C76" s="6">
        <v>2</v>
      </c>
      <c r="D76" s="352" t="s">
        <v>10</v>
      </c>
      <c r="E76" s="30">
        <v>20056351</v>
      </c>
      <c r="F76" s="31">
        <v>41.664900000000003</v>
      </c>
      <c r="G76" s="31">
        <v>3149.06</v>
      </c>
      <c r="H76" s="31">
        <v>764.60599999999999</v>
      </c>
      <c r="I76" s="457">
        <f t="shared" si="30"/>
        <v>3913.6660000000002</v>
      </c>
      <c r="J76" s="456">
        <v>73835</v>
      </c>
      <c r="K76" s="33">
        <v>0</v>
      </c>
      <c r="L76" s="28">
        <f t="shared" si="13"/>
        <v>11.592878739507501</v>
      </c>
      <c r="M76" s="28">
        <f t="shared" si="14"/>
        <v>2.814803351317495</v>
      </c>
      <c r="N76" s="461">
        <f t="shared" si="15"/>
        <v>14.407682090824995</v>
      </c>
      <c r="O76" s="349">
        <f t="shared" si="31"/>
        <v>1</v>
      </c>
      <c r="P76" s="419">
        <f t="shared" si="26"/>
        <v>0</v>
      </c>
      <c r="Q76" s="419">
        <f t="shared" si="27"/>
        <v>0.2077391844608224</v>
      </c>
      <c r="U76" s="32"/>
      <c r="V76" s="32"/>
    </row>
    <row r="77" spans="2:22" hidden="1" x14ac:dyDescent="0.2">
      <c r="B77" s="8" t="s">
        <v>22</v>
      </c>
      <c r="C77" s="6">
        <v>2</v>
      </c>
      <c r="D77" s="352" t="s">
        <v>11</v>
      </c>
      <c r="E77" s="30">
        <v>31774758</v>
      </c>
      <c r="F77" s="31">
        <v>239.084</v>
      </c>
      <c r="G77" s="31">
        <v>14921.56</v>
      </c>
      <c r="H77" s="31">
        <v>5461.35</v>
      </c>
      <c r="I77" s="457">
        <f t="shared" si="30"/>
        <v>20382.91</v>
      </c>
      <c r="J77" s="456">
        <v>110381</v>
      </c>
      <c r="K77" s="33">
        <v>1</v>
      </c>
      <c r="L77" s="28">
        <f t="shared" si="13"/>
        <v>62.411370062404849</v>
      </c>
      <c r="M77" s="28">
        <f t="shared" si="14"/>
        <v>22.842808385337374</v>
      </c>
      <c r="N77" s="461">
        <f t="shared" si="15"/>
        <v>85.25417844774222</v>
      </c>
      <c r="O77" s="349">
        <f t="shared" si="31"/>
        <v>1.2040302940946015</v>
      </c>
      <c r="P77" s="419">
        <f t="shared" si="26"/>
        <v>0.905953017276524</v>
      </c>
      <c r="Q77" s="419">
        <f t="shared" si="27"/>
        <v>0.75243374001463681</v>
      </c>
      <c r="U77" s="32"/>
      <c r="V77" s="32"/>
    </row>
    <row r="78" spans="2:22" hidden="1" x14ac:dyDescent="0.2">
      <c r="B78" s="8" t="s">
        <v>22</v>
      </c>
      <c r="C78" s="6">
        <v>2</v>
      </c>
      <c r="D78" s="352" t="s">
        <v>12</v>
      </c>
      <c r="E78" s="30">
        <v>30600206</v>
      </c>
      <c r="F78" s="31">
        <v>1164</v>
      </c>
      <c r="G78" s="31">
        <v>54655.86</v>
      </c>
      <c r="H78" s="31">
        <v>16170.26</v>
      </c>
      <c r="I78" s="457">
        <f t="shared" si="30"/>
        <v>70826.12</v>
      </c>
      <c r="J78" s="456">
        <v>87117</v>
      </c>
      <c r="K78" s="33">
        <v>4</v>
      </c>
      <c r="L78" s="28">
        <f t="shared" si="13"/>
        <v>187.82082474226803</v>
      </c>
      <c r="M78" s="28">
        <f t="shared" si="14"/>
        <v>55.567903780068725</v>
      </c>
      <c r="N78" s="461">
        <f t="shared" si="15"/>
        <v>243.38872852233675</v>
      </c>
      <c r="O78" s="349">
        <f t="shared" si="31"/>
        <v>1.2070588642749154</v>
      </c>
      <c r="P78" s="419">
        <f t="shared" si="26"/>
        <v>4.5915263381429572</v>
      </c>
      <c r="Q78" s="419">
        <f t="shared" si="27"/>
        <v>3.803895960700395</v>
      </c>
      <c r="U78" s="32"/>
      <c r="V78" s="32"/>
    </row>
    <row r="79" spans="2:22" hidden="1" x14ac:dyDescent="0.2">
      <c r="B79" s="8" t="s">
        <v>22</v>
      </c>
      <c r="C79" s="6">
        <v>2</v>
      </c>
      <c r="D79" s="352" t="s">
        <v>13</v>
      </c>
      <c r="E79" s="30">
        <v>33005514</v>
      </c>
      <c r="F79" s="31">
        <v>5901.18</v>
      </c>
      <c r="G79" s="31">
        <v>198393</v>
      </c>
      <c r="H79" s="31">
        <v>59933.1</v>
      </c>
      <c r="I79" s="457">
        <f t="shared" si="30"/>
        <v>258326.1</v>
      </c>
      <c r="J79" s="456">
        <v>82694</v>
      </c>
      <c r="K79" s="33">
        <v>30</v>
      </c>
      <c r="L79" s="28">
        <f t="shared" si="13"/>
        <v>1008.5762508515246</v>
      </c>
      <c r="M79" s="28">
        <f t="shared" si="14"/>
        <v>304.68363954327776</v>
      </c>
      <c r="N79" s="461">
        <f t="shared" si="15"/>
        <v>1313.2598903948021</v>
      </c>
      <c r="O79" s="349">
        <f t="shared" si="31"/>
        <v>2.0290600193457706</v>
      </c>
      <c r="P79" s="419">
        <f t="shared" si="26"/>
        <v>36.278327327254701</v>
      </c>
      <c r="Q79" s="419">
        <f t="shared" si="27"/>
        <v>17.879376155147895</v>
      </c>
      <c r="U79" s="32"/>
      <c r="V79" s="32"/>
    </row>
    <row r="80" spans="2:22" hidden="1" x14ac:dyDescent="0.2">
      <c r="B80" s="8" t="s">
        <v>22</v>
      </c>
      <c r="C80" s="6">
        <v>2</v>
      </c>
      <c r="D80" s="352" t="s">
        <v>14</v>
      </c>
      <c r="E80" s="30">
        <v>15323140</v>
      </c>
      <c r="F80" s="31">
        <v>7852.32</v>
      </c>
      <c r="G80" s="31">
        <v>180923.7</v>
      </c>
      <c r="H80" s="31">
        <v>68825.5</v>
      </c>
      <c r="I80" s="457">
        <f t="shared" si="30"/>
        <v>249749.2</v>
      </c>
      <c r="J80" s="456">
        <v>35399</v>
      </c>
      <c r="K80" s="33">
        <v>25</v>
      </c>
      <c r="L80" s="28">
        <f t="shared" si="13"/>
        <v>576.01988966318231</v>
      </c>
      <c r="M80" s="28">
        <f t="shared" si="14"/>
        <v>219.12473001609715</v>
      </c>
      <c r="N80" s="461">
        <f t="shared" si="15"/>
        <v>795.14461967927946</v>
      </c>
      <c r="O80" s="349">
        <f t="shared" si="31"/>
        <v>1.3781573155861595</v>
      </c>
      <c r="P80" s="419">
        <f t="shared" si="26"/>
        <v>70.623463939659317</v>
      </c>
      <c r="Q80" s="419">
        <f t="shared" si="27"/>
        <v>51.244849293291061</v>
      </c>
      <c r="U80" s="32"/>
      <c r="V80" s="32"/>
    </row>
    <row r="81" spans="2:22" hidden="1" x14ac:dyDescent="0.2">
      <c r="B81" s="8" t="s">
        <v>22</v>
      </c>
      <c r="C81" s="6">
        <v>2</v>
      </c>
      <c r="D81" s="352" t="s">
        <v>15</v>
      </c>
      <c r="E81" s="30">
        <v>9169601</v>
      </c>
      <c r="F81" s="31">
        <v>14138.13</v>
      </c>
      <c r="G81" s="31">
        <v>204298.8</v>
      </c>
      <c r="H81" s="31">
        <v>78805.399999999994</v>
      </c>
      <c r="I81" s="457">
        <f t="shared" si="30"/>
        <v>283104.19999999995</v>
      </c>
      <c r="J81" s="456">
        <v>20855</v>
      </c>
      <c r="K81" s="33">
        <v>36</v>
      </c>
      <c r="L81" s="28">
        <f t="shared" si="13"/>
        <v>520.2071844013318</v>
      </c>
      <c r="M81" s="28">
        <f t="shared" si="14"/>
        <v>200.66263360147343</v>
      </c>
      <c r="N81" s="461">
        <f t="shared" si="15"/>
        <v>720.86981800280512</v>
      </c>
      <c r="O81" s="349">
        <f t="shared" si="31"/>
        <v>1.1195687672184462</v>
      </c>
      <c r="P81" s="419">
        <f t="shared" si="26"/>
        <v>172.62047470630546</v>
      </c>
      <c r="Q81" s="419">
        <f t="shared" si="27"/>
        <v>154.18478950174602</v>
      </c>
      <c r="U81" s="32"/>
      <c r="V81" s="32"/>
    </row>
    <row r="82" spans="2:22" hidden="1" x14ac:dyDescent="0.2">
      <c r="B82" s="8" t="s">
        <v>22</v>
      </c>
      <c r="C82" s="6">
        <v>2</v>
      </c>
      <c r="D82" s="352" t="s">
        <v>16</v>
      </c>
      <c r="E82" s="30">
        <v>7152707</v>
      </c>
      <c r="F82" s="31">
        <v>36357.1</v>
      </c>
      <c r="G82" s="31">
        <v>231419</v>
      </c>
      <c r="H82" s="31">
        <v>69536.600000000006</v>
      </c>
      <c r="I82" s="457">
        <f t="shared" si="30"/>
        <v>300955.59999999998</v>
      </c>
      <c r="J82" s="456">
        <v>16854</v>
      </c>
      <c r="K82" s="33">
        <v>71</v>
      </c>
      <c r="L82" s="28">
        <f t="shared" si="13"/>
        <v>451.92683134793481</v>
      </c>
      <c r="M82" s="28">
        <f t="shared" si="14"/>
        <v>135.79462058304983</v>
      </c>
      <c r="N82" s="461">
        <f t="shared" si="15"/>
        <v>587.72145193098459</v>
      </c>
      <c r="O82" s="349">
        <f t="shared" si="31"/>
        <v>0.82877484254613332</v>
      </c>
      <c r="P82" s="419">
        <f t="shared" si="26"/>
        <v>421.26498160674026</v>
      </c>
      <c r="Q82" s="419">
        <f t="shared" si="27"/>
        <v>508.29846658055476</v>
      </c>
      <c r="U82" s="32"/>
      <c r="V82" s="32"/>
    </row>
    <row r="83" spans="2:22" hidden="1" x14ac:dyDescent="0.2">
      <c r="B83" s="8" t="s">
        <v>22</v>
      </c>
      <c r="C83" s="6">
        <v>1</v>
      </c>
      <c r="D83" s="352" t="s">
        <v>9</v>
      </c>
      <c r="E83" s="30">
        <v>10319427</v>
      </c>
      <c r="F83" s="31">
        <v>74.986599999999996</v>
      </c>
      <c r="G83" s="31">
        <v>6385.72</v>
      </c>
      <c r="H83" s="31">
        <v>14.7796</v>
      </c>
      <c r="I83" s="457">
        <f t="shared" ref="I83:I141" si="32">G83+H83</f>
        <v>6400.4996000000001</v>
      </c>
      <c r="J83" s="456">
        <v>40476</v>
      </c>
      <c r="K83" s="33">
        <v>0</v>
      </c>
      <c r="L83" s="28">
        <f t="shared" si="13"/>
        <v>25.046778539157263</v>
      </c>
      <c r="M83" s="28">
        <f t="shared" si="14"/>
        <v>5.7970184739908531E-2</v>
      </c>
      <c r="N83" s="461">
        <f t="shared" si="15"/>
        <v>25.104748723897167</v>
      </c>
      <c r="O83" s="349">
        <f t="shared" si="29"/>
        <v>1</v>
      </c>
      <c r="P83" s="419">
        <f t="shared" si="26"/>
        <v>0</v>
      </c>
      <c r="Q83" s="419">
        <f t="shared" si="27"/>
        <v>0.72665468731936378</v>
      </c>
      <c r="U83" s="32"/>
      <c r="V83" s="32"/>
    </row>
    <row r="84" spans="2:22" hidden="1" x14ac:dyDescent="0.2">
      <c r="B84" s="8" t="s">
        <v>22</v>
      </c>
      <c r="C84" s="6">
        <v>1</v>
      </c>
      <c r="D84" s="352" t="s">
        <v>10</v>
      </c>
      <c r="E84" s="30">
        <v>20969500</v>
      </c>
      <c r="F84" s="31">
        <v>37.325899999999997</v>
      </c>
      <c r="G84" s="31">
        <v>2840.23</v>
      </c>
      <c r="H84" s="31">
        <v>533.495</v>
      </c>
      <c r="I84" s="457">
        <f t="shared" si="32"/>
        <v>3373.7249999999999</v>
      </c>
      <c r="J84" s="456">
        <v>76614</v>
      </c>
      <c r="K84" s="33">
        <v>0</v>
      </c>
      <c r="L84" s="28">
        <f t="shared" si="13"/>
        <v>10.377041952359379</v>
      </c>
      <c r="M84" s="28">
        <f t="shared" si="14"/>
        <v>1.9491731290684089</v>
      </c>
      <c r="N84" s="461">
        <f t="shared" si="15"/>
        <v>12.326215081427787</v>
      </c>
      <c r="O84" s="349">
        <f t="shared" si="29"/>
        <v>1</v>
      </c>
      <c r="P84" s="419">
        <f t="shared" si="26"/>
        <v>0</v>
      </c>
      <c r="Q84" s="419">
        <f t="shared" si="27"/>
        <v>0.178000906077875</v>
      </c>
      <c r="U84" s="32"/>
      <c r="V84" s="32"/>
    </row>
    <row r="85" spans="2:22" hidden="1" x14ac:dyDescent="0.2">
      <c r="B85" s="8" t="s">
        <v>22</v>
      </c>
      <c r="C85" s="6">
        <v>1</v>
      </c>
      <c r="D85" s="352" t="s">
        <v>11</v>
      </c>
      <c r="E85" s="30">
        <v>32953433</v>
      </c>
      <c r="F85" s="31">
        <v>188.17179999999999</v>
      </c>
      <c r="G85" s="31">
        <v>11722.05</v>
      </c>
      <c r="H85" s="31">
        <v>3877.5659999999998</v>
      </c>
      <c r="I85" s="457">
        <f t="shared" si="32"/>
        <v>15599.615999999998</v>
      </c>
      <c r="J85" s="456">
        <v>116710</v>
      </c>
      <c r="K85" s="33">
        <v>0</v>
      </c>
      <c r="L85" s="28">
        <f t="shared" si="13"/>
        <v>41.515566997223019</v>
      </c>
      <c r="M85" s="28">
        <f t="shared" si="14"/>
        <v>13.733037400382532</v>
      </c>
      <c r="N85" s="461">
        <f t="shared" si="15"/>
        <v>55.248604397605547</v>
      </c>
      <c r="O85" s="349">
        <f t="shared" si="29"/>
        <v>1</v>
      </c>
      <c r="P85" s="419">
        <f t="shared" si="26"/>
        <v>0</v>
      </c>
      <c r="Q85" s="419">
        <f t="shared" si="27"/>
        <v>0.57102335893198131</v>
      </c>
      <c r="U85" s="32"/>
      <c r="V85" s="32"/>
    </row>
    <row r="86" spans="2:22" hidden="1" x14ac:dyDescent="0.2">
      <c r="B86" s="8" t="s">
        <v>22</v>
      </c>
      <c r="C86" s="6">
        <v>1</v>
      </c>
      <c r="D86" s="352" t="s">
        <v>12</v>
      </c>
      <c r="E86" s="30">
        <v>30432499</v>
      </c>
      <c r="F86" s="31">
        <v>1117.692</v>
      </c>
      <c r="G86" s="31">
        <v>52338.92</v>
      </c>
      <c r="H86" s="31">
        <v>14752.47</v>
      </c>
      <c r="I86" s="457">
        <f t="shared" si="32"/>
        <v>67091.39</v>
      </c>
      <c r="J86" s="456">
        <v>89486</v>
      </c>
      <c r="K86" s="33">
        <v>2</v>
      </c>
      <c r="L86" s="28">
        <f t="shared" si="13"/>
        <v>93.655354068920587</v>
      </c>
      <c r="M86" s="28">
        <f t="shared" si="14"/>
        <v>26.398095360797065</v>
      </c>
      <c r="N86" s="461">
        <f t="shared" si="15"/>
        <v>120.05344942971766</v>
      </c>
      <c r="O86" s="349">
        <f t="shared" si="29"/>
        <v>0.60854174286696339</v>
      </c>
      <c r="P86" s="419">
        <f t="shared" si="26"/>
        <v>2.2349864783318059</v>
      </c>
      <c r="Q86" s="419">
        <f t="shared" si="27"/>
        <v>3.6726921440135429</v>
      </c>
      <c r="U86" s="32"/>
      <c r="V86" s="32"/>
    </row>
    <row r="87" spans="2:22" hidden="1" x14ac:dyDescent="0.2">
      <c r="B87" s="8" t="s">
        <v>22</v>
      </c>
      <c r="C87" s="6">
        <v>1</v>
      </c>
      <c r="D87" s="352" t="s">
        <v>13</v>
      </c>
      <c r="E87" s="30">
        <v>31666007</v>
      </c>
      <c r="F87" s="31">
        <v>4978.5</v>
      </c>
      <c r="G87" s="31">
        <v>168130.3</v>
      </c>
      <c r="H87" s="31">
        <v>57722.1</v>
      </c>
      <c r="I87" s="457">
        <f t="shared" si="32"/>
        <v>225852.4</v>
      </c>
      <c r="J87" s="456">
        <v>81265</v>
      </c>
      <c r="K87" s="33">
        <v>10</v>
      </c>
      <c r="L87" s="28">
        <f t="shared" si="13"/>
        <v>337.71276488902271</v>
      </c>
      <c r="M87" s="28">
        <f t="shared" si="14"/>
        <v>115.94275384151851</v>
      </c>
      <c r="N87" s="461">
        <f t="shared" si="15"/>
        <v>453.65551873054119</v>
      </c>
      <c r="O87" s="349">
        <f t="shared" si="29"/>
        <v>0.78269264414228445</v>
      </c>
      <c r="P87" s="419">
        <f t="shared" si="26"/>
        <v>12.305420537746876</v>
      </c>
      <c r="Q87" s="419">
        <f t="shared" si="27"/>
        <v>15.721906459504035</v>
      </c>
      <c r="U87" s="32"/>
      <c r="V87" s="32"/>
    </row>
    <row r="88" spans="2:22" hidden="1" x14ac:dyDescent="0.2">
      <c r="B88" s="8" t="s">
        <v>22</v>
      </c>
      <c r="C88" s="6">
        <v>1</v>
      </c>
      <c r="D88" s="352" t="s">
        <v>14</v>
      </c>
      <c r="E88" s="30">
        <v>13930047</v>
      </c>
      <c r="F88" s="31">
        <v>6928.61</v>
      </c>
      <c r="G88" s="31">
        <v>158927.9</v>
      </c>
      <c r="H88" s="31">
        <v>65058.8</v>
      </c>
      <c r="I88" s="457">
        <f t="shared" si="32"/>
        <v>223986.7</v>
      </c>
      <c r="J88" s="456">
        <v>33077</v>
      </c>
      <c r="K88" s="33">
        <v>19</v>
      </c>
      <c r="L88" s="28">
        <f t="shared" ref="L88:L151" si="33">$O88*G88/$E88*$J88</f>
        <v>435.82047481385155</v>
      </c>
      <c r="M88" s="28">
        <f t="shared" ref="M88:M151" si="34">$O88*H88/$E88*$J88</f>
        <v>178.407674843872</v>
      </c>
      <c r="N88" s="461">
        <f t="shared" ref="N88:N151" si="35">$O88*I88/$E88*$J88</f>
        <v>614.22814965772363</v>
      </c>
      <c r="O88" s="349">
        <f t="shared" si="29"/>
        <v>1.154872269034414</v>
      </c>
      <c r="P88" s="419">
        <f t="shared" si="26"/>
        <v>57.44172687970493</v>
      </c>
      <c r="Q88" s="419">
        <f t="shared" si="27"/>
        <v>49.738597436175191</v>
      </c>
      <c r="U88" s="32"/>
      <c r="V88" s="32"/>
    </row>
    <row r="89" spans="2:22" hidden="1" x14ac:dyDescent="0.2">
      <c r="B89" s="8" t="s">
        <v>22</v>
      </c>
      <c r="C89" s="6">
        <v>1</v>
      </c>
      <c r="D89" s="352" t="s">
        <v>15</v>
      </c>
      <c r="E89" s="30">
        <v>7426360</v>
      </c>
      <c r="F89" s="31">
        <v>15732.12</v>
      </c>
      <c r="G89" s="31">
        <v>224647.9</v>
      </c>
      <c r="H89" s="31">
        <v>86193</v>
      </c>
      <c r="I89" s="457">
        <f t="shared" si="32"/>
        <v>310840.90000000002</v>
      </c>
      <c r="J89" s="456">
        <v>16815</v>
      </c>
      <c r="K89" s="33">
        <v>32</v>
      </c>
      <c r="L89" s="28">
        <f t="shared" si="33"/>
        <v>456.94622212390959</v>
      </c>
      <c r="M89" s="28">
        <f t="shared" si="34"/>
        <v>175.32131715242448</v>
      </c>
      <c r="N89" s="461">
        <f t="shared" si="35"/>
        <v>632.26753927633411</v>
      </c>
      <c r="O89" s="349">
        <f t="shared" si="29"/>
        <v>0.89834230998154163</v>
      </c>
      <c r="P89" s="419">
        <f t="shared" si="26"/>
        <v>190.30627415997623</v>
      </c>
      <c r="Q89" s="419">
        <f t="shared" si="27"/>
        <v>211.84160207692597</v>
      </c>
      <c r="U89" s="32"/>
      <c r="V89" s="32"/>
    </row>
    <row r="90" spans="2:22" hidden="1" x14ac:dyDescent="0.2">
      <c r="B90" s="8" t="s">
        <v>22</v>
      </c>
      <c r="C90" s="6">
        <v>1</v>
      </c>
      <c r="D90" s="352" t="s">
        <v>16</v>
      </c>
      <c r="E90" s="30">
        <v>4084053</v>
      </c>
      <c r="F90" s="31">
        <v>77470.5</v>
      </c>
      <c r="G90" s="31">
        <v>424197</v>
      </c>
      <c r="H90" s="31">
        <v>100979</v>
      </c>
      <c r="I90" s="457">
        <f t="shared" si="32"/>
        <v>525176</v>
      </c>
      <c r="J90" s="456">
        <v>10368</v>
      </c>
      <c r="K90" s="33">
        <v>117</v>
      </c>
      <c r="L90" s="28">
        <f t="shared" si="33"/>
        <v>640.64449048347444</v>
      </c>
      <c r="M90" s="28">
        <f t="shared" si="34"/>
        <v>152.50376594961955</v>
      </c>
      <c r="N90" s="461">
        <f t="shared" si="35"/>
        <v>793.14825643309382</v>
      </c>
      <c r="O90" s="349">
        <f t="shared" si="29"/>
        <v>0.59490262288010709</v>
      </c>
      <c r="P90" s="419">
        <f t="shared" si="26"/>
        <v>1128.4722222222222</v>
      </c>
      <c r="Q90" s="419">
        <f t="shared" si="27"/>
        <v>1896.9024153212506</v>
      </c>
      <c r="U90" s="32"/>
      <c r="V90" s="32"/>
    </row>
    <row r="91" spans="2:22" hidden="1" x14ac:dyDescent="0.2">
      <c r="B91" s="8" t="s">
        <v>17</v>
      </c>
      <c r="C91" s="6"/>
      <c r="D91" s="352"/>
      <c r="E91" s="30">
        <f>SUM(E75:E90)</f>
        <v>308745538</v>
      </c>
      <c r="F91" s="30">
        <f t="shared" ref="F91:K91" si="36">SUM(F75:F90)</f>
        <v>172319.5478</v>
      </c>
      <c r="G91" s="30">
        <f t="shared" si="36"/>
        <v>1945326.18</v>
      </c>
      <c r="H91" s="30">
        <f t="shared" si="36"/>
        <v>628650.32889999985</v>
      </c>
      <c r="I91" s="455">
        <f t="shared" si="36"/>
        <v>2573976.5088999998</v>
      </c>
      <c r="J91" s="456">
        <f t="shared" si="36"/>
        <v>930450</v>
      </c>
      <c r="K91" s="30">
        <f t="shared" si="36"/>
        <v>347</v>
      </c>
      <c r="L91" s="28">
        <f t="shared" si="33"/>
        <v>3917.3047578064725</v>
      </c>
      <c r="M91" s="28">
        <f t="shared" si="34"/>
        <v>1265.913629146025</v>
      </c>
      <c r="N91" s="461">
        <f t="shared" si="35"/>
        <v>5183.2183869524979</v>
      </c>
      <c r="O91" s="349">
        <f t="shared" si="29"/>
        <v>0.6681940100935635</v>
      </c>
      <c r="P91" s="419">
        <f>SUMPRODUCT(P75:P90,E75:E90)/E91</f>
        <v>46.396657542292758</v>
      </c>
      <c r="Q91" s="419">
        <f t="shared" si="27"/>
        <v>55.812805884177671</v>
      </c>
      <c r="U91" s="32"/>
      <c r="V91" s="32"/>
    </row>
    <row r="92" spans="2:22" x14ac:dyDescent="0.2">
      <c r="B92" s="8" t="s">
        <v>23</v>
      </c>
      <c r="C92" s="6">
        <v>2</v>
      </c>
      <c r="D92" s="352" t="s">
        <v>9</v>
      </c>
      <c r="E92" s="30">
        <v>9881935</v>
      </c>
      <c r="F92" s="31">
        <v>0</v>
      </c>
      <c r="G92" s="31">
        <v>0</v>
      </c>
      <c r="H92" s="31">
        <v>0</v>
      </c>
      <c r="I92" s="457">
        <f t="shared" ref="I92:I99" si="37">G92+H92</f>
        <v>0</v>
      </c>
      <c r="J92" s="456">
        <f>IF($J$5="Fresno",S92,U92)</f>
        <v>38504</v>
      </c>
      <c r="K92" s="33">
        <f>IF($J$5="Fresno",T92,V92)</f>
        <v>0</v>
      </c>
      <c r="L92" s="28">
        <f t="shared" si="33"/>
        <v>0</v>
      </c>
      <c r="M92" s="28">
        <f t="shared" si="34"/>
        <v>0</v>
      </c>
      <c r="N92" s="461">
        <f t="shared" si="35"/>
        <v>0</v>
      </c>
      <c r="O92" s="349">
        <f t="shared" ref="O92:O99" si="38">IF(OR(F92 = 0, K92 = 0),1,(K92/J92)/(F92/E92))</f>
        <v>1</v>
      </c>
      <c r="P92" s="419">
        <f t="shared" si="26"/>
        <v>0</v>
      </c>
      <c r="Q92" s="419">
        <f t="shared" si="27"/>
        <v>0</v>
      </c>
      <c r="S92" s="456">
        <v>38504</v>
      </c>
      <c r="T92" s="33">
        <v>0</v>
      </c>
      <c r="U92" s="32">
        <v>2038</v>
      </c>
      <c r="V92" s="32">
        <v>0</v>
      </c>
    </row>
    <row r="93" spans="2:22" x14ac:dyDescent="0.2">
      <c r="B93" s="8" t="s">
        <v>23</v>
      </c>
      <c r="C93" s="6">
        <v>2</v>
      </c>
      <c r="D93" s="352" t="s">
        <v>10</v>
      </c>
      <c r="E93" s="30">
        <v>20056351</v>
      </c>
      <c r="F93" s="31">
        <v>19.432400000000001</v>
      </c>
      <c r="G93" s="31">
        <v>1481.55</v>
      </c>
      <c r="H93" s="31">
        <v>0</v>
      </c>
      <c r="I93" s="457">
        <f t="shared" si="37"/>
        <v>1481.55</v>
      </c>
      <c r="J93" s="456">
        <f t="shared" ref="J93:J107" si="39">IF($J$5="Fresno",S93,U93)</f>
        <v>73835</v>
      </c>
      <c r="K93" s="33">
        <f t="shared" ref="K93:K107" si="40">IF($J$5="Fresno",T93,V93)</f>
        <v>0</v>
      </c>
      <c r="L93" s="28">
        <f t="shared" si="33"/>
        <v>5.4541448865748308</v>
      </c>
      <c r="M93" s="28">
        <f t="shared" si="34"/>
        <v>0</v>
      </c>
      <c r="N93" s="461">
        <f t="shared" si="35"/>
        <v>5.4541448865748308</v>
      </c>
      <c r="O93" s="349">
        <f t="shared" si="38"/>
        <v>1</v>
      </c>
      <c r="P93" s="419">
        <f t="shared" si="26"/>
        <v>0</v>
      </c>
      <c r="Q93" s="419">
        <f t="shared" si="27"/>
        <v>9.6889010368835293E-2</v>
      </c>
      <c r="S93" s="456">
        <v>73835</v>
      </c>
      <c r="T93" s="33">
        <v>0</v>
      </c>
      <c r="U93" s="32">
        <v>4837</v>
      </c>
      <c r="V93" s="32">
        <v>0</v>
      </c>
    </row>
    <row r="94" spans="2:22" x14ac:dyDescent="0.2">
      <c r="B94" s="8" t="s">
        <v>23</v>
      </c>
      <c r="C94" s="6">
        <v>2</v>
      </c>
      <c r="D94" s="352" t="s">
        <v>11</v>
      </c>
      <c r="E94" s="30">
        <v>31774758</v>
      </c>
      <c r="F94" s="31">
        <v>19.06353</v>
      </c>
      <c r="G94" s="31">
        <v>1221.8489999999999</v>
      </c>
      <c r="H94" s="31">
        <v>0</v>
      </c>
      <c r="I94" s="457">
        <f t="shared" si="37"/>
        <v>1221.8489999999999</v>
      </c>
      <c r="J94" s="456">
        <f t="shared" si="39"/>
        <v>110381</v>
      </c>
      <c r="K94" s="33">
        <f t="shared" si="40"/>
        <v>0</v>
      </c>
      <c r="L94" s="28">
        <f t="shared" si="33"/>
        <v>4.2445300281751948</v>
      </c>
      <c r="M94" s="28">
        <f t="shared" si="34"/>
        <v>0</v>
      </c>
      <c r="N94" s="461">
        <f t="shared" si="35"/>
        <v>4.2445300281751948</v>
      </c>
      <c r="O94" s="349">
        <f t="shared" si="38"/>
        <v>1</v>
      </c>
      <c r="P94" s="419">
        <f t="shared" si="26"/>
        <v>0</v>
      </c>
      <c r="Q94" s="419">
        <f t="shared" si="27"/>
        <v>5.999583065274644E-2</v>
      </c>
      <c r="S94" s="456">
        <v>110381</v>
      </c>
      <c r="T94" s="33">
        <v>0</v>
      </c>
      <c r="U94" s="32">
        <v>5555</v>
      </c>
      <c r="V94" s="32">
        <v>0</v>
      </c>
    </row>
    <row r="95" spans="2:22" x14ac:dyDescent="0.2">
      <c r="B95" s="8" t="s">
        <v>23</v>
      </c>
      <c r="C95" s="6">
        <v>2</v>
      </c>
      <c r="D95" s="352" t="s">
        <v>12</v>
      </c>
      <c r="E95" s="30">
        <v>30600206</v>
      </c>
      <c r="F95" s="31">
        <v>40.686630000000001</v>
      </c>
      <c r="G95" s="31">
        <v>1910.9749999999999</v>
      </c>
      <c r="H95" s="31">
        <v>294.92700000000002</v>
      </c>
      <c r="I95" s="457">
        <f t="shared" si="37"/>
        <v>2205.902</v>
      </c>
      <c r="J95" s="456">
        <f t="shared" si="39"/>
        <v>87117</v>
      </c>
      <c r="K95" s="33">
        <f t="shared" si="40"/>
        <v>0</v>
      </c>
      <c r="L95" s="28">
        <f t="shared" si="33"/>
        <v>5.440434259658252</v>
      </c>
      <c r="M95" s="28">
        <f t="shared" si="34"/>
        <v>0.83963995075719433</v>
      </c>
      <c r="N95" s="461">
        <f t="shared" si="35"/>
        <v>6.2800742104154468</v>
      </c>
      <c r="O95" s="349">
        <f t="shared" si="38"/>
        <v>1</v>
      </c>
      <c r="P95" s="419">
        <f t="shared" si="26"/>
        <v>0</v>
      </c>
      <c r="Q95" s="419">
        <f t="shared" si="27"/>
        <v>0.13296194803394462</v>
      </c>
      <c r="S95" s="456">
        <v>87117</v>
      </c>
      <c r="T95" s="33">
        <v>0</v>
      </c>
      <c r="U95" s="32">
        <v>4386</v>
      </c>
      <c r="V95" s="32">
        <v>0</v>
      </c>
    </row>
    <row r="96" spans="2:22" x14ac:dyDescent="0.2">
      <c r="B96" s="8" t="s">
        <v>23</v>
      </c>
      <c r="C96" s="6">
        <v>2</v>
      </c>
      <c r="D96" s="352" t="s">
        <v>13</v>
      </c>
      <c r="E96" s="30">
        <v>33005514</v>
      </c>
      <c r="F96" s="31">
        <v>521.61800000000005</v>
      </c>
      <c r="G96" s="31">
        <v>16764.240000000002</v>
      </c>
      <c r="H96" s="31">
        <v>23878.560000000001</v>
      </c>
      <c r="I96" s="457">
        <f t="shared" si="37"/>
        <v>40642.800000000003</v>
      </c>
      <c r="J96" s="456">
        <f t="shared" si="39"/>
        <v>82694</v>
      </c>
      <c r="K96" s="33">
        <f t="shared" si="40"/>
        <v>0</v>
      </c>
      <c r="L96" s="28">
        <f t="shared" si="33"/>
        <v>42.002135235948764</v>
      </c>
      <c r="M96" s="28">
        <f t="shared" si="34"/>
        <v>59.826780477952866</v>
      </c>
      <c r="N96" s="461">
        <f t="shared" si="35"/>
        <v>101.82891571390164</v>
      </c>
      <c r="O96" s="349">
        <f t="shared" si="38"/>
        <v>1</v>
      </c>
      <c r="P96" s="419">
        <f t="shared" si="26"/>
        <v>0</v>
      </c>
      <c r="Q96" s="419">
        <f t="shared" si="27"/>
        <v>1.5803965361666539</v>
      </c>
      <c r="S96" s="456">
        <v>82694</v>
      </c>
      <c r="T96" s="33">
        <v>0</v>
      </c>
      <c r="U96" s="32">
        <v>3180</v>
      </c>
      <c r="V96" s="32">
        <v>0</v>
      </c>
    </row>
    <row r="97" spans="2:22" x14ac:dyDescent="0.2">
      <c r="B97" s="8" t="s">
        <v>23</v>
      </c>
      <c r="C97" s="6">
        <v>2</v>
      </c>
      <c r="D97" s="352" t="s">
        <v>14</v>
      </c>
      <c r="E97" s="30">
        <v>15323140</v>
      </c>
      <c r="F97" s="31">
        <v>2246.4229999999998</v>
      </c>
      <c r="G97" s="31">
        <v>50685.7</v>
      </c>
      <c r="H97" s="31">
        <v>37513.1</v>
      </c>
      <c r="I97" s="457">
        <f t="shared" si="37"/>
        <v>88198.799999999988</v>
      </c>
      <c r="J97" s="456">
        <f t="shared" si="39"/>
        <v>35399</v>
      </c>
      <c r="K97" s="33">
        <f t="shared" si="40"/>
        <v>4</v>
      </c>
      <c r="L97" s="28">
        <f t="shared" si="33"/>
        <v>90.251390766565322</v>
      </c>
      <c r="M97" s="28">
        <f t="shared" si="34"/>
        <v>66.796146585037633</v>
      </c>
      <c r="N97" s="461">
        <f t="shared" si="35"/>
        <v>157.04753735160295</v>
      </c>
      <c r="O97" s="349">
        <f t="shared" si="38"/>
        <v>0.77077075883382695</v>
      </c>
      <c r="P97" s="419">
        <f t="shared" si="26"/>
        <v>11.29975423034549</v>
      </c>
      <c r="Q97" s="419">
        <f t="shared" si="27"/>
        <v>14.660330715506088</v>
      </c>
      <c r="S97" s="456">
        <v>35399</v>
      </c>
      <c r="T97" s="33">
        <v>4</v>
      </c>
      <c r="U97" s="32">
        <v>1259</v>
      </c>
      <c r="V97" s="32">
        <v>0</v>
      </c>
    </row>
    <row r="98" spans="2:22" x14ac:dyDescent="0.2">
      <c r="B98" s="8" t="s">
        <v>23</v>
      </c>
      <c r="C98" s="6">
        <v>2</v>
      </c>
      <c r="D98" s="352" t="s">
        <v>15</v>
      </c>
      <c r="E98" s="30">
        <v>9169601</v>
      </c>
      <c r="F98" s="31">
        <v>9678.02</v>
      </c>
      <c r="G98" s="31">
        <v>136846.79999999999</v>
      </c>
      <c r="H98" s="31">
        <v>71693.5</v>
      </c>
      <c r="I98" s="457">
        <f t="shared" si="37"/>
        <v>208540.3</v>
      </c>
      <c r="J98" s="456">
        <f t="shared" si="39"/>
        <v>20855</v>
      </c>
      <c r="K98" s="33">
        <f t="shared" si="40"/>
        <v>30</v>
      </c>
      <c r="L98" s="28">
        <f t="shared" si="33"/>
        <v>424.19875139749655</v>
      </c>
      <c r="M98" s="28">
        <f t="shared" si="34"/>
        <v>222.23605654875689</v>
      </c>
      <c r="N98" s="461">
        <f t="shared" si="35"/>
        <v>646.4348079462535</v>
      </c>
      <c r="O98" s="349">
        <f t="shared" si="38"/>
        <v>1.3629344961464338</v>
      </c>
      <c r="P98" s="419">
        <f t="shared" si="26"/>
        <v>143.85039558858787</v>
      </c>
      <c r="Q98" s="419">
        <f t="shared" si="27"/>
        <v>105.54461420949504</v>
      </c>
      <c r="S98" s="456">
        <v>20855</v>
      </c>
      <c r="T98" s="33">
        <v>30</v>
      </c>
      <c r="U98" s="32">
        <v>1012</v>
      </c>
      <c r="V98" s="32">
        <v>0</v>
      </c>
    </row>
    <row r="99" spans="2:22" x14ac:dyDescent="0.2">
      <c r="B99" s="8" t="s">
        <v>23</v>
      </c>
      <c r="C99" s="6">
        <v>2</v>
      </c>
      <c r="D99" s="352" t="s">
        <v>16</v>
      </c>
      <c r="E99" s="30">
        <v>7152707</v>
      </c>
      <c r="F99" s="31">
        <v>38971.599999999999</v>
      </c>
      <c r="G99" s="31">
        <v>248061</v>
      </c>
      <c r="H99" s="31">
        <v>172288</v>
      </c>
      <c r="I99" s="457">
        <f t="shared" si="37"/>
        <v>420349</v>
      </c>
      <c r="J99" s="456">
        <f t="shared" si="39"/>
        <v>16854</v>
      </c>
      <c r="K99" s="33">
        <f t="shared" si="40"/>
        <v>231</v>
      </c>
      <c r="L99" s="28">
        <f t="shared" si="33"/>
        <v>1470.355104742941</v>
      </c>
      <c r="M99" s="28">
        <f t="shared" si="34"/>
        <v>1021.218733641934</v>
      </c>
      <c r="N99" s="461">
        <f t="shared" si="35"/>
        <v>2491.5738383848748</v>
      </c>
      <c r="O99" s="349">
        <f t="shared" si="38"/>
        <v>2.5155397777756106</v>
      </c>
      <c r="P99" s="419">
        <f t="shared" si="26"/>
        <v>1370.5945176219295</v>
      </c>
      <c r="Q99" s="419">
        <f t="shared" si="27"/>
        <v>544.85106128351129</v>
      </c>
      <c r="S99" s="456">
        <v>16854</v>
      </c>
      <c r="T99" s="33">
        <v>231</v>
      </c>
      <c r="U99" s="32">
        <v>417</v>
      </c>
      <c r="V99" s="32">
        <v>1</v>
      </c>
    </row>
    <row r="100" spans="2:22" x14ac:dyDescent="0.2">
      <c r="B100" s="8" t="s">
        <v>23</v>
      </c>
      <c r="C100" s="6">
        <v>1</v>
      </c>
      <c r="D100" s="352" t="s">
        <v>9</v>
      </c>
      <c r="E100" s="30">
        <v>10319427</v>
      </c>
      <c r="F100" s="31">
        <v>0</v>
      </c>
      <c r="G100" s="31">
        <v>0</v>
      </c>
      <c r="H100" s="31">
        <v>0</v>
      </c>
      <c r="I100" s="457">
        <f t="shared" si="32"/>
        <v>0</v>
      </c>
      <c r="J100" s="456">
        <f t="shared" si="39"/>
        <v>40476</v>
      </c>
      <c r="K100" s="33">
        <f t="shared" si="40"/>
        <v>0</v>
      </c>
      <c r="L100" s="28">
        <f t="shared" si="33"/>
        <v>0</v>
      </c>
      <c r="M100" s="28">
        <f t="shared" si="34"/>
        <v>0</v>
      </c>
      <c r="N100" s="461">
        <f t="shared" si="35"/>
        <v>0</v>
      </c>
      <c r="O100" s="349">
        <f t="shared" si="29"/>
        <v>1</v>
      </c>
      <c r="P100" s="419">
        <f t="shared" si="26"/>
        <v>0</v>
      </c>
      <c r="Q100" s="419">
        <f t="shared" si="27"/>
        <v>0</v>
      </c>
      <c r="S100" s="456">
        <v>40476</v>
      </c>
      <c r="T100" s="33">
        <v>0</v>
      </c>
      <c r="U100" s="31">
        <v>1962</v>
      </c>
      <c r="V100" s="32">
        <v>0</v>
      </c>
    </row>
    <row r="101" spans="2:22" x14ac:dyDescent="0.2">
      <c r="B101" s="8" t="s">
        <v>23</v>
      </c>
      <c r="C101" s="6">
        <v>1</v>
      </c>
      <c r="D101" s="352" t="s">
        <v>10</v>
      </c>
      <c r="E101" s="30">
        <v>20969500</v>
      </c>
      <c r="F101" s="31">
        <v>15.087199999999999</v>
      </c>
      <c r="G101" s="31">
        <v>1154.1500000000001</v>
      </c>
      <c r="H101" s="31">
        <v>0</v>
      </c>
      <c r="I101" s="457">
        <f t="shared" si="32"/>
        <v>1154.1500000000001</v>
      </c>
      <c r="J101" s="456">
        <f t="shared" si="39"/>
        <v>76614</v>
      </c>
      <c r="K101" s="33">
        <f t="shared" si="40"/>
        <v>0</v>
      </c>
      <c r="L101" s="28">
        <f t="shared" si="33"/>
        <v>4.2167933474808654</v>
      </c>
      <c r="M101" s="28">
        <f t="shared" si="34"/>
        <v>0</v>
      </c>
      <c r="N101" s="461">
        <f t="shared" si="35"/>
        <v>4.2167933474808654</v>
      </c>
      <c r="O101" s="349">
        <f t="shared" si="29"/>
        <v>1</v>
      </c>
      <c r="P101" s="419">
        <f t="shared" si="26"/>
        <v>0</v>
      </c>
      <c r="Q101" s="419">
        <f t="shared" si="27"/>
        <v>7.1948305872815269E-2</v>
      </c>
      <c r="S101" s="456">
        <v>76614</v>
      </c>
      <c r="T101" s="33">
        <v>0</v>
      </c>
      <c r="U101" s="31">
        <v>4589</v>
      </c>
      <c r="V101" s="32">
        <v>0</v>
      </c>
    </row>
    <row r="102" spans="2:22" x14ac:dyDescent="0.2">
      <c r="B102" s="8" t="s">
        <v>23</v>
      </c>
      <c r="C102" s="6">
        <v>1</v>
      </c>
      <c r="D102" s="352" t="s">
        <v>11</v>
      </c>
      <c r="E102" s="30">
        <v>32953433</v>
      </c>
      <c r="F102" s="31">
        <v>13.38456</v>
      </c>
      <c r="G102" s="31">
        <v>859.19100000000003</v>
      </c>
      <c r="H102" s="31">
        <v>0</v>
      </c>
      <c r="I102" s="457">
        <f t="shared" si="32"/>
        <v>859.19100000000003</v>
      </c>
      <c r="J102" s="456">
        <f t="shared" si="39"/>
        <v>116710</v>
      </c>
      <c r="K102" s="33">
        <f t="shared" si="40"/>
        <v>0</v>
      </c>
      <c r="L102" s="28">
        <f t="shared" si="33"/>
        <v>3.0429661641019314</v>
      </c>
      <c r="M102" s="28">
        <f t="shared" si="34"/>
        <v>0</v>
      </c>
      <c r="N102" s="461">
        <f t="shared" si="35"/>
        <v>3.0429661641019314</v>
      </c>
      <c r="O102" s="349">
        <f t="shared" si="29"/>
        <v>1</v>
      </c>
      <c r="P102" s="419">
        <f t="shared" si="26"/>
        <v>0</v>
      </c>
      <c r="Q102" s="419">
        <f t="shared" si="27"/>
        <v>4.061658765567764E-2</v>
      </c>
      <c r="S102" s="456">
        <v>116710</v>
      </c>
      <c r="T102" s="33">
        <v>0</v>
      </c>
      <c r="U102" s="31">
        <v>4767</v>
      </c>
      <c r="V102" s="32">
        <v>0</v>
      </c>
    </row>
    <row r="103" spans="2:22" x14ac:dyDescent="0.2">
      <c r="B103" s="8" t="s">
        <v>23</v>
      </c>
      <c r="C103" s="6">
        <v>1</v>
      </c>
      <c r="D103" s="352" t="s">
        <v>12</v>
      </c>
      <c r="E103" s="30">
        <v>30432499</v>
      </c>
      <c r="F103" s="31">
        <v>32.003329999999998</v>
      </c>
      <c r="G103" s="31">
        <v>1512.452</v>
      </c>
      <c r="H103" s="31">
        <v>344.99599999999998</v>
      </c>
      <c r="I103" s="457">
        <f t="shared" si="32"/>
        <v>1857.4479999999999</v>
      </c>
      <c r="J103" s="456">
        <f t="shared" si="39"/>
        <v>89486</v>
      </c>
      <c r="K103" s="33">
        <f t="shared" si="40"/>
        <v>0</v>
      </c>
      <c r="L103" s="28">
        <f t="shared" si="33"/>
        <v>4.4473271706014019</v>
      </c>
      <c r="M103" s="28">
        <f t="shared" si="34"/>
        <v>1.0144520847926422</v>
      </c>
      <c r="N103" s="461">
        <f t="shared" si="35"/>
        <v>5.4617792553940436</v>
      </c>
      <c r="O103" s="349">
        <f t="shared" si="29"/>
        <v>1</v>
      </c>
      <c r="P103" s="419">
        <f t="shared" si="26"/>
        <v>0</v>
      </c>
      <c r="Q103" s="419">
        <f t="shared" si="27"/>
        <v>0.10516168915342772</v>
      </c>
      <c r="S103" s="456">
        <v>89486</v>
      </c>
      <c r="T103" s="33">
        <v>0</v>
      </c>
      <c r="U103" s="31">
        <v>4198</v>
      </c>
      <c r="V103" s="32">
        <v>0</v>
      </c>
    </row>
    <row r="104" spans="2:22" x14ac:dyDescent="0.2">
      <c r="B104" s="8" t="s">
        <v>23</v>
      </c>
      <c r="C104" s="6">
        <v>1</v>
      </c>
      <c r="D104" s="352" t="s">
        <v>13</v>
      </c>
      <c r="E104" s="30">
        <v>31666007</v>
      </c>
      <c r="F104" s="31">
        <v>485.49459999999999</v>
      </c>
      <c r="G104" s="31">
        <v>15556.44</v>
      </c>
      <c r="H104" s="31">
        <v>32693.96</v>
      </c>
      <c r="I104" s="457">
        <f t="shared" si="32"/>
        <v>48250.400000000001</v>
      </c>
      <c r="J104" s="456">
        <f t="shared" si="39"/>
        <v>81265</v>
      </c>
      <c r="K104" s="33">
        <f t="shared" si="40"/>
        <v>0</v>
      </c>
      <c r="L104" s="28">
        <f t="shared" si="33"/>
        <v>39.92275049392871</v>
      </c>
      <c r="M104" s="28">
        <f t="shared" si="34"/>
        <v>83.903052866753939</v>
      </c>
      <c r="N104" s="461">
        <f t="shared" si="35"/>
        <v>123.82580336068266</v>
      </c>
      <c r="O104" s="349">
        <f t="shared" si="29"/>
        <v>1</v>
      </c>
      <c r="P104" s="419">
        <f t="shared" si="26"/>
        <v>0</v>
      </c>
      <c r="Q104" s="419">
        <f t="shared" si="27"/>
        <v>1.5331727805150805</v>
      </c>
      <c r="S104" s="456">
        <v>81265</v>
      </c>
      <c r="T104" s="33">
        <v>0</v>
      </c>
      <c r="U104" s="31">
        <v>2957</v>
      </c>
      <c r="V104" s="32">
        <v>0</v>
      </c>
    </row>
    <row r="105" spans="2:22" x14ac:dyDescent="0.2">
      <c r="B105" s="8" t="s">
        <v>23</v>
      </c>
      <c r="C105" s="6">
        <v>1</v>
      </c>
      <c r="D105" s="352" t="s">
        <v>14</v>
      </c>
      <c r="E105" s="30">
        <v>13930047</v>
      </c>
      <c r="F105" s="31">
        <v>2182.6660000000002</v>
      </c>
      <c r="G105" s="31">
        <v>49122.5</v>
      </c>
      <c r="H105" s="31">
        <v>51734.1</v>
      </c>
      <c r="I105" s="457">
        <f t="shared" si="32"/>
        <v>100856.6</v>
      </c>
      <c r="J105" s="456">
        <f t="shared" si="39"/>
        <v>33077</v>
      </c>
      <c r="K105" s="33">
        <f t="shared" si="40"/>
        <v>5</v>
      </c>
      <c r="L105" s="28">
        <f t="shared" si="33"/>
        <v>112.5286690680113</v>
      </c>
      <c r="M105" s="28">
        <f t="shared" si="34"/>
        <v>118.51126099916338</v>
      </c>
      <c r="N105" s="461">
        <f t="shared" si="35"/>
        <v>231.03993006717471</v>
      </c>
      <c r="O105" s="349">
        <f t="shared" si="29"/>
        <v>0.96473756502062025</v>
      </c>
      <c r="P105" s="419">
        <f t="shared" si="26"/>
        <v>15.116243915711824</v>
      </c>
      <c r="Q105" s="419">
        <f t="shared" si="27"/>
        <v>15.668762639494327</v>
      </c>
      <c r="S105" s="456">
        <v>33077</v>
      </c>
      <c r="T105" s="33">
        <v>5</v>
      </c>
      <c r="U105" s="31">
        <v>1391</v>
      </c>
      <c r="V105" s="32">
        <v>1</v>
      </c>
    </row>
    <row r="106" spans="2:22" x14ac:dyDescent="0.2">
      <c r="B106" s="8" t="s">
        <v>23</v>
      </c>
      <c r="C106" s="6">
        <v>1</v>
      </c>
      <c r="D106" s="352" t="s">
        <v>15</v>
      </c>
      <c r="E106" s="30">
        <v>7426360</v>
      </c>
      <c r="F106" s="31">
        <v>11473.4</v>
      </c>
      <c r="G106" s="31">
        <v>160299.5</v>
      </c>
      <c r="H106" s="31">
        <v>102646.9</v>
      </c>
      <c r="I106" s="457">
        <f t="shared" si="32"/>
        <v>262946.40000000002</v>
      </c>
      <c r="J106" s="456">
        <f t="shared" si="39"/>
        <v>16815</v>
      </c>
      <c r="K106" s="33">
        <f t="shared" si="40"/>
        <v>25</v>
      </c>
      <c r="L106" s="28">
        <f t="shared" si="33"/>
        <v>349.28508550211797</v>
      </c>
      <c r="M106" s="28">
        <f t="shared" si="34"/>
        <v>223.66277650914293</v>
      </c>
      <c r="N106" s="461">
        <f t="shared" si="35"/>
        <v>572.94786201126101</v>
      </c>
      <c r="O106" s="349">
        <f t="shared" si="29"/>
        <v>0.9623365936172753</v>
      </c>
      <c r="P106" s="419">
        <f t="shared" si="26"/>
        <v>148.67677668748144</v>
      </c>
      <c r="Q106" s="419">
        <f t="shared" si="27"/>
        <v>154.49560753855184</v>
      </c>
      <c r="S106" s="456">
        <v>16815</v>
      </c>
      <c r="T106" s="33">
        <v>25</v>
      </c>
      <c r="U106" s="31">
        <v>1164</v>
      </c>
      <c r="V106" s="32">
        <v>1</v>
      </c>
    </row>
    <row r="107" spans="2:22" x14ac:dyDescent="0.2">
      <c r="B107" s="8" t="s">
        <v>23</v>
      </c>
      <c r="C107" s="6">
        <v>1</v>
      </c>
      <c r="D107" s="352" t="s">
        <v>16</v>
      </c>
      <c r="E107" s="30">
        <v>4084053</v>
      </c>
      <c r="F107" s="31">
        <v>92582.399999999994</v>
      </c>
      <c r="G107" s="31">
        <v>506944</v>
      </c>
      <c r="H107" s="31">
        <v>336824</v>
      </c>
      <c r="I107" s="457">
        <f t="shared" si="32"/>
        <v>843768</v>
      </c>
      <c r="J107" s="456">
        <f t="shared" si="39"/>
        <v>10368</v>
      </c>
      <c r="K107" s="33">
        <f t="shared" si="40"/>
        <v>110</v>
      </c>
      <c r="L107" s="28">
        <f t="shared" si="33"/>
        <v>602.31577492050337</v>
      </c>
      <c r="M107" s="28">
        <f t="shared" si="34"/>
        <v>400.19096502142963</v>
      </c>
      <c r="N107" s="461">
        <f t="shared" si="35"/>
        <v>1002.506739941933</v>
      </c>
      <c r="O107" s="349">
        <f t="shared" si="29"/>
        <v>0.46801592544307286</v>
      </c>
      <c r="P107" s="419">
        <f t="shared" si="26"/>
        <v>1060.9567901234568</v>
      </c>
      <c r="Q107" s="419">
        <f t="shared" si="27"/>
        <v>2266.924547747054</v>
      </c>
      <c r="S107" s="456">
        <v>10368</v>
      </c>
      <c r="T107" s="33">
        <v>110</v>
      </c>
      <c r="U107" s="31">
        <v>674</v>
      </c>
      <c r="V107" s="32">
        <v>11</v>
      </c>
    </row>
    <row r="108" spans="2:22" x14ac:dyDescent="0.2">
      <c r="B108" s="8" t="s">
        <v>17</v>
      </c>
      <c r="D108" s="353"/>
      <c r="E108" s="30">
        <f>SUM(E92:E107)</f>
        <v>308745538</v>
      </c>
      <c r="F108" s="30">
        <f t="shared" ref="F108:K108" si="41">SUM(F92:F107)</f>
        <v>158281.27924999999</v>
      </c>
      <c r="G108" s="30">
        <f t="shared" si="41"/>
        <v>1192420.3470000001</v>
      </c>
      <c r="H108" s="30">
        <f t="shared" si="41"/>
        <v>829912.04299999995</v>
      </c>
      <c r="I108" s="455">
        <f t="shared" si="41"/>
        <v>2022332.3900000001</v>
      </c>
      <c r="J108" s="456">
        <f t="shared" si="41"/>
        <v>930450</v>
      </c>
      <c r="K108" s="30">
        <f t="shared" si="41"/>
        <v>405</v>
      </c>
      <c r="L108" s="28">
        <f t="shared" si="33"/>
        <v>3051.0888136823046</v>
      </c>
      <c r="M108" s="28">
        <f t="shared" si="34"/>
        <v>2123.5257827561436</v>
      </c>
      <c r="N108" s="461">
        <f t="shared" si="35"/>
        <v>5174.6145964384486</v>
      </c>
      <c r="O108" s="349">
        <f t="shared" si="29"/>
        <v>0.84904971637010207</v>
      </c>
      <c r="P108" s="419">
        <f>SUMPRODUCT(P92:P107,E92:E107)/E108</f>
        <v>54.87807394559637</v>
      </c>
      <c r="Q108" s="419">
        <f t="shared" si="27"/>
        <v>51.265932546043786</v>
      </c>
      <c r="S108" s="456">
        <f>SUM(S92:S107)</f>
        <v>930450</v>
      </c>
      <c r="T108" s="30">
        <f>SUM(T92:T107)</f>
        <v>405</v>
      </c>
      <c r="U108" s="32">
        <f>SUM(U92:U107)</f>
        <v>44386</v>
      </c>
      <c r="V108" s="32">
        <f>SUM(V92:V107)</f>
        <v>14</v>
      </c>
    </row>
    <row r="109" spans="2:22" x14ac:dyDescent="0.2">
      <c r="B109" s="4" t="s">
        <v>31</v>
      </c>
      <c r="C109" s="5">
        <v>2</v>
      </c>
      <c r="D109" s="354" t="s">
        <v>9</v>
      </c>
      <c r="E109" s="30">
        <v>9881935</v>
      </c>
      <c r="F109" s="31">
        <v>13.9099</v>
      </c>
      <c r="G109" s="31">
        <v>1181.96</v>
      </c>
      <c r="H109" s="31">
        <v>2794.14</v>
      </c>
      <c r="I109" s="457">
        <f t="shared" ref="I109:I116" si="42">G109+H109</f>
        <v>3976.1</v>
      </c>
      <c r="J109" s="456">
        <f>IF($J$5="Fresno",S109,U109)</f>
        <v>38504</v>
      </c>
      <c r="K109" s="33">
        <f>IF($J$5="Fresno",T109,V109)</f>
        <v>0</v>
      </c>
      <c r="L109" s="28">
        <f t="shared" si="33"/>
        <v>4.6053923487657027</v>
      </c>
      <c r="M109" s="28">
        <f t="shared" si="34"/>
        <v>10.887095144827404</v>
      </c>
      <c r="N109" s="461">
        <f t="shared" si="35"/>
        <v>15.492487493593107</v>
      </c>
      <c r="O109" s="349">
        <f t="shared" ref="O109:O116" si="43">IF(OR(F109 = 0, K109 = 0),1,(K109/J109)/(F109/E109))</f>
        <v>1</v>
      </c>
      <c r="P109" s="419">
        <f t="shared" si="26"/>
        <v>0</v>
      </c>
      <c r="Q109" s="419">
        <f t="shared" si="27"/>
        <v>0.14076089348897763</v>
      </c>
      <c r="S109" s="456">
        <v>38504</v>
      </c>
      <c r="T109" s="33">
        <v>0</v>
      </c>
      <c r="U109" s="32">
        <v>2038</v>
      </c>
      <c r="V109" s="32">
        <v>0</v>
      </c>
    </row>
    <row r="110" spans="2:22" x14ac:dyDescent="0.2">
      <c r="B110" s="4" t="s">
        <v>31</v>
      </c>
      <c r="C110" s="5">
        <v>2</v>
      </c>
      <c r="D110" s="354" t="s">
        <v>10</v>
      </c>
      <c r="E110" s="30">
        <v>20056351</v>
      </c>
      <c r="F110" s="31">
        <v>13.4093</v>
      </c>
      <c r="G110" s="31">
        <v>1005.06</v>
      </c>
      <c r="H110" s="31">
        <v>6466.73</v>
      </c>
      <c r="I110" s="457">
        <f t="shared" si="42"/>
        <v>7471.7899999999991</v>
      </c>
      <c r="J110" s="456">
        <f t="shared" ref="J110:J124" si="44">IF($J$5="Fresno",S110,U110)</f>
        <v>73835</v>
      </c>
      <c r="K110" s="33">
        <f t="shared" ref="K110:K124" si="45">IF($J$5="Fresno",T110,V110)</f>
        <v>0</v>
      </c>
      <c r="L110" s="28">
        <f t="shared" si="33"/>
        <v>3.7000053050527484</v>
      </c>
      <c r="M110" s="28">
        <f t="shared" si="34"/>
        <v>23.806474545145321</v>
      </c>
      <c r="N110" s="461">
        <f t="shared" si="35"/>
        <v>27.506479850198069</v>
      </c>
      <c r="O110" s="349">
        <f t="shared" si="43"/>
        <v>1</v>
      </c>
      <c r="P110" s="419">
        <f t="shared" si="26"/>
        <v>0</v>
      </c>
      <c r="Q110" s="419">
        <f t="shared" si="27"/>
        <v>6.6858123893025215E-2</v>
      </c>
      <c r="S110" s="456">
        <v>73835</v>
      </c>
      <c r="T110" s="33">
        <v>0</v>
      </c>
      <c r="U110" s="32">
        <v>4837</v>
      </c>
      <c r="V110" s="32">
        <v>0</v>
      </c>
    </row>
    <row r="111" spans="2:22" x14ac:dyDescent="0.2">
      <c r="B111" s="4" t="s">
        <v>31</v>
      </c>
      <c r="C111" s="5">
        <v>2</v>
      </c>
      <c r="D111" s="354" t="s">
        <v>11</v>
      </c>
      <c r="E111" s="30">
        <v>31774758</v>
      </c>
      <c r="F111" s="31">
        <v>236.9785</v>
      </c>
      <c r="G111" s="31">
        <v>14559.01</v>
      </c>
      <c r="H111" s="31">
        <v>19363.77</v>
      </c>
      <c r="I111" s="457">
        <f t="shared" si="42"/>
        <v>33922.78</v>
      </c>
      <c r="J111" s="456">
        <f t="shared" si="44"/>
        <v>110381</v>
      </c>
      <c r="K111" s="33">
        <f t="shared" si="45"/>
        <v>0</v>
      </c>
      <c r="L111" s="28">
        <f t="shared" si="33"/>
        <v>50.57593460853424</v>
      </c>
      <c r="M111" s="28">
        <f t="shared" si="34"/>
        <v>67.266988984463708</v>
      </c>
      <c r="N111" s="461">
        <f t="shared" si="35"/>
        <v>117.84292359299793</v>
      </c>
      <c r="O111" s="349">
        <f t="shared" si="43"/>
        <v>1</v>
      </c>
      <c r="P111" s="419">
        <f t="shared" si="26"/>
        <v>0</v>
      </c>
      <c r="Q111" s="419">
        <f t="shared" si="27"/>
        <v>0.74580741102733183</v>
      </c>
      <c r="S111" s="456">
        <v>110381</v>
      </c>
      <c r="T111" s="33">
        <v>0</v>
      </c>
      <c r="U111" s="32">
        <v>5555</v>
      </c>
      <c r="V111" s="32">
        <v>0</v>
      </c>
    </row>
    <row r="112" spans="2:22" x14ac:dyDescent="0.2">
      <c r="B112" s="4" t="s">
        <v>31</v>
      </c>
      <c r="C112" s="5">
        <v>2</v>
      </c>
      <c r="D112" s="354" t="s">
        <v>12</v>
      </c>
      <c r="E112" s="30">
        <v>30600206</v>
      </c>
      <c r="F112" s="31">
        <v>1388.8440000000001</v>
      </c>
      <c r="G112" s="31">
        <v>65603.899999999994</v>
      </c>
      <c r="H112" s="31">
        <v>78132.2</v>
      </c>
      <c r="I112" s="457">
        <f t="shared" si="42"/>
        <v>143736.09999999998</v>
      </c>
      <c r="J112" s="456">
        <f t="shared" si="44"/>
        <v>87117</v>
      </c>
      <c r="K112" s="33">
        <f t="shared" si="45"/>
        <v>3</v>
      </c>
      <c r="L112" s="28">
        <f t="shared" si="33"/>
        <v>141.70900403501039</v>
      </c>
      <c r="M112" s="28">
        <f t="shared" si="34"/>
        <v>168.77100667893586</v>
      </c>
      <c r="N112" s="461">
        <f t="shared" si="35"/>
        <v>310.48001071394623</v>
      </c>
      <c r="O112" s="349">
        <f t="shared" si="43"/>
        <v>0.75873344199348602</v>
      </c>
      <c r="P112" s="419">
        <f t="shared" si="26"/>
        <v>3.4436447536072179</v>
      </c>
      <c r="Q112" s="419">
        <f t="shared" si="27"/>
        <v>4.5386753278719754</v>
      </c>
      <c r="S112" s="456">
        <v>87117</v>
      </c>
      <c r="T112" s="33">
        <v>3</v>
      </c>
      <c r="U112" s="32">
        <v>4386</v>
      </c>
      <c r="V112" s="32">
        <v>0</v>
      </c>
    </row>
    <row r="113" spans="2:22" x14ac:dyDescent="0.2">
      <c r="B113" s="4" t="s">
        <v>31</v>
      </c>
      <c r="C113" s="5">
        <v>2</v>
      </c>
      <c r="D113" s="354" t="s">
        <v>13</v>
      </c>
      <c r="E113" s="30">
        <v>33005514</v>
      </c>
      <c r="F113" s="31">
        <v>6810.29</v>
      </c>
      <c r="G113" s="31">
        <v>227513.1</v>
      </c>
      <c r="H113" s="31">
        <v>194181.8</v>
      </c>
      <c r="I113" s="457">
        <f t="shared" si="42"/>
        <v>421694.9</v>
      </c>
      <c r="J113" s="456">
        <f t="shared" si="44"/>
        <v>82694</v>
      </c>
      <c r="K113" s="33">
        <f t="shared" si="45"/>
        <v>13</v>
      </c>
      <c r="L113" s="28">
        <f t="shared" si="33"/>
        <v>434.29432520494726</v>
      </c>
      <c r="M113" s="28">
        <f t="shared" si="34"/>
        <v>370.66900234791763</v>
      </c>
      <c r="N113" s="461">
        <f t="shared" si="35"/>
        <v>804.96332755286494</v>
      </c>
      <c r="O113" s="349">
        <f t="shared" si="43"/>
        <v>0.76188644568007813</v>
      </c>
      <c r="P113" s="419">
        <f t="shared" si="26"/>
        <v>15.720608508477035</v>
      </c>
      <c r="Q113" s="419">
        <f t="shared" si="27"/>
        <v>20.633794704727215</v>
      </c>
      <c r="S113" s="456">
        <v>82694</v>
      </c>
      <c r="T113" s="33">
        <v>13</v>
      </c>
      <c r="U113" s="32">
        <v>3180</v>
      </c>
      <c r="V113" s="32">
        <v>2</v>
      </c>
    </row>
    <row r="114" spans="2:22" x14ac:dyDescent="0.2">
      <c r="B114" s="4" t="s">
        <v>31</v>
      </c>
      <c r="C114" s="5">
        <v>2</v>
      </c>
      <c r="D114" s="354" t="s">
        <v>14</v>
      </c>
      <c r="E114" s="30">
        <v>15323140</v>
      </c>
      <c r="F114" s="31">
        <v>8800.6</v>
      </c>
      <c r="G114" s="31">
        <v>203952.6</v>
      </c>
      <c r="H114" s="31">
        <v>130067.9</v>
      </c>
      <c r="I114" s="457">
        <f t="shared" si="42"/>
        <v>334020.5</v>
      </c>
      <c r="J114" s="456">
        <f t="shared" si="44"/>
        <v>35399</v>
      </c>
      <c r="K114" s="33">
        <f t="shared" si="45"/>
        <v>14</v>
      </c>
      <c r="L114" s="28">
        <f t="shared" si="33"/>
        <v>324.44792400518145</v>
      </c>
      <c r="M114" s="28">
        <f t="shared" si="34"/>
        <v>206.91209690248391</v>
      </c>
      <c r="N114" s="461">
        <f t="shared" si="35"/>
        <v>531.36002090766533</v>
      </c>
      <c r="O114" s="349">
        <f t="shared" si="43"/>
        <v>0.68860873818843793</v>
      </c>
      <c r="P114" s="419">
        <f t="shared" si="26"/>
        <v>39.549139806209219</v>
      </c>
      <c r="Q114" s="419">
        <f t="shared" si="27"/>
        <v>57.433398115529847</v>
      </c>
      <c r="S114" s="456">
        <v>35399</v>
      </c>
      <c r="T114" s="33">
        <v>14</v>
      </c>
      <c r="U114" s="32">
        <v>1259</v>
      </c>
      <c r="V114" s="32">
        <v>2</v>
      </c>
    </row>
    <row r="115" spans="2:22" x14ac:dyDescent="0.2">
      <c r="B115" s="4" t="s">
        <v>31</v>
      </c>
      <c r="C115" s="5">
        <v>2</v>
      </c>
      <c r="D115" s="354" t="s">
        <v>15</v>
      </c>
      <c r="E115" s="30">
        <v>9169601</v>
      </c>
      <c r="F115" s="31">
        <v>10205.59</v>
      </c>
      <c r="G115" s="31">
        <v>150476.20000000001</v>
      </c>
      <c r="H115" s="31">
        <v>87594.3</v>
      </c>
      <c r="I115" s="457">
        <f t="shared" si="42"/>
        <v>238070.5</v>
      </c>
      <c r="J115" s="456">
        <f t="shared" si="44"/>
        <v>20855</v>
      </c>
      <c r="K115" s="33">
        <f t="shared" si="45"/>
        <v>25</v>
      </c>
      <c r="L115" s="28">
        <f t="shared" si="33"/>
        <v>368.61220174433822</v>
      </c>
      <c r="M115" s="28">
        <f t="shared" si="34"/>
        <v>214.5743166245166</v>
      </c>
      <c r="N115" s="461">
        <f t="shared" si="35"/>
        <v>583.18651836885476</v>
      </c>
      <c r="O115" s="349">
        <f t="shared" si="43"/>
        <v>1.0770655520157018</v>
      </c>
      <c r="P115" s="419">
        <f t="shared" si="26"/>
        <v>119.87532965715656</v>
      </c>
      <c r="Q115" s="419">
        <f t="shared" si="27"/>
        <v>111.29808156319996</v>
      </c>
      <c r="S115" s="456">
        <v>20855</v>
      </c>
      <c r="T115" s="33">
        <v>25</v>
      </c>
      <c r="U115" s="32">
        <v>1012</v>
      </c>
      <c r="V115" s="32">
        <v>0</v>
      </c>
    </row>
    <row r="116" spans="2:22" x14ac:dyDescent="0.2">
      <c r="B116" s="4" t="s">
        <v>31</v>
      </c>
      <c r="C116" s="5">
        <v>2</v>
      </c>
      <c r="D116" s="354" t="s">
        <v>16</v>
      </c>
      <c r="E116" s="30">
        <v>7152707</v>
      </c>
      <c r="F116" s="31">
        <v>13867.2</v>
      </c>
      <c r="G116" s="31">
        <v>88267.1</v>
      </c>
      <c r="H116" s="31">
        <v>52907.9</v>
      </c>
      <c r="I116" s="457">
        <f t="shared" si="42"/>
        <v>141175</v>
      </c>
      <c r="J116" s="456">
        <f t="shared" si="44"/>
        <v>16854</v>
      </c>
      <c r="K116" s="33">
        <f t="shared" si="45"/>
        <v>47</v>
      </c>
      <c r="L116" s="28">
        <f t="shared" si="33"/>
        <v>299.1630394023307</v>
      </c>
      <c r="M116" s="28">
        <f t="shared" si="34"/>
        <v>179.32036027460481</v>
      </c>
      <c r="N116" s="461">
        <f t="shared" si="35"/>
        <v>478.48339967693551</v>
      </c>
      <c r="O116" s="349">
        <f t="shared" si="43"/>
        <v>1.438389566862101</v>
      </c>
      <c r="P116" s="419">
        <f t="shared" si="26"/>
        <v>278.86555120446184</v>
      </c>
      <c r="Q116" s="419">
        <f t="shared" si="27"/>
        <v>193.87345238662789</v>
      </c>
      <c r="S116" s="456">
        <v>16854</v>
      </c>
      <c r="T116" s="33">
        <v>47</v>
      </c>
      <c r="U116" s="32">
        <v>417</v>
      </c>
      <c r="V116" s="32">
        <v>0</v>
      </c>
    </row>
    <row r="117" spans="2:22" x14ac:dyDescent="0.2">
      <c r="B117" s="4" t="s">
        <v>31</v>
      </c>
      <c r="C117" s="5">
        <v>1</v>
      </c>
      <c r="D117" s="354" t="s">
        <v>9</v>
      </c>
      <c r="E117" s="30">
        <v>10319427</v>
      </c>
      <c r="F117" s="31">
        <v>12.4541</v>
      </c>
      <c r="G117" s="31">
        <v>1059.08</v>
      </c>
      <c r="H117" s="31">
        <v>2343.7399999999998</v>
      </c>
      <c r="I117" s="457">
        <f t="shared" si="32"/>
        <v>3402.8199999999997</v>
      </c>
      <c r="J117" s="456">
        <f t="shared" si="44"/>
        <v>40476</v>
      </c>
      <c r="K117" s="33">
        <f t="shared" si="45"/>
        <v>0</v>
      </c>
      <c r="L117" s="28">
        <f t="shared" si="33"/>
        <v>4.1540409249467043</v>
      </c>
      <c r="M117" s="28">
        <f t="shared" si="34"/>
        <v>9.1928767207714142</v>
      </c>
      <c r="N117" s="461">
        <f t="shared" si="35"/>
        <v>13.34691764571812</v>
      </c>
      <c r="O117" s="349">
        <f t="shared" si="29"/>
        <v>1</v>
      </c>
      <c r="P117" s="419">
        <f t="shared" si="26"/>
        <v>0</v>
      </c>
      <c r="Q117" s="419">
        <f t="shared" si="27"/>
        <v>0.12068596444356842</v>
      </c>
      <c r="S117" s="456">
        <v>40476</v>
      </c>
      <c r="T117" s="33">
        <v>0</v>
      </c>
      <c r="U117" s="31">
        <v>1962</v>
      </c>
      <c r="V117" s="32">
        <v>0</v>
      </c>
    </row>
    <row r="118" spans="2:22" x14ac:dyDescent="0.2">
      <c r="B118" s="4" t="s">
        <v>31</v>
      </c>
      <c r="C118" s="5">
        <v>1</v>
      </c>
      <c r="D118" s="354" t="s">
        <v>10</v>
      </c>
      <c r="E118" s="30">
        <v>20969500</v>
      </c>
      <c r="F118" s="31">
        <v>14.139900000000001</v>
      </c>
      <c r="G118" s="31">
        <v>1061.49</v>
      </c>
      <c r="H118" s="31">
        <v>5917.75</v>
      </c>
      <c r="I118" s="457">
        <f t="shared" si="32"/>
        <v>6979.24</v>
      </c>
      <c r="J118" s="456">
        <f t="shared" si="44"/>
        <v>76614</v>
      </c>
      <c r="K118" s="33">
        <f t="shared" si="45"/>
        <v>0</v>
      </c>
      <c r="L118" s="28">
        <f t="shared" si="33"/>
        <v>3.8782515014664156</v>
      </c>
      <c r="M118" s="28">
        <f t="shared" si="34"/>
        <v>21.62104477932235</v>
      </c>
      <c r="N118" s="461">
        <f t="shared" si="35"/>
        <v>25.499296280788762</v>
      </c>
      <c r="O118" s="349">
        <f t="shared" si="29"/>
        <v>1</v>
      </c>
      <c r="P118" s="419">
        <f t="shared" si="26"/>
        <v>0</v>
      </c>
      <c r="Q118" s="419">
        <f t="shared" si="27"/>
        <v>6.7430792341257539E-2</v>
      </c>
      <c r="S118" s="456">
        <v>76614</v>
      </c>
      <c r="T118" s="33">
        <v>0</v>
      </c>
      <c r="U118" s="31">
        <v>4589</v>
      </c>
      <c r="V118" s="32">
        <v>0</v>
      </c>
    </row>
    <row r="119" spans="2:22" x14ac:dyDescent="0.2">
      <c r="B119" s="4" t="s">
        <v>31</v>
      </c>
      <c r="C119" s="5">
        <v>1</v>
      </c>
      <c r="D119" s="354" t="s">
        <v>11</v>
      </c>
      <c r="E119" s="30">
        <v>32953433</v>
      </c>
      <c r="F119" s="31">
        <v>179.4615</v>
      </c>
      <c r="G119" s="31">
        <v>11047.18</v>
      </c>
      <c r="H119" s="31">
        <v>17548.5</v>
      </c>
      <c r="I119" s="457">
        <f t="shared" si="32"/>
        <v>28595.68</v>
      </c>
      <c r="J119" s="456">
        <f t="shared" si="44"/>
        <v>116710</v>
      </c>
      <c r="K119" s="33">
        <f t="shared" si="45"/>
        <v>0</v>
      </c>
      <c r="L119" s="28">
        <f t="shared" si="33"/>
        <v>39.125403954119136</v>
      </c>
      <c r="M119" s="28">
        <f t="shared" si="34"/>
        <v>62.150897449743702</v>
      </c>
      <c r="N119" s="461">
        <f t="shared" si="35"/>
        <v>101.27630140386285</v>
      </c>
      <c r="O119" s="349">
        <f t="shared" si="29"/>
        <v>1</v>
      </c>
      <c r="P119" s="419">
        <f t="shared" si="26"/>
        <v>0</v>
      </c>
      <c r="Q119" s="419">
        <f t="shared" si="27"/>
        <v>0.5445912114831859</v>
      </c>
      <c r="S119" s="456">
        <v>116710</v>
      </c>
      <c r="T119" s="33">
        <v>0</v>
      </c>
      <c r="U119" s="31">
        <v>4767</v>
      </c>
      <c r="V119" s="32">
        <v>0</v>
      </c>
    </row>
    <row r="120" spans="2:22" x14ac:dyDescent="0.2">
      <c r="B120" s="4" t="s">
        <v>31</v>
      </c>
      <c r="C120" s="5">
        <v>1</v>
      </c>
      <c r="D120" s="354" t="s">
        <v>12</v>
      </c>
      <c r="E120" s="30">
        <v>30432499</v>
      </c>
      <c r="F120" s="31">
        <v>912.41099999999994</v>
      </c>
      <c r="G120" s="31">
        <v>43186.83</v>
      </c>
      <c r="H120" s="31">
        <v>67573.5</v>
      </c>
      <c r="I120" s="457">
        <f t="shared" si="32"/>
        <v>110760.33</v>
      </c>
      <c r="J120" s="456">
        <f t="shared" si="44"/>
        <v>89486</v>
      </c>
      <c r="K120" s="33">
        <f t="shared" si="45"/>
        <v>5</v>
      </c>
      <c r="L120" s="28">
        <f t="shared" si="33"/>
        <v>236.66324715506499</v>
      </c>
      <c r="M120" s="28">
        <f t="shared" si="34"/>
        <v>370.30187053860595</v>
      </c>
      <c r="N120" s="461">
        <f t="shared" si="35"/>
        <v>606.965117693671</v>
      </c>
      <c r="O120" s="349">
        <f t="shared" si="29"/>
        <v>1.8636399541118589</v>
      </c>
      <c r="P120" s="419">
        <f t="shared" si="26"/>
        <v>5.5874661958295153</v>
      </c>
      <c r="Q120" s="419">
        <f t="shared" si="27"/>
        <v>2.998146816664645</v>
      </c>
      <c r="S120" s="456">
        <v>89486</v>
      </c>
      <c r="T120" s="33">
        <v>5</v>
      </c>
      <c r="U120" s="31">
        <v>4198</v>
      </c>
      <c r="V120" s="32">
        <v>1</v>
      </c>
    </row>
    <row r="121" spans="2:22" x14ac:dyDescent="0.2">
      <c r="B121" s="4" t="s">
        <v>31</v>
      </c>
      <c r="C121" s="5">
        <v>1</v>
      </c>
      <c r="D121" s="354" t="s">
        <v>13</v>
      </c>
      <c r="E121" s="30">
        <v>31666007</v>
      </c>
      <c r="F121" s="31">
        <v>4679.3509999999997</v>
      </c>
      <c r="G121" s="31">
        <v>155357.79999999999</v>
      </c>
      <c r="H121" s="31">
        <v>177960.3</v>
      </c>
      <c r="I121" s="457">
        <f t="shared" si="32"/>
        <v>333318.09999999998</v>
      </c>
      <c r="J121" s="456">
        <f t="shared" si="44"/>
        <v>81265</v>
      </c>
      <c r="K121" s="33">
        <f t="shared" si="45"/>
        <v>26</v>
      </c>
      <c r="L121" s="28">
        <f t="shared" si="33"/>
        <v>863.21859591212535</v>
      </c>
      <c r="M121" s="28">
        <f t="shared" si="34"/>
        <v>988.80545614124696</v>
      </c>
      <c r="N121" s="461">
        <f t="shared" si="35"/>
        <v>1852.0240520533723</v>
      </c>
      <c r="O121" s="349">
        <f t="shared" si="29"/>
        <v>2.165097650302819</v>
      </c>
      <c r="P121" s="419">
        <f t="shared" si="26"/>
        <v>31.994093398141878</v>
      </c>
      <c r="Q121" s="419">
        <f t="shared" si="27"/>
        <v>14.777205727264571</v>
      </c>
      <c r="S121" s="456">
        <v>81265</v>
      </c>
      <c r="T121" s="33">
        <v>26</v>
      </c>
      <c r="U121" s="31">
        <v>2957</v>
      </c>
      <c r="V121" s="32">
        <v>0</v>
      </c>
    </row>
    <row r="122" spans="2:22" x14ac:dyDescent="0.2">
      <c r="B122" s="4" t="s">
        <v>31</v>
      </c>
      <c r="C122" s="5">
        <v>1</v>
      </c>
      <c r="D122" s="354" t="s">
        <v>14</v>
      </c>
      <c r="E122" s="30">
        <v>13930047</v>
      </c>
      <c r="F122" s="31">
        <v>7076.68</v>
      </c>
      <c r="G122" s="31">
        <v>163031.79999999999</v>
      </c>
      <c r="H122" s="31">
        <v>131766.79999999999</v>
      </c>
      <c r="I122" s="457">
        <f t="shared" si="32"/>
        <v>294798.59999999998</v>
      </c>
      <c r="J122" s="456">
        <f t="shared" si="44"/>
        <v>33077</v>
      </c>
      <c r="K122" s="33">
        <f t="shared" si="45"/>
        <v>29</v>
      </c>
      <c r="L122" s="28">
        <f t="shared" si="33"/>
        <v>668.09891078867486</v>
      </c>
      <c r="M122" s="28">
        <f t="shared" si="34"/>
        <v>539.9759774357467</v>
      </c>
      <c r="N122" s="461">
        <f t="shared" si="35"/>
        <v>1208.0748882244213</v>
      </c>
      <c r="O122" s="349">
        <f t="shared" si="29"/>
        <v>1.7258176597134709</v>
      </c>
      <c r="P122" s="419">
        <f t="shared" si="26"/>
        <v>87.67421471112857</v>
      </c>
      <c r="Q122" s="419">
        <f t="shared" si="27"/>
        <v>50.801551495124173</v>
      </c>
      <c r="S122" s="456">
        <v>33077</v>
      </c>
      <c r="T122" s="33">
        <v>29</v>
      </c>
      <c r="U122" s="31">
        <v>1391</v>
      </c>
      <c r="V122" s="32">
        <v>3</v>
      </c>
    </row>
    <row r="123" spans="2:22" x14ac:dyDescent="0.2">
      <c r="B123" s="4" t="s">
        <v>31</v>
      </c>
      <c r="C123" s="5">
        <v>1</v>
      </c>
      <c r="D123" s="354" t="s">
        <v>15</v>
      </c>
      <c r="E123" s="30">
        <v>7426360</v>
      </c>
      <c r="F123" s="31">
        <v>9963.94</v>
      </c>
      <c r="G123" s="31">
        <v>145243.9</v>
      </c>
      <c r="H123" s="31">
        <v>103044.1</v>
      </c>
      <c r="I123" s="457">
        <f t="shared" si="32"/>
        <v>248288</v>
      </c>
      <c r="J123" s="456">
        <f t="shared" si="44"/>
        <v>16815</v>
      </c>
      <c r="K123" s="33">
        <f t="shared" si="45"/>
        <v>32</v>
      </c>
      <c r="L123" s="28">
        <f t="shared" si="33"/>
        <v>466.46254393342389</v>
      </c>
      <c r="M123" s="28">
        <f t="shared" si="34"/>
        <v>330.93446969772998</v>
      </c>
      <c r="N123" s="461">
        <f t="shared" si="35"/>
        <v>797.39701363115387</v>
      </c>
      <c r="O123" s="349">
        <f t="shared" si="29"/>
        <v>1.4183976440752162</v>
      </c>
      <c r="P123" s="419">
        <f t="shared" si="26"/>
        <v>190.30627415997623</v>
      </c>
      <c r="Q123" s="419">
        <f t="shared" si="27"/>
        <v>134.16990288647469</v>
      </c>
      <c r="S123" s="456">
        <v>16815</v>
      </c>
      <c r="T123" s="33">
        <v>32</v>
      </c>
      <c r="U123" s="31">
        <v>1164</v>
      </c>
      <c r="V123" s="32">
        <v>4</v>
      </c>
    </row>
    <row r="124" spans="2:22" x14ac:dyDescent="0.2">
      <c r="B124" s="4" t="s">
        <v>31</v>
      </c>
      <c r="C124" s="5">
        <v>1</v>
      </c>
      <c r="D124" s="354" t="s">
        <v>16</v>
      </c>
      <c r="E124" s="30">
        <v>4084053</v>
      </c>
      <c r="F124" s="31">
        <v>21881.3</v>
      </c>
      <c r="G124" s="31">
        <v>119813</v>
      </c>
      <c r="H124" s="31">
        <v>87198</v>
      </c>
      <c r="I124" s="457">
        <f t="shared" si="32"/>
        <v>207011</v>
      </c>
      <c r="J124" s="456">
        <f t="shared" si="44"/>
        <v>10368</v>
      </c>
      <c r="K124" s="33">
        <f t="shared" si="45"/>
        <v>28</v>
      </c>
      <c r="L124" s="28">
        <f t="shared" si="33"/>
        <v>153.31648485236252</v>
      </c>
      <c r="M124" s="28">
        <f t="shared" si="34"/>
        <v>111.58130458427972</v>
      </c>
      <c r="N124" s="461">
        <f t="shared" si="35"/>
        <v>264.8977894366422</v>
      </c>
      <c r="O124" s="349">
        <f t="shared" si="29"/>
        <v>0.50405890510940254</v>
      </c>
      <c r="P124" s="419">
        <f t="shared" si="26"/>
        <v>270.06172839506172</v>
      </c>
      <c r="Q124" s="419">
        <f t="shared" si="27"/>
        <v>535.77414396923837</v>
      </c>
      <c r="S124" s="456">
        <v>10368</v>
      </c>
      <c r="T124" s="33">
        <v>28</v>
      </c>
      <c r="U124" s="31">
        <v>674</v>
      </c>
      <c r="V124" s="32">
        <v>4</v>
      </c>
    </row>
    <row r="125" spans="2:22" x14ac:dyDescent="0.2">
      <c r="B125" s="8" t="s">
        <v>17</v>
      </c>
      <c r="C125" s="5"/>
      <c r="D125" s="354"/>
      <c r="E125" s="30">
        <f>SUM(E109:E124)</f>
        <v>308745538</v>
      </c>
      <c r="F125" s="30">
        <f t="shared" ref="F125:K125" si="46">SUM(F109:F124)</f>
        <v>86056.559200000003</v>
      </c>
      <c r="G125" s="30">
        <f t="shared" si="46"/>
        <v>1392360.01</v>
      </c>
      <c r="H125" s="30">
        <f t="shared" si="46"/>
        <v>1164861.4300000002</v>
      </c>
      <c r="I125" s="455">
        <f t="shared" si="46"/>
        <v>2557221.44</v>
      </c>
      <c r="J125" s="456">
        <f t="shared" si="46"/>
        <v>930450</v>
      </c>
      <c r="K125" s="30">
        <f t="shared" si="46"/>
        <v>222</v>
      </c>
      <c r="L125" s="28">
        <f t="shared" si="33"/>
        <v>3591.8694065100385</v>
      </c>
      <c r="M125" s="28">
        <f t="shared" si="34"/>
        <v>3004.9915992922943</v>
      </c>
      <c r="N125" s="461">
        <f t="shared" si="35"/>
        <v>6596.8610058023323</v>
      </c>
      <c r="O125" s="349">
        <f t="shared" si="29"/>
        <v>0.85600567995418175</v>
      </c>
      <c r="P125" s="419">
        <f>SUMPRODUCT(P109:P124,E109:E124)/E125</f>
        <v>29.943148596363326</v>
      </c>
      <c r="Q125" s="419">
        <f t="shared" si="27"/>
        <v>27.872972596611259</v>
      </c>
      <c r="S125" s="456">
        <f>SUM(S109:S124)</f>
        <v>930450</v>
      </c>
      <c r="T125" s="30">
        <f>SUM(T109:T124)</f>
        <v>222</v>
      </c>
      <c r="U125" s="32">
        <f>SUM(U109:U124)</f>
        <v>44386</v>
      </c>
      <c r="V125" s="32">
        <f>SUM(V109:V124)</f>
        <v>16</v>
      </c>
    </row>
    <row r="126" spans="2:22" x14ac:dyDescent="0.2">
      <c r="B126" s="4" t="s">
        <v>32</v>
      </c>
      <c r="C126" s="5">
        <v>2</v>
      </c>
      <c r="D126" s="354" t="s">
        <v>9</v>
      </c>
      <c r="E126" s="30">
        <v>9881935</v>
      </c>
      <c r="F126" s="32">
        <v>0</v>
      </c>
      <c r="G126" s="31">
        <v>0</v>
      </c>
      <c r="H126" s="31">
        <v>54.7239</v>
      </c>
      <c r="I126" s="457">
        <f t="shared" ref="I126:I133" si="47">G126+H126</f>
        <v>54.7239</v>
      </c>
      <c r="J126" s="456">
        <f>IF($J$5="Fresno",S126,U126)</f>
        <v>38504</v>
      </c>
      <c r="K126" s="33">
        <f>IF($J$5="Fresno",T126,V126)</f>
        <v>0</v>
      </c>
      <c r="L126" s="28">
        <f t="shared" si="33"/>
        <v>0</v>
      </c>
      <c r="M126" s="28">
        <f t="shared" si="34"/>
        <v>0.21322636159820926</v>
      </c>
      <c r="N126" s="461">
        <f t="shared" si="35"/>
        <v>0.21322636159820926</v>
      </c>
      <c r="O126" s="349">
        <f t="shared" ref="O126:O133" si="48">IF(OR(F126 = 0, K126 = 0),1,(K126/J126)/(F126/E126))</f>
        <v>1</v>
      </c>
      <c r="P126" s="419">
        <f t="shared" si="26"/>
        <v>0</v>
      </c>
      <c r="Q126" s="419">
        <f t="shared" si="27"/>
        <v>0</v>
      </c>
      <c r="S126" s="456">
        <v>38504</v>
      </c>
      <c r="T126" s="33">
        <v>0</v>
      </c>
      <c r="U126" s="32">
        <v>2038</v>
      </c>
      <c r="V126" s="32">
        <v>0</v>
      </c>
    </row>
    <row r="127" spans="2:22" x14ac:dyDescent="0.2">
      <c r="B127" s="4" t="s">
        <v>32</v>
      </c>
      <c r="C127" s="5">
        <v>2</v>
      </c>
      <c r="D127" s="354" t="s">
        <v>10</v>
      </c>
      <c r="E127" s="30">
        <v>20056351</v>
      </c>
      <c r="F127" s="32">
        <v>0</v>
      </c>
      <c r="G127" s="31">
        <v>0</v>
      </c>
      <c r="H127" s="31">
        <v>98976.7</v>
      </c>
      <c r="I127" s="457">
        <f t="shared" si="47"/>
        <v>98976.7</v>
      </c>
      <c r="J127" s="456">
        <f t="shared" ref="J127:J142" si="49">IF($J$5="Fresno",S127,U127)</f>
        <v>73835</v>
      </c>
      <c r="K127" s="33">
        <f t="shared" ref="K127:K142" si="50">IF($J$5="Fresno",T127,V127)</f>
        <v>0</v>
      </c>
      <c r="L127" s="28">
        <f t="shared" si="33"/>
        <v>0</v>
      </c>
      <c r="M127" s="28">
        <f t="shared" si="34"/>
        <v>364.37059984141683</v>
      </c>
      <c r="N127" s="461">
        <f t="shared" si="35"/>
        <v>364.37059984141683</v>
      </c>
      <c r="O127" s="349">
        <f t="shared" si="48"/>
        <v>1</v>
      </c>
      <c r="P127" s="419">
        <f t="shared" si="26"/>
        <v>0</v>
      </c>
      <c r="Q127" s="419">
        <f t="shared" si="27"/>
        <v>0</v>
      </c>
      <c r="S127" s="456">
        <v>73835</v>
      </c>
      <c r="T127" s="33">
        <v>0</v>
      </c>
      <c r="U127" s="32">
        <v>4837</v>
      </c>
      <c r="V127" s="32">
        <v>0</v>
      </c>
    </row>
    <row r="128" spans="2:22" x14ac:dyDescent="0.2">
      <c r="B128" s="4" t="s">
        <v>32</v>
      </c>
      <c r="C128" s="5">
        <v>2</v>
      </c>
      <c r="D128" s="354" t="s">
        <v>11</v>
      </c>
      <c r="E128" s="30">
        <v>31774758</v>
      </c>
      <c r="F128" s="32">
        <v>0</v>
      </c>
      <c r="G128" s="31">
        <v>0</v>
      </c>
      <c r="H128" s="31">
        <v>305000.2</v>
      </c>
      <c r="I128" s="457">
        <f t="shared" si="47"/>
        <v>305000.2</v>
      </c>
      <c r="J128" s="456">
        <f t="shared" si="49"/>
        <v>110381</v>
      </c>
      <c r="K128" s="33">
        <f t="shared" si="50"/>
        <v>0</v>
      </c>
      <c r="L128" s="28">
        <f t="shared" si="33"/>
        <v>0</v>
      </c>
      <c r="M128" s="28">
        <f t="shared" si="34"/>
        <v>1059.5274109152933</v>
      </c>
      <c r="N128" s="461">
        <f t="shared" si="35"/>
        <v>1059.5274109152933</v>
      </c>
      <c r="O128" s="349">
        <f t="shared" si="48"/>
        <v>1</v>
      </c>
      <c r="P128" s="419">
        <f t="shared" si="26"/>
        <v>0</v>
      </c>
      <c r="Q128" s="419">
        <f t="shared" si="27"/>
        <v>0</v>
      </c>
      <c r="S128" s="456">
        <v>110381</v>
      </c>
      <c r="T128" s="33">
        <v>0</v>
      </c>
      <c r="U128" s="32">
        <v>5555</v>
      </c>
      <c r="V128" s="32">
        <v>0</v>
      </c>
    </row>
    <row r="129" spans="2:22" x14ac:dyDescent="0.2">
      <c r="B129" s="4" t="s">
        <v>32</v>
      </c>
      <c r="C129" s="5">
        <v>2</v>
      </c>
      <c r="D129" s="354" t="s">
        <v>12</v>
      </c>
      <c r="E129" s="30">
        <v>30600206</v>
      </c>
      <c r="F129" s="32">
        <v>0</v>
      </c>
      <c r="G129" s="31">
        <v>0</v>
      </c>
      <c r="H129" s="31">
        <v>339812</v>
      </c>
      <c r="I129" s="457">
        <f t="shared" si="47"/>
        <v>339812</v>
      </c>
      <c r="J129" s="456">
        <f t="shared" si="49"/>
        <v>87117</v>
      </c>
      <c r="K129" s="33">
        <f t="shared" si="50"/>
        <v>0</v>
      </c>
      <c r="L129" s="28">
        <f t="shared" si="33"/>
        <v>0</v>
      </c>
      <c r="M129" s="28">
        <f t="shared" si="34"/>
        <v>967.42492530932634</v>
      </c>
      <c r="N129" s="461">
        <f t="shared" si="35"/>
        <v>967.42492530932634</v>
      </c>
      <c r="O129" s="349">
        <f t="shared" si="48"/>
        <v>1</v>
      </c>
      <c r="P129" s="419">
        <f t="shared" si="26"/>
        <v>0</v>
      </c>
      <c r="Q129" s="419">
        <f t="shared" si="27"/>
        <v>0</v>
      </c>
      <c r="S129" s="456">
        <v>87117</v>
      </c>
      <c r="T129" s="33">
        <v>0</v>
      </c>
      <c r="U129" s="32">
        <v>4386</v>
      </c>
      <c r="V129" s="32">
        <v>0</v>
      </c>
    </row>
    <row r="130" spans="2:22" x14ac:dyDescent="0.2">
      <c r="B130" s="4" t="s">
        <v>32</v>
      </c>
      <c r="C130" s="5">
        <v>2</v>
      </c>
      <c r="D130" s="354" t="s">
        <v>13</v>
      </c>
      <c r="E130" s="30">
        <v>33005514</v>
      </c>
      <c r="F130" s="32">
        <v>0</v>
      </c>
      <c r="G130" s="31">
        <v>0</v>
      </c>
      <c r="H130" s="31">
        <v>359511</v>
      </c>
      <c r="I130" s="457">
        <f t="shared" si="47"/>
        <v>359511</v>
      </c>
      <c r="J130" s="456">
        <f t="shared" si="49"/>
        <v>82694</v>
      </c>
      <c r="K130" s="33">
        <f t="shared" si="50"/>
        <v>0</v>
      </c>
      <c r="L130" s="28">
        <f t="shared" si="33"/>
        <v>0</v>
      </c>
      <c r="M130" s="28">
        <f t="shared" si="34"/>
        <v>900.7404833628708</v>
      </c>
      <c r="N130" s="461">
        <f t="shared" si="35"/>
        <v>900.7404833628708</v>
      </c>
      <c r="O130" s="349">
        <f t="shared" si="48"/>
        <v>1</v>
      </c>
      <c r="P130" s="419">
        <f t="shared" si="26"/>
        <v>0</v>
      </c>
      <c r="Q130" s="419">
        <f t="shared" si="27"/>
        <v>0</v>
      </c>
      <c r="S130" s="456">
        <v>82694</v>
      </c>
      <c r="T130" s="33">
        <v>0</v>
      </c>
      <c r="U130" s="32">
        <v>3180</v>
      </c>
      <c r="V130" s="32">
        <v>0</v>
      </c>
    </row>
    <row r="131" spans="2:22" x14ac:dyDescent="0.2">
      <c r="B131" s="4" t="s">
        <v>32</v>
      </c>
      <c r="C131" s="5">
        <v>2</v>
      </c>
      <c r="D131" s="354" t="s">
        <v>14</v>
      </c>
      <c r="E131" s="30">
        <v>15323140</v>
      </c>
      <c r="F131" s="32">
        <v>0</v>
      </c>
      <c r="G131" s="31">
        <v>0</v>
      </c>
      <c r="H131" s="31">
        <v>133701.70000000001</v>
      </c>
      <c r="I131" s="457">
        <f t="shared" si="47"/>
        <v>133701.70000000001</v>
      </c>
      <c r="J131" s="456">
        <f t="shared" si="49"/>
        <v>35399</v>
      </c>
      <c r="K131" s="33">
        <f t="shared" si="50"/>
        <v>0</v>
      </c>
      <c r="L131" s="28">
        <f t="shared" si="33"/>
        <v>0</v>
      </c>
      <c r="M131" s="28">
        <f t="shared" si="34"/>
        <v>308.87314729879125</v>
      </c>
      <c r="N131" s="461">
        <f t="shared" si="35"/>
        <v>308.87314729879125</v>
      </c>
      <c r="O131" s="349">
        <f t="shared" si="48"/>
        <v>1</v>
      </c>
      <c r="P131" s="419">
        <f t="shared" si="26"/>
        <v>0</v>
      </c>
      <c r="Q131" s="419">
        <f t="shared" si="27"/>
        <v>0</v>
      </c>
      <c r="S131" s="456">
        <v>35399</v>
      </c>
      <c r="T131" s="33">
        <v>0</v>
      </c>
      <c r="U131" s="32">
        <v>1259</v>
      </c>
      <c r="V131" s="32">
        <v>0</v>
      </c>
    </row>
    <row r="132" spans="2:22" x14ac:dyDescent="0.2">
      <c r="B132" s="4" t="s">
        <v>32</v>
      </c>
      <c r="C132" s="5">
        <v>2</v>
      </c>
      <c r="D132" s="354" t="s">
        <v>15</v>
      </c>
      <c r="E132" s="30">
        <v>9169601</v>
      </c>
      <c r="F132" s="32">
        <v>0</v>
      </c>
      <c r="G132" s="31">
        <v>0</v>
      </c>
      <c r="H132" s="31">
        <v>61696.7</v>
      </c>
      <c r="I132" s="457">
        <f t="shared" si="47"/>
        <v>61696.7</v>
      </c>
      <c r="J132" s="456">
        <f t="shared" si="49"/>
        <v>20855</v>
      </c>
      <c r="K132" s="33">
        <f t="shared" si="50"/>
        <v>0</v>
      </c>
      <c r="L132" s="28">
        <f t="shared" si="33"/>
        <v>0</v>
      </c>
      <c r="M132" s="28">
        <f t="shared" si="34"/>
        <v>140.32068336452153</v>
      </c>
      <c r="N132" s="461">
        <f t="shared" si="35"/>
        <v>140.32068336452153</v>
      </c>
      <c r="O132" s="349">
        <f t="shared" si="48"/>
        <v>1</v>
      </c>
      <c r="P132" s="419">
        <f t="shared" si="26"/>
        <v>0</v>
      </c>
      <c r="Q132" s="419">
        <f t="shared" si="27"/>
        <v>0</v>
      </c>
      <c r="S132" s="456">
        <v>20855</v>
      </c>
      <c r="T132" s="33">
        <v>0</v>
      </c>
      <c r="U132" s="32">
        <v>1012</v>
      </c>
      <c r="V132" s="32">
        <v>0</v>
      </c>
    </row>
    <row r="133" spans="2:22" x14ac:dyDescent="0.2">
      <c r="B133" s="4" t="s">
        <v>32</v>
      </c>
      <c r="C133" s="5">
        <v>2</v>
      </c>
      <c r="D133" s="354" t="s">
        <v>16</v>
      </c>
      <c r="E133" s="30">
        <v>7152707</v>
      </c>
      <c r="F133" s="32">
        <v>0</v>
      </c>
      <c r="G133" s="31">
        <v>0</v>
      </c>
      <c r="H133" s="31">
        <v>35935.199999999997</v>
      </c>
      <c r="I133" s="457">
        <f t="shared" si="47"/>
        <v>35935.199999999997</v>
      </c>
      <c r="J133" s="456">
        <f t="shared" si="49"/>
        <v>16854</v>
      </c>
      <c r="K133" s="33">
        <f t="shared" si="50"/>
        <v>0</v>
      </c>
      <c r="L133" s="28">
        <f t="shared" si="33"/>
        <v>0</v>
      </c>
      <c r="M133" s="28">
        <f t="shared" si="34"/>
        <v>84.674496075401933</v>
      </c>
      <c r="N133" s="461">
        <f t="shared" si="35"/>
        <v>84.674496075401933</v>
      </c>
      <c r="O133" s="349">
        <f t="shared" si="48"/>
        <v>1</v>
      </c>
      <c r="P133" s="419">
        <f t="shared" si="26"/>
        <v>0</v>
      </c>
      <c r="Q133" s="419">
        <f t="shared" si="27"/>
        <v>0</v>
      </c>
      <c r="S133" s="456">
        <v>16854</v>
      </c>
      <c r="T133" s="33">
        <v>0</v>
      </c>
      <c r="U133" s="32">
        <v>417</v>
      </c>
      <c r="V133" s="32">
        <v>0</v>
      </c>
    </row>
    <row r="134" spans="2:22" x14ac:dyDescent="0.2">
      <c r="B134" s="4" t="s">
        <v>32</v>
      </c>
      <c r="C134" s="5">
        <v>1</v>
      </c>
      <c r="D134" s="354" t="s">
        <v>9</v>
      </c>
      <c r="E134" s="30">
        <v>10319427</v>
      </c>
      <c r="F134" s="32">
        <v>0</v>
      </c>
      <c r="G134" s="31">
        <v>0</v>
      </c>
      <c r="H134" s="31">
        <v>91.263999999999996</v>
      </c>
      <c r="I134" s="457">
        <f t="shared" si="32"/>
        <v>91.263999999999996</v>
      </c>
      <c r="J134" s="456">
        <f t="shared" si="49"/>
        <v>40476</v>
      </c>
      <c r="K134" s="33">
        <f t="shared" si="50"/>
        <v>0</v>
      </c>
      <c r="L134" s="28">
        <f t="shared" si="33"/>
        <v>0</v>
      </c>
      <c r="M134" s="28">
        <f t="shared" si="34"/>
        <v>0.35796577309961108</v>
      </c>
      <c r="N134" s="461">
        <f t="shared" si="35"/>
        <v>0.35796577309961108</v>
      </c>
      <c r="O134" s="349">
        <f t="shared" si="29"/>
        <v>1</v>
      </c>
      <c r="P134" s="419">
        <f t="shared" si="26"/>
        <v>0</v>
      </c>
      <c r="Q134" s="419">
        <f t="shared" si="27"/>
        <v>0</v>
      </c>
      <c r="S134" s="456">
        <v>40476</v>
      </c>
      <c r="T134" s="33">
        <v>0</v>
      </c>
      <c r="U134" s="31">
        <v>1962</v>
      </c>
      <c r="V134" s="32">
        <v>0</v>
      </c>
    </row>
    <row r="135" spans="2:22" x14ac:dyDescent="0.2">
      <c r="B135" s="4" t="s">
        <v>32</v>
      </c>
      <c r="C135" s="5">
        <v>1</v>
      </c>
      <c r="D135" s="354" t="s">
        <v>10</v>
      </c>
      <c r="E135" s="30">
        <v>20969500</v>
      </c>
      <c r="F135" s="32">
        <v>0</v>
      </c>
      <c r="G135" s="31">
        <v>0</v>
      </c>
      <c r="H135" s="31">
        <v>156479</v>
      </c>
      <c r="I135" s="457">
        <f t="shared" si="32"/>
        <v>156479</v>
      </c>
      <c r="J135" s="456">
        <f t="shared" si="49"/>
        <v>76614</v>
      </c>
      <c r="K135" s="33">
        <f t="shared" si="50"/>
        <v>0</v>
      </c>
      <c r="L135" s="28">
        <f t="shared" si="33"/>
        <v>0</v>
      </c>
      <c r="M135" s="28">
        <f t="shared" si="34"/>
        <v>571.71044164143166</v>
      </c>
      <c r="N135" s="461">
        <f t="shared" si="35"/>
        <v>571.71044164143166</v>
      </c>
      <c r="O135" s="349">
        <f t="shared" si="29"/>
        <v>1</v>
      </c>
      <c r="P135" s="419">
        <f t="shared" si="26"/>
        <v>0</v>
      </c>
      <c r="Q135" s="419">
        <f t="shared" si="27"/>
        <v>0</v>
      </c>
      <c r="S135" s="30">
        <v>76614</v>
      </c>
      <c r="T135" s="33">
        <v>0</v>
      </c>
      <c r="U135" s="31">
        <v>4589</v>
      </c>
      <c r="V135" s="32">
        <v>0</v>
      </c>
    </row>
    <row r="136" spans="2:22" x14ac:dyDescent="0.2">
      <c r="B136" s="4" t="s">
        <v>32</v>
      </c>
      <c r="C136" s="5">
        <v>1</v>
      </c>
      <c r="D136" s="354" t="s">
        <v>11</v>
      </c>
      <c r="E136" s="30">
        <v>32953433</v>
      </c>
      <c r="F136" s="32">
        <v>0</v>
      </c>
      <c r="G136" s="31">
        <v>0</v>
      </c>
      <c r="H136" s="31">
        <v>468683</v>
      </c>
      <c r="I136" s="457">
        <f t="shared" si="32"/>
        <v>468683</v>
      </c>
      <c r="J136" s="456">
        <f t="shared" si="49"/>
        <v>116710</v>
      </c>
      <c r="K136" s="33">
        <f t="shared" si="50"/>
        <v>0</v>
      </c>
      <c r="L136" s="28">
        <f t="shared" si="33"/>
        <v>0</v>
      </c>
      <c r="M136" s="28">
        <f t="shared" si="34"/>
        <v>1659.9178886764241</v>
      </c>
      <c r="N136" s="461">
        <f t="shared" si="35"/>
        <v>1659.9178886764241</v>
      </c>
      <c r="O136" s="349">
        <f t="shared" si="29"/>
        <v>1</v>
      </c>
      <c r="P136" s="419">
        <f t="shared" ref="P136:P199" si="51">K136/J136*100000</f>
        <v>0</v>
      </c>
      <c r="Q136" s="419">
        <f t="shared" ref="Q136:Q199" si="52">(F136/E136)*100000</f>
        <v>0</v>
      </c>
      <c r="S136" s="30">
        <v>116710</v>
      </c>
      <c r="T136" s="33">
        <v>0</v>
      </c>
      <c r="U136" s="31">
        <v>4767</v>
      </c>
      <c r="V136" s="32">
        <v>0</v>
      </c>
    </row>
    <row r="137" spans="2:22" x14ac:dyDescent="0.2">
      <c r="B137" s="4" t="s">
        <v>32</v>
      </c>
      <c r="C137" s="5">
        <v>1</v>
      </c>
      <c r="D137" s="354" t="s">
        <v>12</v>
      </c>
      <c r="E137" s="30">
        <v>30432499</v>
      </c>
      <c r="F137" s="32">
        <v>0</v>
      </c>
      <c r="G137" s="31">
        <v>0</v>
      </c>
      <c r="H137" s="31">
        <v>544391</v>
      </c>
      <c r="I137" s="457">
        <f t="shared" si="32"/>
        <v>544391</v>
      </c>
      <c r="J137" s="456">
        <f t="shared" si="49"/>
        <v>89486</v>
      </c>
      <c r="K137" s="33">
        <f t="shared" si="50"/>
        <v>0</v>
      </c>
      <c r="L137" s="28">
        <f t="shared" si="33"/>
        <v>0</v>
      </c>
      <c r="M137" s="28">
        <f t="shared" si="34"/>
        <v>1600.7680810570303</v>
      </c>
      <c r="N137" s="461">
        <f t="shared" si="35"/>
        <v>1600.7680810570303</v>
      </c>
      <c r="O137" s="349">
        <f t="shared" si="29"/>
        <v>1</v>
      </c>
      <c r="P137" s="419">
        <f t="shared" si="51"/>
        <v>0</v>
      </c>
      <c r="Q137" s="419">
        <f t="shared" si="52"/>
        <v>0</v>
      </c>
      <c r="S137" s="30">
        <v>89486</v>
      </c>
      <c r="T137" s="33">
        <v>0</v>
      </c>
      <c r="U137" s="31">
        <v>4198</v>
      </c>
      <c r="V137" s="32">
        <v>0</v>
      </c>
    </row>
    <row r="138" spans="2:22" x14ac:dyDescent="0.2">
      <c r="B138" s="4" t="s">
        <v>32</v>
      </c>
      <c r="C138" s="5">
        <v>1</v>
      </c>
      <c r="D138" s="354" t="s">
        <v>13</v>
      </c>
      <c r="E138" s="30">
        <v>31666007</v>
      </c>
      <c r="F138" s="32">
        <v>0</v>
      </c>
      <c r="G138" s="31">
        <v>0</v>
      </c>
      <c r="H138" s="31">
        <v>613050</v>
      </c>
      <c r="I138" s="457">
        <f t="shared" si="32"/>
        <v>613050</v>
      </c>
      <c r="J138" s="456">
        <f t="shared" si="49"/>
        <v>81265</v>
      </c>
      <c r="K138" s="33">
        <f t="shared" si="50"/>
        <v>0</v>
      </c>
      <c r="L138" s="28">
        <f t="shared" si="33"/>
        <v>0</v>
      </c>
      <c r="M138" s="28">
        <f t="shared" si="34"/>
        <v>1573.2804028622868</v>
      </c>
      <c r="N138" s="461">
        <f t="shared" si="35"/>
        <v>1573.2804028622868</v>
      </c>
      <c r="O138" s="349">
        <f t="shared" si="29"/>
        <v>1</v>
      </c>
      <c r="P138" s="419">
        <f t="shared" si="51"/>
        <v>0</v>
      </c>
      <c r="Q138" s="419">
        <f t="shared" si="52"/>
        <v>0</v>
      </c>
      <c r="S138" s="30">
        <v>81265</v>
      </c>
      <c r="T138" s="33">
        <v>0</v>
      </c>
      <c r="U138" s="31">
        <v>2957</v>
      </c>
      <c r="V138" s="32">
        <v>0</v>
      </c>
    </row>
    <row r="139" spans="2:22" x14ac:dyDescent="0.2">
      <c r="B139" s="4" t="s">
        <v>32</v>
      </c>
      <c r="C139" s="5">
        <v>1</v>
      </c>
      <c r="D139" s="354" t="s">
        <v>14</v>
      </c>
      <c r="E139" s="30">
        <v>13930047</v>
      </c>
      <c r="F139" s="32">
        <v>0</v>
      </c>
      <c r="G139" s="31">
        <v>0</v>
      </c>
      <c r="H139" s="31">
        <v>244060.79999999999</v>
      </c>
      <c r="I139" s="457">
        <f t="shared" si="32"/>
        <v>244060.79999999999</v>
      </c>
      <c r="J139" s="456">
        <f t="shared" si="49"/>
        <v>33077</v>
      </c>
      <c r="K139" s="33">
        <f t="shared" si="50"/>
        <v>0</v>
      </c>
      <c r="L139" s="28">
        <f t="shared" si="33"/>
        <v>0</v>
      </c>
      <c r="M139" s="28">
        <f t="shared" si="34"/>
        <v>579.52418118905121</v>
      </c>
      <c r="N139" s="461">
        <f t="shared" si="35"/>
        <v>579.52418118905121</v>
      </c>
      <c r="O139" s="349">
        <f t="shared" si="29"/>
        <v>1</v>
      </c>
      <c r="P139" s="419">
        <f t="shared" si="51"/>
        <v>0</v>
      </c>
      <c r="Q139" s="419">
        <f t="shared" si="52"/>
        <v>0</v>
      </c>
      <c r="S139" s="30">
        <v>33077</v>
      </c>
      <c r="T139" s="33">
        <v>0</v>
      </c>
      <c r="U139" s="31">
        <v>1391</v>
      </c>
      <c r="V139" s="32">
        <v>0</v>
      </c>
    </row>
    <row r="140" spans="2:22" x14ac:dyDescent="0.2">
      <c r="B140" s="4" t="s">
        <v>32</v>
      </c>
      <c r="C140" s="5">
        <v>1</v>
      </c>
      <c r="D140" s="354" t="s">
        <v>15</v>
      </c>
      <c r="E140" s="30">
        <v>7426360</v>
      </c>
      <c r="F140" s="32">
        <v>0</v>
      </c>
      <c r="G140" s="31">
        <v>0</v>
      </c>
      <c r="H140" s="31">
        <v>128556.1</v>
      </c>
      <c r="I140" s="457">
        <f t="shared" si="32"/>
        <v>128556.1</v>
      </c>
      <c r="J140" s="456">
        <f t="shared" si="49"/>
        <v>16815</v>
      </c>
      <c r="K140" s="33">
        <f t="shared" si="50"/>
        <v>0</v>
      </c>
      <c r="L140" s="28">
        <f t="shared" si="33"/>
        <v>0</v>
      </c>
      <c r="M140" s="28">
        <f t="shared" si="34"/>
        <v>291.08080156361939</v>
      </c>
      <c r="N140" s="461">
        <f t="shared" si="35"/>
        <v>291.08080156361939</v>
      </c>
      <c r="O140" s="349">
        <f t="shared" si="29"/>
        <v>1</v>
      </c>
      <c r="P140" s="419">
        <f t="shared" si="51"/>
        <v>0</v>
      </c>
      <c r="Q140" s="419">
        <f t="shared" si="52"/>
        <v>0</v>
      </c>
      <c r="S140" s="30">
        <v>16815</v>
      </c>
      <c r="T140" s="33">
        <v>0</v>
      </c>
      <c r="U140" s="31">
        <v>1164</v>
      </c>
      <c r="V140" s="32">
        <v>0</v>
      </c>
    </row>
    <row r="141" spans="2:22" x14ac:dyDescent="0.2">
      <c r="B141" s="4" t="s">
        <v>32</v>
      </c>
      <c r="C141" s="5">
        <v>1</v>
      </c>
      <c r="D141" s="354" t="s">
        <v>16</v>
      </c>
      <c r="E141" s="30">
        <v>4084053</v>
      </c>
      <c r="F141" s="32">
        <v>0</v>
      </c>
      <c r="G141" s="31">
        <v>0</v>
      </c>
      <c r="H141" s="31">
        <v>104363</v>
      </c>
      <c r="I141" s="457">
        <f t="shared" si="32"/>
        <v>104363</v>
      </c>
      <c r="J141" s="456">
        <f t="shared" si="49"/>
        <v>10368</v>
      </c>
      <c r="K141" s="33">
        <f t="shared" si="50"/>
        <v>2</v>
      </c>
      <c r="L141" s="28">
        <f t="shared" si="33"/>
        <v>0</v>
      </c>
      <c r="M141" s="28">
        <f t="shared" si="34"/>
        <v>264.94161167839889</v>
      </c>
      <c r="N141" s="461">
        <f t="shared" si="35"/>
        <v>264.94161167839889</v>
      </c>
      <c r="O141" s="349">
        <f t="shared" si="29"/>
        <v>1</v>
      </c>
      <c r="P141" s="419">
        <f t="shared" si="51"/>
        <v>19.290123456790123</v>
      </c>
      <c r="Q141" s="419">
        <f t="shared" si="52"/>
        <v>0</v>
      </c>
      <c r="S141" s="30">
        <v>10368</v>
      </c>
      <c r="T141" s="33">
        <v>2</v>
      </c>
      <c r="U141" s="31">
        <v>674</v>
      </c>
      <c r="V141" s="32">
        <v>0</v>
      </c>
    </row>
    <row r="142" spans="2:22" x14ac:dyDescent="0.2">
      <c r="B142" s="8" t="s">
        <v>17</v>
      </c>
      <c r="C142" s="5"/>
      <c r="D142" s="354"/>
      <c r="E142" s="30">
        <f>SUM(E126:E141)</f>
        <v>308745538</v>
      </c>
      <c r="F142" s="30">
        <f>SUM(F126:F141)</f>
        <v>0</v>
      </c>
      <c r="G142" s="30">
        <f>SUM(G126:G141)</f>
        <v>0</v>
      </c>
      <c r="H142" s="30">
        <f>SUM(H126:H141)</f>
        <v>3594362.3879</v>
      </c>
      <c r="I142" s="455">
        <f>SUM(I126:I141)</f>
        <v>3594362.3879</v>
      </c>
      <c r="J142" s="456">
        <f t="shared" si="49"/>
        <v>930450</v>
      </c>
      <c r="K142" s="33">
        <f t="shared" si="50"/>
        <v>2</v>
      </c>
      <c r="L142" s="28">
        <f t="shared" si="33"/>
        <v>0</v>
      </c>
      <c r="M142" s="28">
        <f t="shared" si="34"/>
        <v>10832.138677973559</v>
      </c>
      <c r="N142" s="461">
        <f t="shared" si="35"/>
        <v>10832.138677973559</v>
      </c>
      <c r="O142" s="349">
        <f t="shared" ref="O142:O207" si="53">IF(OR(F142 = 0, K142 = 0),1,(K142/J142)/(F142/E142))</f>
        <v>1</v>
      </c>
      <c r="P142" s="419">
        <f>SUMPRODUCT(P126:P141,E126:E141)/E142</f>
        <v>0.25516769273625606</v>
      </c>
      <c r="Q142" s="419">
        <f t="shared" si="52"/>
        <v>0</v>
      </c>
      <c r="S142" s="30">
        <f>SUM(S126:S141)</f>
        <v>930450</v>
      </c>
      <c r="T142" s="30">
        <f>SUM(T126:T141)</f>
        <v>2</v>
      </c>
      <c r="U142" s="32">
        <f>SUM(U126:U141)</f>
        <v>44386</v>
      </c>
      <c r="V142" s="32">
        <f>SUM(V126:V141)</f>
        <v>0</v>
      </c>
    </row>
    <row r="143" spans="2:22" hidden="1" x14ac:dyDescent="0.2">
      <c r="B143" s="4" t="s">
        <v>33</v>
      </c>
      <c r="C143" s="5">
        <v>2</v>
      </c>
      <c r="D143" s="354" t="s">
        <v>9</v>
      </c>
      <c r="E143" s="30">
        <v>9881935</v>
      </c>
      <c r="F143" s="31">
        <v>0</v>
      </c>
      <c r="G143" s="31">
        <v>0</v>
      </c>
      <c r="H143" s="31">
        <v>0</v>
      </c>
      <c r="I143" s="457">
        <f t="shared" ref="I143:I150" si="54">G143+H143</f>
        <v>0</v>
      </c>
      <c r="J143" s="30">
        <v>38504</v>
      </c>
      <c r="K143" s="33">
        <v>0</v>
      </c>
      <c r="L143" s="28">
        <f t="shared" si="33"/>
        <v>0</v>
      </c>
      <c r="M143" s="28">
        <f t="shared" si="34"/>
        <v>0</v>
      </c>
      <c r="N143" s="461">
        <f t="shared" si="35"/>
        <v>0</v>
      </c>
      <c r="O143" s="349">
        <f t="shared" ref="O143:O150" si="55">IF(OR(F143 = 0, K143 = 0),1,(K143/J143)/(F143/E143))</f>
        <v>1</v>
      </c>
      <c r="P143" s="419">
        <f t="shared" si="51"/>
        <v>0</v>
      </c>
      <c r="Q143" s="419">
        <f t="shared" si="52"/>
        <v>0</v>
      </c>
    </row>
    <row r="144" spans="2:22" hidden="1" x14ac:dyDescent="0.2">
      <c r="B144" s="4" t="s">
        <v>33</v>
      </c>
      <c r="C144" s="5">
        <v>2</v>
      </c>
      <c r="D144" s="354" t="s">
        <v>10</v>
      </c>
      <c r="E144" s="30">
        <v>20056351</v>
      </c>
      <c r="F144" s="31">
        <v>0</v>
      </c>
      <c r="G144" s="31">
        <v>0</v>
      </c>
      <c r="H144" s="31">
        <v>0</v>
      </c>
      <c r="I144" s="457">
        <f t="shared" si="54"/>
        <v>0</v>
      </c>
      <c r="J144" s="30">
        <v>73835</v>
      </c>
      <c r="K144" s="33">
        <v>0</v>
      </c>
      <c r="L144" s="28">
        <f t="shared" si="33"/>
        <v>0</v>
      </c>
      <c r="M144" s="28">
        <f t="shared" si="34"/>
        <v>0</v>
      </c>
      <c r="N144" s="461">
        <f t="shared" si="35"/>
        <v>0</v>
      </c>
      <c r="O144" s="349">
        <f t="shared" si="55"/>
        <v>1</v>
      </c>
      <c r="P144" s="419">
        <f t="shared" si="51"/>
        <v>0</v>
      </c>
      <c r="Q144" s="419">
        <f t="shared" si="52"/>
        <v>0</v>
      </c>
    </row>
    <row r="145" spans="2:17" hidden="1" x14ac:dyDescent="0.2">
      <c r="B145" s="4" t="s">
        <v>33</v>
      </c>
      <c r="C145" s="5">
        <v>2</v>
      </c>
      <c r="D145" s="354" t="s">
        <v>11</v>
      </c>
      <c r="E145" s="30">
        <v>31774758</v>
      </c>
      <c r="F145" s="31">
        <v>48.55057</v>
      </c>
      <c r="G145" s="31">
        <v>2984.4160000000002</v>
      </c>
      <c r="H145" s="31">
        <v>19.315190000000001</v>
      </c>
      <c r="I145" s="457">
        <f t="shared" si="54"/>
        <v>3003.73119</v>
      </c>
      <c r="J145" s="30">
        <v>110381</v>
      </c>
      <c r="K145" s="33">
        <v>0</v>
      </c>
      <c r="L145" s="28">
        <f t="shared" si="33"/>
        <v>10.367437652743099</v>
      </c>
      <c r="M145" s="28">
        <f t="shared" si="34"/>
        <v>6.7098228958659578E-2</v>
      </c>
      <c r="N145" s="461">
        <f t="shared" si="35"/>
        <v>10.434535881701757</v>
      </c>
      <c r="O145" s="349">
        <f t="shared" si="55"/>
        <v>1</v>
      </c>
      <c r="P145" s="419">
        <f t="shared" si="51"/>
        <v>0</v>
      </c>
      <c r="Q145" s="419">
        <f t="shared" si="52"/>
        <v>0.15279603388324783</v>
      </c>
    </row>
    <row r="146" spans="2:17" hidden="1" x14ac:dyDescent="0.2">
      <c r="B146" s="4" t="s">
        <v>33</v>
      </c>
      <c r="C146" s="5">
        <v>2</v>
      </c>
      <c r="D146" s="354" t="s">
        <v>12</v>
      </c>
      <c r="E146" s="30">
        <v>30600206</v>
      </c>
      <c r="F146" s="31">
        <v>965.72649999999999</v>
      </c>
      <c r="G146" s="31">
        <v>44187.19</v>
      </c>
      <c r="H146" s="31">
        <v>331.54669999999999</v>
      </c>
      <c r="I146" s="457">
        <f t="shared" si="54"/>
        <v>44518.736700000001</v>
      </c>
      <c r="J146" s="30">
        <v>87117</v>
      </c>
      <c r="K146" s="33">
        <v>3</v>
      </c>
      <c r="L146" s="28">
        <f t="shared" si="33"/>
        <v>137.2661617963264</v>
      </c>
      <c r="M146" s="28">
        <f t="shared" si="34"/>
        <v>1.0299397396674936</v>
      </c>
      <c r="N146" s="461">
        <f t="shared" si="35"/>
        <v>138.29610153599387</v>
      </c>
      <c r="O146" s="349">
        <f t="shared" si="55"/>
        <v>1.0911602700267633</v>
      </c>
      <c r="P146" s="419">
        <f t="shared" si="51"/>
        <v>3.4436447536072179</v>
      </c>
      <c r="Q146" s="419">
        <f t="shared" si="52"/>
        <v>3.1559477083258853</v>
      </c>
    </row>
    <row r="147" spans="2:17" hidden="1" x14ac:dyDescent="0.2">
      <c r="B147" s="4" t="s">
        <v>33</v>
      </c>
      <c r="C147" s="5">
        <v>2</v>
      </c>
      <c r="D147" s="354" t="s">
        <v>13</v>
      </c>
      <c r="E147" s="30">
        <v>33005514</v>
      </c>
      <c r="F147" s="31">
        <v>15194.92</v>
      </c>
      <c r="G147" s="31">
        <v>498986.3</v>
      </c>
      <c r="H147" s="31">
        <v>4717.9840000000004</v>
      </c>
      <c r="I147" s="457">
        <f t="shared" si="54"/>
        <v>503704.28399999999</v>
      </c>
      <c r="J147" s="30">
        <v>82694</v>
      </c>
      <c r="K147" s="33">
        <v>25</v>
      </c>
      <c r="L147" s="28">
        <f t="shared" si="33"/>
        <v>820.97552997975652</v>
      </c>
      <c r="M147" s="28">
        <f t="shared" si="34"/>
        <v>7.7624363932156282</v>
      </c>
      <c r="N147" s="461">
        <f t="shared" si="35"/>
        <v>828.73796637297221</v>
      </c>
      <c r="O147" s="349">
        <f t="shared" si="55"/>
        <v>0.65668045663522612</v>
      </c>
      <c r="P147" s="419">
        <f t="shared" si="51"/>
        <v>30.231939439378916</v>
      </c>
      <c r="Q147" s="419">
        <f t="shared" si="52"/>
        <v>46.037519670198137</v>
      </c>
    </row>
    <row r="148" spans="2:17" hidden="1" x14ac:dyDescent="0.2">
      <c r="B148" s="4" t="s">
        <v>33</v>
      </c>
      <c r="C148" s="5">
        <v>2</v>
      </c>
      <c r="D148" s="354" t="s">
        <v>14</v>
      </c>
      <c r="E148" s="30">
        <v>15323140</v>
      </c>
      <c r="F148" s="31">
        <v>26397.3</v>
      </c>
      <c r="G148" s="31">
        <v>609355</v>
      </c>
      <c r="H148" s="31">
        <v>7655.96</v>
      </c>
      <c r="I148" s="457">
        <f t="shared" si="54"/>
        <v>617010.96</v>
      </c>
      <c r="J148" s="30">
        <v>35399</v>
      </c>
      <c r="K148" s="33">
        <v>41</v>
      </c>
      <c r="L148" s="28">
        <f t="shared" si="33"/>
        <v>946.44357566872384</v>
      </c>
      <c r="M148" s="28">
        <f t="shared" si="34"/>
        <v>11.891154019539879</v>
      </c>
      <c r="N148" s="461">
        <f t="shared" si="35"/>
        <v>958.33472968826368</v>
      </c>
      <c r="O148" s="349">
        <f t="shared" si="55"/>
        <v>0.6723278855720306</v>
      </c>
      <c r="P148" s="419">
        <f t="shared" si="51"/>
        <v>115.82248086104129</v>
      </c>
      <c r="Q148" s="419">
        <f t="shared" si="52"/>
        <v>172.2708269975997</v>
      </c>
    </row>
    <row r="149" spans="2:17" hidden="1" x14ac:dyDescent="0.2">
      <c r="B149" s="4" t="s">
        <v>33</v>
      </c>
      <c r="C149" s="5">
        <v>2</v>
      </c>
      <c r="D149" s="354" t="s">
        <v>15</v>
      </c>
      <c r="E149" s="30">
        <v>9169601</v>
      </c>
      <c r="F149" s="31">
        <v>28000.5</v>
      </c>
      <c r="G149" s="31">
        <v>415856</v>
      </c>
      <c r="H149" s="31">
        <v>7208.09</v>
      </c>
      <c r="I149" s="457">
        <f t="shared" si="54"/>
        <v>423064.09</v>
      </c>
      <c r="J149" s="30">
        <v>20855</v>
      </c>
      <c r="K149" s="33">
        <v>44</v>
      </c>
      <c r="L149" s="28">
        <f t="shared" si="33"/>
        <v>653.47633077980731</v>
      </c>
      <c r="M149" s="28">
        <f t="shared" si="34"/>
        <v>11.326796307208797</v>
      </c>
      <c r="N149" s="461">
        <f t="shared" si="35"/>
        <v>664.80312708701615</v>
      </c>
      <c r="O149" s="349">
        <f t="shared" si="55"/>
        <v>0.69091899757192987</v>
      </c>
      <c r="P149" s="419">
        <f t="shared" si="51"/>
        <v>210.98058019659553</v>
      </c>
      <c r="Q149" s="419">
        <f t="shared" si="52"/>
        <v>305.3622507675089</v>
      </c>
    </row>
    <row r="150" spans="2:17" hidden="1" x14ac:dyDescent="0.2">
      <c r="B150" s="4" t="s">
        <v>33</v>
      </c>
      <c r="C150" s="5">
        <v>2</v>
      </c>
      <c r="D150" s="354" t="s">
        <v>16</v>
      </c>
      <c r="E150" s="30">
        <v>7152707</v>
      </c>
      <c r="F150" s="31">
        <v>21621.4</v>
      </c>
      <c r="G150" s="31">
        <v>137624</v>
      </c>
      <c r="H150" s="31">
        <v>4570.3100000000004</v>
      </c>
      <c r="I150" s="457">
        <f t="shared" si="54"/>
        <v>142194.31</v>
      </c>
      <c r="J150" s="30">
        <v>16854</v>
      </c>
      <c r="K150" s="33">
        <v>49</v>
      </c>
      <c r="L150" s="28">
        <f t="shared" si="33"/>
        <v>311.89358690926582</v>
      </c>
      <c r="M150" s="28">
        <f t="shared" si="34"/>
        <v>10.357571202604829</v>
      </c>
      <c r="N150" s="461">
        <f t="shared" si="35"/>
        <v>322.25115811187067</v>
      </c>
      <c r="O150" s="349">
        <f t="shared" si="55"/>
        <v>0.96178879738525025</v>
      </c>
      <c r="P150" s="419">
        <f t="shared" si="51"/>
        <v>290.73217040465175</v>
      </c>
      <c r="Q150" s="419">
        <f t="shared" si="52"/>
        <v>302.28275812220465</v>
      </c>
    </row>
    <row r="151" spans="2:17" hidden="1" x14ac:dyDescent="0.2">
      <c r="B151" s="4" t="s">
        <v>33</v>
      </c>
      <c r="C151" s="5">
        <v>1</v>
      </c>
      <c r="D151" s="354" t="s">
        <v>9</v>
      </c>
      <c r="E151" s="30">
        <v>10319427</v>
      </c>
      <c r="F151" s="31">
        <v>0</v>
      </c>
      <c r="G151" s="31">
        <v>0</v>
      </c>
      <c r="H151" s="31">
        <v>0</v>
      </c>
      <c r="I151" s="457">
        <f t="shared" ref="I151:I207" si="56">G151+H151</f>
        <v>0</v>
      </c>
      <c r="J151" s="30">
        <v>40476</v>
      </c>
      <c r="K151" s="33">
        <v>0</v>
      </c>
      <c r="L151" s="28">
        <f t="shared" si="33"/>
        <v>0</v>
      </c>
      <c r="M151" s="28">
        <f t="shared" si="34"/>
        <v>0</v>
      </c>
      <c r="N151" s="461">
        <f t="shared" si="35"/>
        <v>0</v>
      </c>
      <c r="O151" s="349">
        <f t="shared" si="53"/>
        <v>1</v>
      </c>
      <c r="P151" s="419">
        <f t="shared" si="51"/>
        <v>0</v>
      </c>
      <c r="Q151" s="419">
        <f t="shared" si="52"/>
        <v>0</v>
      </c>
    </row>
    <row r="152" spans="2:17" hidden="1" x14ac:dyDescent="0.2">
      <c r="B152" s="4" t="s">
        <v>33</v>
      </c>
      <c r="C152" s="5">
        <v>1</v>
      </c>
      <c r="D152" s="354" t="s">
        <v>10</v>
      </c>
      <c r="E152" s="30">
        <v>20969500</v>
      </c>
      <c r="F152" s="31">
        <v>0</v>
      </c>
      <c r="G152" s="31">
        <v>0</v>
      </c>
      <c r="H152" s="31">
        <v>0</v>
      </c>
      <c r="I152" s="457">
        <f t="shared" si="56"/>
        <v>0</v>
      </c>
      <c r="J152" s="30">
        <v>76614</v>
      </c>
      <c r="K152" s="33">
        <v>0</v>
      </c>
      <c r="L152" s="28">
        <f t="shared" ref="L152:L210" si="57">$O152*G152/$E152*$J152</f>
        <v>0</v>
      </c>
      <c r="M152" s="28">
        <f t="shared" ref="M152:M210" si="58">$O152*H152/$E152*$J152</f>
        <v>0</v>
      </c>
      <c r="N152" s="461">
        <f t="shared" ref="N152:N210" si="59">$O152*I152/$E152*$J152</f>
        <v>0</v>
      </c>
      <c r="O152" s="349">
        <f t="shared" si="53"/>
        <v>1</v>
      </c>
      <c r="P152" s="419">
        <f t="shared" si="51"/>
        <v>0</v>
      </c>
      <c r="Q152" s="419">
        <f t="shared" si="52"/>
        <v>0</v>
      </c>
    </row>
    <row r="153" spans="2:17" hidden="1" x14ac:dyDescent="0.2">
      <c r="B153" s="4" t="s">
        <v>33</v>
      </c>
      <c r="C153" s="5">
        <v>1</v>
      </c>
      <c r="D153" s="354" t="s">
        <v>11</v>
      </c>
      <c r="E153" s="30">
        <v>32953433</v>
      </c>
      <c r="F153" s="31">
        <v>38.24521</v>
      </c>
      <c r="G153" s="31">
        <v>2337.1889999999999</v>
      </c>
      <c r="H153" s="31">
        <v>23.4742</v>
      </c>
      <c r="I153" s="457">
        <f t="shared" si="56"/>
        <v>2360.6632</v>
      </c>
      <c r="J153" s="30">
        <v>116710</v>
      </c>
      <c r="K153" s="33">
        <v>0</v>
      </c>
      <c r="L153" s="28">
        <f t="shared" si="57"/>
        <v>8.2775390409248111</v>
      </c>
      <c r="M153" s="28">
        <f t="shared" si="58"/>
        <v>8.313773809241666E-2</v>
      </c>
      <c r="N153" s="461">
        <f t="shared" si="59"/>
        <v>8.3606767790172274</v>
      </c>
      <c r="O153" s="349">
        <f t="shared" si="53"/>
        <v>1</v>
      </c>
      <c r="P153" s="419">
        <f t="shared" si="51"/>
        <v>0</v>
      </c>
      <c r="Q153" s="419">
        <f t="shared" si="52"/>
        <v>0.11605834815450033</v>
      </c>
    </row>
    <row r="154" spans="2:17" hidden="1" x14ac:dyDescent="0.2">
      <c r="B154" s="4" t="s">
        <v>33</v>
      </c>
      <c r="C154" s="5">
        <v>1</v>
      </c>
      <c r="D154" s="354" t="s">
        <v>12</v>
      </c>
      <c r="E154" s="30">
        <v>30432499</v>
      </c>
      <c r="F154" s="31">
        <v>980.49659999999994</v>
      </c>
      <c r="G154" s="31">
        <v>44889.66</v>
      </c>
      <c r="H154" s="31">
        <v>367.24110000000002</v>
      </c>
      <c r="I154" s="457">
        <f t="shared" si="56"/>
        <v>45256.901100000003</v>
      </c>
      <c r="J154" s="30">
        <v>89486</v>
      </c>
      <c r="K154" s="33">
        <v>4</v>
      </c>
      <c r="L154" s="28">
        <f t="shared" si="57"/>
        <v>183.13030356250087</v>
      </c>
      <c r="M154" s="28">
        <f t="shared" si="58"/>
        <v>1.4981840834532216</v>
      </c>
      <c r="N154" s="461">
        <f t="shared" si="59"/>
        <v>184.6284876459541</v>
      </c>
      <c r="O154" s="349">
        <f t="shared" si="53"/>
        <v>1.3873831641404204</v>
      </c>
      <c r="P154" s="419">
        <f t="shared" si="51"/>
        <v>4.4699729566636117</v>
      </c>
      <c r="Q154" s="419">
        <f t="shared" si="52"/>
        <v>3.2218734320832474</v>
      </c>
    </row>
    <row r="155" spans="2:17" hidden="1" x14ac:dyDescent="0.2">
      <c r="B155" s="4" t="s">
        <v>33</v>
      </c>
      <c r="C155" s="5">
        <v>1</v>
      </c>
      <c r="D155" s="354" t="s">
        <v>13</v>
      </c>
      <c r="E155" s="30">
        <v>31666007</v>
      </c>
      <c r="F155" s="31">
        <v>11473.52</v>
      </c>
      <c r="G155" s="31">
        <v>379767.1</v>
      </c>
      <c r="H155" s="31">
        <v>3970.6080000000002</v>
      </c>
      <c r="I155" s="457">
        <f t="shared" si="56"/>
        <v>383737.70799999998</v>
      </c>
      <c r="J155" s="30">
        <v>81265</v>
      </c>
      <c r="K155" s="33">
        <v>21</v>
      </c>
      <c r="L155" s="28">
        <f t="shared" si="57"/>
        <v>695.08826410726613</v>
      </c>
      <c r="M155" s="28">
        <f t="shared" si="58"/>
        <v>7.2674094785209773</v>
      </c>
      <c r="N155" s="461">
        <f t="shared" si="59"/>
        <v>702.35567358578714</v>
      </c>
      <c r="O155" s="349">
        <f t="shared" si="53"/>
        <v>0.71320171931638798</v>
      </c>
      <c r="P155" s="419">
        <f t="shared" si="51"/>
        <v>25.84138312926844</v>
      </c>
      <c r="Q155" s="419">
        <f t="shared" si="52"/>
        <v>36.232923210052974</v>
      </c>
    </row>
    <row r="156" spans="2:17" hidden="1" x14ac:dyDescent="0.2">
      <c r="B156" s="4" t="s">
        <v>33</v>
      </c>
      <c r="C156" s="5">
        <v>1</v>
      </c>
      <c r="D156" s="354" t="s">
        <v>14</v>
      </c>
      <c r="E156" s="30">
        <v>13930047</v>
      </c>
      <c r="F156" s="31">
        <v>19109.63</v>
      </c>
      <c r="G156" s="31">
        <v>440370</v>
      </c>
      <c r="H156" s="31">
        <v>6194.57</v>
      </c>
      <c r="I156" s="457">
        <f t="shared" si="56"/>
        <v>446564.57</v>
      </c>
      <c r="J156" s="30">
        <v>33077</v>
      </c>
      <c r="K156" s="33">
        <v>23</v>
      </c>
      <c r="L156" s="28">
        <f t="shared" si="57"/>
        <v>530.0212510655623</v>
      </c>
      <c r="M156" s="28">
        <f t="shared" si="58"/>
        <v>7.4556707796016974</v>
      </c>
      <c r="N156" s="461">
        <f t="shared" si="59"/>
        <v>537.47692184516393</v>
      </c>
      <c r="O156" s="349">
        <f t="shared" si="53"/>
        <v>0.50687634756032263</v>
      </c>
      <c r="P156" s="419">
        <f t="shared" si="51"/>
        <v>69.534722012274401</v>
      </c>
      <c r="Q156" s="419">
        <f t="shared" si="52"/>
        <v>137.1828106538334</v>
      </c>
    </row>
    <row r="157" spans="2:17" hidden="1" x14ac:dyDescent="0.2">
      <c r="B157" s="4" t="s">
        <v>33</v>
      </c>
      <c r="C157" s="5">
        <v>1</v>
      </c>
      <c r="D157" s="354" t="s">
        <v>15</v>
      </c>
      <c r="E157" s="30">
        <v>7426360</v>
      </c>
      <c r="F157" s="31">
        <v>20906.3</v>
      </c>
      <c r="G157" s="31">
        <v>309486</v>
      </c>
      <c r="H157" s="31">
        <v>5958.4</v>
      </c>
      <c r="I157" s="457">
        <f t="shared" si="56"/>
        <v>315444.40000000002</v>
      </c>
      <c r="J157" s="30">
        <v>16815</v>
      </c>
      <c r="K157" s="33">
        <v>40</v>
      </c>
      <c r="L157" s="28">
        <f t="shared" si="57"/>
        <v>592.13921162520387</v>
      </c>
      <c r="M157" s="28">
        <f t="shared" si="58"/>
        <v>11.400199939731083</v>
      </c>
      <c r="N157" s="461">
        <f t="shared" si="59"/>
        <v>603.53941156493499</v>
      </c>
      <c r="O157" s="349">
        <f t="shared" si="53"/>
        <v>0.84501017765618547</v>
      </c>
      <c r="P157" s="419">
        <f t="shared" si="51"/>
        <v>237.88284269997024</v>
      </c>
      <c r="Q157" s="419">
        <f t="shared" si="52"/>
        <v>281.51476631889648</v>
      </c>
    </row>
    <row r="158" spans="2:17" hidden="1" x14ac:dyDescent="0.2">
      <c r="B158" s="4" t="s">
        <v>33</v>
      </c>
      <c r="C158" s="5">
        <v>1</v>
      </c>
      <c r="D158" s="354" t="s">
        <v>16</v>
      </c>
      <c r="E158" s="30">
        <v>4084053</v>
      </c>
      <c r="F158" s="31">
        <v>18608.5</v>
      </c>
      <c r="G158" s="31">
        <v>101893</v>
      </c>
      <c r="H158" s="31">
        <v>4121.25</v>
      </c>
      <c r="I158" s="457">
        <f t="shared" si="56"/>
        <v>106014.25</v>
      </c>
      <c r="J158" s="30">
        <v>10368</v>
      </c>
      <c r="K158" s="33">
        <v>28</v>
      </c>
      <c r="L158" s="28">
        <f t="shared" si="57"/>
        <v>153.31724749442458</v>
      </c>
      <c r="M158" s="28">
        <f t="shared" si="58"/>
        <v>6.2011983770857393</v>
      </c>
      <c r="N158" s="461">
        <f t="shared" si="59"/>
        <v>159.51844587151029</v>
      </c>
      <c r="O158" s="349">
        <f t="shared" si="53"/>
        <v>0.5927110793653636</v>
      </c>
      <c r="P158" s="419">
        <f t="shared" si="51"/>
        <v>270.06172839506172</v>
      </c>
      <c r="Q158" s="419">
        <f t="shared" si="52"/>
        <v>455.63806346293745</v>
      </c>
    </row>
    <row r="159" spans="2:17" hidden="1" x14ac:dyDescent="0.2">
      <c r="B159" s="8" t="s">
        <v>17</v>
      </c>
      <c r="C159" s="5"/>
      <c r="D159" s="354"/>
      <c r="E159" s="30">
        <f>SUM(E143:E158)</f>
        <v>308745538</v>
      </c>
      <c r="F159" s="30">
        <f t="shared" ref="F159:K159" si="60">SUM(F143:F158)</f>
        <v>163345.08888</v>
      </c>
      <c r="G159" s="30">
        <f t="shared" si="60"/>
        <v>2987735.855</v>
      </c>
      <c r="H159" s="30">
        <f t="shared" si="60"/>
        <v>45138.749190000002</v>
      </c>
      <c r="I159" s="455">
        <f t="shared" si="60"/>
        <v>3032874.6041899999</v>
      </c>
      <c r="J159" s="30">
        <f t="shared" si="60"/>
        <v>930450</v>
      </c>
      <c r="K159" s="30">
        <f t="shared" si="60"/>
        <v>278</v>
      </c>
      <c r="L159" s="28">
        <f t="shared" si="57"/>
        <v>5084.8824007202684</v>
      </c>
      <c r="M159" s="28">
        <f t="shared" si="58"/>
        <v>76.822464396457576</v>
      </c>
      <c r="N159" s="461">
        <f t="shared" si="59"/>
        <v>5161.7048651167252</v>
      </c>
      <c r="O159" s="349">
        <f t="shared" si="53"/>
        <v>0.56473715811050795</v>
      </c>
      <c r="P159" s="419">
        <f>SUMPRODUCT(P143:P158,E143:E158)/E159</f>
        <v>37.845368473904067</v>
      </c>
      <c r="Q159" s="419">
        <f t="shared" si="52"/>
        <v>52.906056533843731</v>
      </c>
    </row>
    <row r="160" spans="2:17" hidden="1" x14ac:dyDescent="0.2">
      <c r="B160" s="22" t="s">
        <v>67</v>
      </c>
      <c r="C160" s="23">
        <v>2</v>
      </c>
      <c r="D160" s="355" t="s">
        <v>9</v>
      </c>
      <c r="E160" s="24">
        <v>9881935</v>
      </c>
      <c r="F160" s="25">
        <v>1.55206</v>
      </c>
      <c r="G160" s="25">
        <v>129.72200000000001</v>
      </c>
      <c r="H160" s="25">
        <v>96.462500000000006</v>
      </c>
      <c r="I160" s="458">
        <f t="shared" ref="I160:I167" si="61">G160+H160</f>
        <v>226.18450000000001</v>
      </c>
      <c r="J160" s="24">
        <v>38504</v>
      </c>
      <c r="K160" s="26">
        <v>1</v>
      </c>
      <c r="L160" s="34">
        <f t="shared" si="57"/>
        <v>83.58053168047627</v>
      </c>
      <c r="M160" s="34">
        <f t="shared" si="58"/>
        <v>62.151269925131764</v>
      </c>
      <c r="N160" s="462">
        <f t="shared" si="59"/>
        <v>145.73180160560804</v>
      </c>
      <c r="O160" s="349">
        <f t="shared" ref="O160:O167" si="62">IF(OR(F160 = 0, K160 = 0),1,(K160/J160)/(F160/E160))</f>
        <v>165.35892410293127</v>
      </c>
      <c r="P160" s="419">
        <f t="shared" si="51"/>
        <v>2.5971327654269687</v>
      </c>
      <c r="Q160" s="419">
        <f t="shared" si="52"/>
        <v>1.5706033281943265E-2</v>
      </c>
    </row>
    <row r="161" spans="2:17" hidden="1" x14ac:dyDescent="0.2">
      <c r="B161" s="22" t="s">
        <v>67</v>
      </c>
      <c r="C161" s="23">
        <v>2</v>
      </c>
      <c r="D161" s="355" t="s">
        <v>10</v>
      </c>
      <c r="E161" s="24">
        <v>20056351</v>
      </c>
      <c r="F161" s="25">
        <v>2.1377100000000002</v>
      </c>
      <c r="G161" s="25">
        <v>161.21199999999999</v>
      </c>
      <c r="H161" s="25">
        <v>1724.2</v>
      </c>
      <c r="I161" s="458">
        <f t="shared" si="61"/>
        <v>1885.412</v>
      </c>
      <c r="J161" s="24">
        <v>73835</v>
      </c>
      <c r="K161" s="26">
        <v>0</v>
      </c>
      <c r="L161" s="34">
        <f t="shared" si="57"/>
        <v>0.59348223512841392</v>
      </c>
      <c r="M161" s="34">
        <f t="shared" si="58"/>
        <v>6.347431145376345</v>
      </c>
      <c r="N161" s="462">
        <f t="shared" si="59"/>
        <v>6.9409133805047594</v>
      </c>
      <c r="O161" s="349">
        <f t="shared" si="62"/>
        <v>1</v>
      </c>
      <c r="P161" s="419">
        <f t="shared" si="51"/>
        <v>0</v>
      </c>
      <c r="Q161" s="419">
        <f t="shared" si="52"/>
        <v>1.0658519089539268E-2</v>
      </c>
    </row>
    <row r="162" spans="2:17" hidden="1" x14ac:dyDescent="0.2">
      <c r="B162" s="22" t="s">
        <v>67</v>
      </c>
      <c r="C162" s="23">
        <v>2</v>
      </c>
      <c r="D162" s="355" t="s">
        <v>11</v>
      </c>
      <c r="E162" s="24">
        <v>31774758</v>
      </c>
      <c r="F162" s="25">
        <v>19.789899999999999</v>
      </c>
      <c r="G162" s="25">
        <v>1231.855</v>
      </c>
      <c r="H162" s="25">
        <v>3503.38</v>
      </c>
      <c r="I162" s="458">
        <f t="shared" si="61"/>
        <v>4735.2350000000006</v>
      </c>
      <c r="J162" s="24">
        <v>110381</v>
      </c>
      <c r="K162" s="26">
        <v>1</v>
      </c>
      <c r="L162" s="34">
        <f t="shared" si="57"/>
        <v>62.246651069484933</v>
      </c>
      <c r="M162" s="34">
        <f t="shared" si="58"/>
        <v>177.02868635010788</v>
      </c>
      <c r="N162" s="462">
        <f t="shared" si="59"/>
        <v>239.27533741959283</v>
      </c>
      <c r="O162" s="349">
        <f t="shared" si="62"/>
        <v>14.546024933593079</v>
      </c>
      <c r="P162" s="419">
        <f t="shared" si="51"/>
        <v>0.905953017276524</v>
      </c>
      <c r="Q162" s="419">
        <f t="shared" si="52"/>
        <v>6.2281827606680752E-2</v>
      </c>
    </row>
    <row r="163" spans="2:17" hidden="1" x14ac:dyDescent="0.2">
      <c r="B163" s="22" t="s">
        <v>67</v>
      </c>
      <c r="C163" s="23">
        <v>2</v>
      </c>
      <c r="D163" s="355" t="s">
        <v>12</v>
      </c>
      <c r="E163" s="24">
        <v>30600206</v>
      </c>
      <c r="F163" s="25">
        <v>60.741199999999999</v>
      </c>
      <c r="G163" s="25">
        <v>2899.33</v>
      </c>
      <c r="H163" s="25">
        <v>3228.38</v>
      </c>
      <c r="I163" s="458">
        <f t="shared" si="61"/>
        <v>6127.71</v>
      </c>
      <c r="J163" s="24">
        <v>87117</v>
      </c>
      <c r="K163" s="26">
        <v>16</v>
      </c>
      <c r="L163" s="34">
        <f t="shared" si="57"/>
        <v>763.72017674988297</v>
      </c>
      <c r="M163" s="34">
        <f t="shared" si="58"/>
        <v>850.39610676114398</v>
      </c>
      <c r="N163" s="462">
        <f t="shared" si="59"/>
        <v>1614.1162835110269</v>
      </c>
      <c r="O163" s="349">
        <f t="shared" si="62"/>
        <v>92.524778438094827</v>
      </c>
      <c r="P163" s="419">
        <f t="shared" si="51"/>
        <v>18.366105352571829</v>
      </c>
      <c r="Q163" s="419">
        <f t="shared" si="52"/>
        <v>0.19849931729217771</v>
      </c>
    </row>
    <row r="164" spans="2:17" hidden="1" x14ac:dyDescent="0.2">
      <c r="B164" s="22" t="s">
        <v>67</v>
      </c>
      <c r="C164" s="23">
        <v>2</v>
      </c>
      <c r="D164" s="355" t="s">
        <v>13</v>
      </c>
      <c r="E164" s="24">
        <v>33005514</v>
      </c>
      <c r="F164" s="25">
        <v>232.18190000000001</v>
      </c>
      <c r="G164" s="25">
        <v>7843.62</v>
      </c>
      <c r="H164" s="25">
        <v>3209.0529999999999</v>
      </c>
      <c r="I164" s="458">
        <f t="shared" si="61"/>
        <v>11052.672999999999</v>
      </c>
      <c r="J164" s="24">
        <v>82694</v>
      </c>
      <c r="K164" s="26">
        <v>99</v>
      </c>
      <c r="L164" s="34">
        <f t="shared" si="57"/>
        <v>3344.4397689914672</v>
      </c>
      <c r="M164" s="34">
        <f t="shared" si="58"/>
        <v>1368.3075511054046</v>
      </c>
      <c r="N164" s="462">
        <f t="shared" si="59"/>
        <v>4712.7473200968716</v>
      </c>
      <c r="O164" s="349">
        <f t="shared" si="62"/>
        <v>170.18423803223888</v>
      </c>
      <c r="P164" s="419">
        <f t="shared" si="51"/>
        <v>119.71848017994051</v>
      </c>
      <c r="Q164" s="419">
        <f t="shared" si="52"/>
        <v>0.70346397271680128</v>
      </c>
    </row>
    <row r="165" spans="2:17" hidden="1" x14ac:dyDescent="0.2">
      <c r="B165" s="22" t="s">
        <v>67</v>
      </c>
      <c r="C165" s="23">
        <v>2</v>
      </c>
      <c r="D165" s="355" t="s">
        <v>14</v>
      </c>
      <c r="E165" s="24">
        <v>15323140</v>
      </c>
      <c r="F165" s="25">
        <v>284.57299999999998</v>
      </c>
      <c r="G165" s="25">
        <v>6569.08</v>
      </c>
      <c r="H165" s="25">
        <v>1619.0029999999999</v>
      </c>
      <c r="I165" s="458">
        <f t="shared" si="61"/>
        <v>8188.0829999999996</v>
      </c>
      <c r="J165" s="24">
        <v>35399</v>
      </c>
      <c r="K165" s="26">
        <v>118</v>
      </c>
      <c r="L165" s="34">
        <f t="shared" si="57"/>
        <v>2723.9107012963277</v>
      </c>
      <c r="M165" s="34">
        <f t="shared" si="58"/>
        <v>671.32986615033758</v>
      </c>
      <c r="N165" s="462">
        <f t="shared" si="59"/>
        <v>3395.2405674466654</v>
      </c>
      <c r="O165" s="349">
        <f t="shared" si="62"/>
        <v>179.49199759276874</v>
      </c>
      <c r="P165" s="419">
        <f t="shared" si="51"/>
        <v>333.34274979519193</v>
      </c>
      <c r="Q165" s="419">
        <f t="shared" si="52"/>
        <v>1.8571454675738783</v>
      </c>
    </row>
    <row r="166" spans="2:17" hidden="1" x14ac:dyDescent="0.2">
      <c r="B166" s="22" t="s">
        <v>67</v>
      </c>
      <c r="C166" s="23">
        <v>2</v>
      </c>
      <c r="D166" s="355" t="s">
        <v>15</v>
      </c>
      <c r="E166" s="24">
        <v>9169601</v>
      </c>
      <c r="F166" s="25">
        <v>470.74599999999998</v>
      </c>
      <c r="G166" s="25">
        <v>6815.07</v>
      </c>
      <c r="H166" s="25">
        <v>1366.3009999999999</v>
      </c>
      <c r="I166" s="458">
        <f t="shared" si="61"/>
        <v>8181.3709999999992</v>
      </c>
      <c r="J166" s="24">
        <v>20855</v>
      </c>
      <c r="K166" s="26">
        <v>141</v>
      </c>
      <c r="L166" s="34">
        <f t="shared" si="57"/>
        <v>2041.281009291635</v>
      </c>
      <c r="M166" s="34">
        <f t="shared" si="58"/>
        <v>409.24073916719414</v>
      </c>
      <c r="N166" s="462">
        <f t="shared" si="59"/>
        <v>2450.5217484588284</v>
      </c>
      <c r="O166" s="349">
        <f t="shared" si="62"/>
        <v>131.69604068490654</v>
      </c>
      <c r="P166" s="419">
        <f t="shared" si="51"/>
        <v>676.09685926636303</v>
      </c>
      <c r="Q166" s="419">
        <f t="shared" si="52"/>
        <v>5.1337675434296433</v>
      </c>
    </row>
    <row r="167" spans="2:17" hidden="1" x14ac:dyDescent="0.2">
      <c r="B167" s="22" t="s">
        <v>67</v>
      </c>
      <c r="C167" s="23">
        <v>2</v>
      </c>
      <c r="D167" s="355" t="s">
        <v>16</v>
      </c>
      <c r="E167" s="24">
        <v>7152707</v>
      </c>
      <c r="F167" s="25">
        <v>1125.94</v>
      </c>
      <c r="G167" s="25">
        <v>7166.83</v>
      </c>
      <c r="H167" s="25">
        <v>1467.45</v>
      </c>
      <c r="I167" s="458">
        <f t="shared" si="61"/>
        <v>8634.2800000000007</v>
      </c>
      <c r="J167" s="24">
        <v>16854</v>
      </c>
      <c r="K167" s="26">
        <v>304</v>
      </c>
      <c r="L167" s="34">
        <f t="shared" si="57"/>
        <v>1935.0199122510969</v>
      </c>
      <c r="M167" s="34">
        <f t="shared" si="58"/>
        <v>396.2065474181573</v>
      </c>
      <c r="N167" s="462">
        <f t="shared" si="59"/>
        <v>2331.2264596692544</v>
      </c>
      <c r="O167" s="349">
        <f t="shared" si="62"/>
        <v>114.58447549042519</v>
      </c>
      <c r="P167" s="419">
        <f t="shared" si="51"/>
        <v>1803.7261184288598</v>
      </c>
      <c r="Q167" s="419">
        <f t="shared" si="52"/>
        <v>15.741452851347049</v>
      </c>
    </row>
    <row r="168" spans="2:17" hidden="1" x14ac:dyDescent="0.2">
      <c r="B168" s="22" t="s">
        <v>67</v>
      </c>
      <c r="C168" s="23">
        <v>1</v>
      </c>
      <c r="D168" s="355" t="s">
        <v>9</v>
      </c>
      <c r="E168" s="24">
        <v>10319427</v>
      </c>
      <c r="F168" s="25">
        <v>1.1331100000000001</v>
      </c>
      <c r="G168" s="25">
        <v>94.885000000000005</v>
      </c>
      <c r="H168" s="25">
        <v>119.872</v>
      </c>
      <c r="I168" s="458">
        <f t="shared" si="56"/>
        <v>214.75700000000001</v>
      </c>
      <c r="J168" s="24">
        <v>40476</v>
      </c>
      <c r="K168" s="26">
        <v>0</v>
      </c>
      <c r="L168" s="34">
        <f t="shared" si="57"/>
        <v>0.37216846051626706</v>
      </c>
      <c r="M168" s="34">
        <f t="shared" si="58"/>
        <v>0.47017524054387899</v>
      </c>
      <c r="N168" s="462">
        <f t="shared" si="59"/>
        <v>0.842343701060146</v>
      </c>
      <c r="O168" s="349">
        <f t="shared" si="53"/>
        <v>1</v>
      </c>
      <c r="P168" s="419">
        <f t="shared" si="51"/>
        <v>0</v>
      </c>
      <c r="Q168" s="419">
        <f t="shared" si="52"/>
        <v>1.0980357727226522E-2</v>
      </c>
    </row>
    <row r="169" spans="2:17" hidden="1" x14ac:dyDescent="0.2">
      <c r="B169" s="22" t="s">
        <v>67</v>
      </c>
      <c r="C169" s="23">
        <v>1</v>
      </c>
      <c r="D169" s="355" t="s">
        <v>10</v>
      </c>
      <c r="E169" s="24">
        <v>20969500</v>
      </c>
      <c r="F169" s="25">
        <v>2.0080300000000002</v>
      </c>
      <c r="G169" s="25">
        <v>151.24700000000001</v>
      </c>
      <c r="H169" s="25">
        <v>2300.23</v>
      </c>
      <c r="I169" s="458">
        <f t="shared" si="56"/>
        <v>2451.4769999999999</v>
      </c>
      <c r="J169" s="24">
        <v>76614</v>
      </c>
      <c r="K169" s="26">
        <v>0</v>
      </c>
      <c r="L169" s="34">
        <f t="shared" si="57"/>
        <v>0.55259484765969635</v>
      </c>
      <c r="M169" s="34">
        <f t="shared" si="58"/>
        <v>8.4041022065380666</v>
      </c>
      <c r="N169" s="462">
        <f t="shared" si="59"/>
        <v>8.9566970541977629</v>
      </c>
      <c r="O169" s="349">
        <f t="shared" si="53"/>
        <v>1</v>
      </c>
      <c r="P169" s="419">
        <f t="shared" si="51"/>
        <v>0</v>
      </c>
      <c r="Q169" s="419">
        <f t="shared" si="52"/>
        <v>9.5759555544958162E-3</v>
      </c>
    </row>
    <row r="170" spans="2:17" hidden="1" x14ac:dyDescent="0.2">
      <c r="B170" s="22" t="s">
        <v>67</v>
      </c>
      <c r="C170" s="23">
        <v>1</v>
      </c>
      <c r="D170" s="355" t="s">
        <v>11</v>
      </c>
      <c r="E170" s="24">
        <v>32953433</v>
      </c>
      <c r="F170" s="25">
        <v>18.398009999999999</v>
      </c>
      <c r="G170" s="25">
        <v>1140.402</v>
      </c>
      <c r="H170" s="25">
        <v>4542.29</v>
      </c>
      <c r="I170" s="458">
        <f t="shared" si="56"/>
        <v>5682.692</v>
      </c>
      <c r="J170" s="24">
        <v>116710</v>
      </c>
      <c r="K170" s="26">
        <v>4</v>
      </c>
      <c r="L170" s="34">
        <f t="shared" si="57"/>
        <v>247.94029354261693</v>
      </c>
      <c r="M170" s="34">
        <f t="shared" si="58"/>
        <v>987.56115471184114</v>
      </c>
      <c r="N170" s="462">
        <f t="shared" si="59"/>
        <v>1235.5014482544582</v>
      </c>
      <c r="O170" s="349">
        <f t="shared" si="53"/>
        <v>61.387752941909739</v>
      </c>
      <c r="P170" s="419">
        <f t="shared" si="51"/>
        <v>3.4272984320109674</v>
      </c>
      <c r="Q170" s="419">
        <f t="shared" si="52"/>
        <v>5.5830328815817155E-2</v>
      </c>
    </row>
    <row r="171" spans="2:17" hidden="1" x14ac:dyDescent="0.2">
      <c r="B171" s="22" t="s">
        <v>67</v>
      </c>
      <c r="C171" s="23">
        <v>1</v>
      </c>
      <c r="D171" s="355" t="s">
        <v>12</v>
      </c>
      <c r="E171" s="24">
        <v>30432499</v>
      </c>
      <c r="F171" s="25">
        <v>70.743200000000002</v>
      </c>
      <c r="G171" s="25">
        <v>3327.8429999999998</v>
      </c>
      <c r="H171" s="25">
        <v>4446.9399999999996</v>
      </c>
      <c r="I171" s="458">
        <f t="shared" si="56"/>
        <v>7774.7829999999994</v>
      </c>
      <c r="J171" s="24">
        <v>89486</v>
      </c>
      <c r="K171" s="26">
        <v>7</v>
      </c>
      <c r="L171" s="34">
        <f t="shared" si="57"/>
        <v>329.28820013796383</v>
      </c>
      <c r="M171" s="34">
        <f t="shared" si="58"/>
        <v>440.02222121702152</v>
      </c>
      <c r="N171" s="462">
        <f t="shared" si="59"/>
        <v>769.31042135498524</v>
      </c>
      <c r="O171" s="349">
        <f t="shared" si="53"/>
        <v>33.650836148769315</v>
      </c>
      <c r="P171" s="419">
        <f t="shared" si="51"/>
        <v>7.8224526741613216</v>
      </c>
      <c r="Q171" s="419">
        <f t="shared" si="52"/>
        <v>0.23245938494896526</v>
      </c>
    </row>
    <row r="172" spans="2:17" hidden="1" x14ac:dyDescent="0.2">
      <c r="B172" s="22" t="s">
        <v>67</v>
      </c>
      <c r="C172" s="23">
        <v>1</v>
      </c>
      <c r="D172" s="355" t="s">
        <v>13</v>
      </c>
      <c r="E172" s="24">
        <v>31666007</v>
      </c>
      <c r="F172" s="25">
        <v>284.8809</v>
      </c>
      <c r="G172" s="25">
        <v>9566.7900000000009</v>
      </c>
      <c r="H172" s="25">
        <v>4725.67</v>
      </c>
      <c r="I172" s="458">
        <f t="shared" si="56"/>
        <v>14292.460000000001</v>
      </c>
      <c r="J172" s="24">
        <v>81265</v>
      </c>
      <c r="K172" s="26">
        <v>25</v>
      </c>
      <c r="L172" s="34">
        <f t="shared" si="57"/>
        <v>839.5429458415781</v>
      </c>
      <c r="M172" s="34">
        <f t="shared" si="58"/>
        <v>414.7057594945818</v>
      </c>
      <c r="N172" s="462">
        <f t="shared" si="59"/>
        <v>1254.2487053361599</v>
      </c>
      <c r="O172" s="349">
        <f t="shared" si="53"/>
        <v>34.195301693289757</v>
      </c>
      <c r="P172" s="419">
        <f t="shared" si="51"/>
        <v>30.76355134436719</v>
      </c>
      <c r="Q172" s="419">
        <f t="shared" si="52"/>
        <v>0.89964263571343239</v>
      </c>
    </row>
    <row r="173" spans="2:17" hidden="1" x14ac:dyDescent="0.2">
      <c r="B173" s="22" t="s">
        <v>67</v>
      </c>
      <c r="C173" s="23">
        <v>1</v>
      </c>
      <c r="D173" s="355" t="s">
        <v>14</v>
      </c>
      <c r="E173" s="24">
        <v>13930047</v>
      </c>
      <c r="F173" s="25">
        <v>439.16199999999998</v>
      </c>
      <c r="G173" s="25">
        <v>10104.07</v>
      </c>
      <c r="H173" s="25">
        <v>2537.91</v>
      </c>
      <c r="I173" s="458">
        <f t="shared" si="56"/>
        <v>12641.98</v>
      </c>
      <c r="J173" s="24">
        <v>33077</v>
      </c>
      <c r="K173" s="26">
        <v>48</v>
      </c>
      <c r="L173" s="34">
        <f t="shared" si="57"/>
        <v>1104.3654961039435</v>
      </c>
      <c r="M173" s="34">
        <f t="shared" si="58"/>
        <v>277.3912132652643</v>
      </c>
      <c r="N173" s="462">
        <f t="shared" si="59"/>
        <v>1381.7567093692078</v>
      </c>
      <c r="O173" s="349">
        <f t="shared" si="53"/>
        <v>46.03020950832645</v>
      </c>
      <c r="P173" s="419">
        <f t="shared" si="51"/>
        <v>145.11594159083353</v>
      </c>
      <c r="Q173" s="419">
        <f t="shared" si="52"/>
        <v>3.1526239645853309</v>
      </c>
    </row>
    <row r="174" spans="2:17" hidden="1" x14ac:dyDescent="0.2">
      <c r="B174" s="22" t="s">
        <v>67</v>
      </c>
      <c r="C174" s="23">
        <v>1</v>
      </c>
      <c r="D174" s="355" t="s">
        <v>15</v>
      </c>
      <c r="E174" s="24">
        <v>7426360</v>
      </c>
      <c r="F174" s="25">
        <v>822.22</v>
      </c>
      <c r="G174" s="25">
        <v>11893.03</v>
      </c>
      <c r="H174" s="25">
        <v>2347.69</v>
      </c>
      <c r="I174" s="458">
        <f t="shared" si="56"/>
        <v>14240.720000000001</v>
      </c>
      <c r="J174" s="24">
        <v>16815</v>
      </c>
      <c r="K174" s="26">
        <v>91</v>
      </c>
      <c r="L174" s="34">
        <f t="shared" si="57"/>
        <v>1316.2726885748339</v>
      </c>
      <c r="M174" s="34">
        <f t="shared" si="58"/>
        <v>259.83287927805208</v>
      </c>
      <c r="N174" s="462">
        <f t="shared" si="59"/>
        <v>1576.1055678528862</v>
      </c>
      <c r="O174" s="349">
        <f t="shared" si="53"/>
        <v>48.880144645567775</v>
      </c>
      <c r="P174" s="419">
        <f t="shared" si="51"/>
        <v>541.18346714243228</v>
      </c>
      <c r="Q174" s="419">
        <f t="shared" si="52"/>
        <v>11.071642096531814</v>
      </c>
    </row>
    <row r="175" spans="2:17" hidden="1" x14ac:dyDescent="0.2">
      <c r="B175" s="22" t="s">
        <v>67</v>
      </c>
      <c r="C175" s="23">
        <v>1</v>
      </c>
      <c r="D175" s="355" t="s">
        <v>16</v>
      </c>
      <c r="E175" s="24">
        <v>4084053</v>
      </c>
      <c r="F175" s="25">
        <v>3036.79</v>
      </c>
      <c r="G175" s="25">
        <v>16628.2</v>
      </c>
      <c r="H175" s="25">
        <v>3575.37</v>
      </c>
      <c r="I175" s="458">
        <f t="shared" si="56"/>
        <v>20203.57</v>
      </c>
      <c r="J175" s="24">
        <v>10368</v>
      </c>
      <c r="K175" s="26">
        <v>415</v>
      </c>
      <c r="L175" s="34">
        <f t="shared" si="57"/>
        <v>2272.3675328224867</v>
      </c>
      <c r="M175" s="34">
        <f t="shared" si="58"/>
        <v>488.60097339625059</v>
      </c>
      <c r="N175" s="462">
        <f t="shared" si="59"/>
        <v>2760.9685062187373</v>
      </c>
      <c r="O175" s="349">
        <f t="shared" si="53"/>
        <v>53.830661534450421</v>
      </c>
      <c r="P175" s="419">
        <f t="shared" si="51"/>
        <v>4002.7006172839506</v>
      </c>
      <c r="Q175" s="419">
        <f t="shared" si="52"/>
        <v>74.357262258839441</v>
      </c>
    </row>
    <row r="176" spans="2:17" hidden="1" x14ac:dyDescent="0.2">
      <c r="B176" s="22" t="s">
        <v>17</v>
      </c>
      <c r="C176" s="23"/>
      <c r="D176" s="355"/>
      <c r="E176" s="24">
        <f>SUM(E160:E175)</f>
        <v>308745538</v>
      </c>
      <c r="F176" s="24">
        <f t="shared" ref="F176:K176" si="63">SUM(F160:F175)</f>
        <v>6872.9970199999998</v>
      </c>
      <c r="G176" s="24">
        <f t="shared" si="63"/>
        <v>85723.186000000002</v>
      </c>
      <c r="H176" s="24">
        <f t="shared" si="63"/>
        <v>40810.201500000003</v>
      </c>
      <c r="I176" s="459">
        <f t="shared" si="63"/>
        <v>126533.38750000001</v>
      </c>
      <c r="J176" s="24">
        <f t="shared" si="63"/>
        <v>930450</v>
      </c>
      <c r="K176" s="24">
        <f t="shared" si="63"/>
        <v>1270</v>
      </c>
      <c r="L176" s="34">
        <f t="shared" si="57"/>
        <v>15840.025232544043</v>
      </c>
      <c r="M176" s="34">
        <f t="shared" si="58"/>
        <v>7540.9542233440416</v>
      </c>
      <c r="N176" s="462">
        <f t="shared" si="59"/>
        <v>23380.979455888086</v>
      </c>
      <c r="O176" s="349">
        <f t="shared" si="53"/>
        <v>61.314785741766357</v>
      </c>
      <c r="P176" s="419">
        <f>SUMPRODUCT(P160:P175,E160:E175)/E176</f>
        <v>170.00939355379694</v>
      </c>
      <c r="Q176" s="419">
        <f t="shared" si="52"/>
        <v>2.2261040805713601</v>
      </c>
    </row>
    <row r="177" spans="2:17" hidden="1" x14ac:dyDescent="0.2">
      <c r="B177" s="4" t="s">
        <v>34</v>
      </c>
      <c r="C177" s="5">
        <v>2</v>
      </c>
      <c r="D177" s="354" t="s">
        <v>9</v>
      </c>
      <c r="E177" s="30">
        <v>9881935</v>
      </c>
      <c r="F177" s="31">
        <v>348.69889999999998</v>
      </c>
      <c r="G177" s="31">
        <v>29738.780999999999</v>
      </c>
      <c r="H177" s="31">
        <v>7056.46</v>
      </c>
      <c r="I177" s="457">
        <f t="shared" ref="I177:I184" si="64">G177+H177</f>
        <v>36795.241000000002</v>
      </c>
      <c r="J177" s="30">
        <v>38504</v>
      </c>
      <c r="K177" s="32">
        <v>1</v>
      </c>
      <c r="L177" s="28">
        <f t="shared" si="57"/>
        <v>85.284986560037922</v>
      </c>
      <c r="M177" s="28">
        <f t="shared" si="58"/>
        <v>20.236542185822785</v>
      </c>
      <c r="N177" s="461">
        <f t="shared" si="59"/>
        <v>105.52152874586069</v>
      </c>
      <c r="O177" s="349">
        <f t="shared" ref="O177:O184" si="65">IF(OR(F177 = 0, K177 = 0),1,(K177/J177)/(F177/E177))</f>
        <v>0.73601313839302485</v>
      </c>
      <c r="P177" s="419">
        <f t="shared" si="51"/>
        <v>2.5971327654269687</v>
      </c>
      <c r="Q177" s="419">
        <f t="shared" si="52"/>
        <v>3.5286500062993733</v>
      </c>
    </row>
    <row r="178" spans="2:17" hidden="1" x14ac:dyDescent="0.2">
      <c r="B178" s="4" t="s">
        <v>34</v>
      </c>
      <c r="C178" s="5">
        <v>2</v>
      </c>
      <c r="D178" s="354" t="s">
        <v>10</v>
      </c>
      <c r="E178" s="30">
        <v>20056351</v>
      </c>
      <c r="F178" s="31">
        <v>65.405720000000002</v>
      </c>
      <c r="G178" s="31">
        <v>4975.1509999999998</v>
      </c>
      <c r="H178" s="31">
        <v>9648.36</v>
      </c>
      <c r="I178" s="457">
        <f t="shared" si="64"/>
        <v>14623.511</v>
      </c>
      <c r="J178" s="30">
        <v>73835</v>
      </c>
      <c r="K178" s="32">
        <v>1</v>
      </c>
      <c r="L178" s="28">
        <f t="shared" si="57"/>
        <v>76.065992393325857</v>
      </c>
      <c r="M178" s="28">
        <f t="shared" si="58"/>
        <v>147.51553839633598</v>
      </c>
      <c r="N178" s="461">
        <f t="shared" si="59"/>
        <v>223.58153078966185</v>
      </c>
      <c r="O178" s="349">
        <f t="shared" si="65"/>
        <v>4.1531145649737784</v>
      </c>
      <c r="P178" s="419">
        <f t="shared" si="51"/>
        <v>1.3543712331550077</v>
      </c>
      <c r="Q178" s="419">
        <f t="shared" si="52"/>
        <v>0.32610976941917302</v>
      </c>
    </row>
    <row r="179" spans="2:17" hidden="1" x14ac:dyDescent="0.2">
      <c r="B179" s="4" t="s">
        <v>34</v>
      </c>
      <c r="C179" s="5">
        <v>2</v>
      </c>
      <c r="D179" s="354" t="s">
        <v>11</v>
      </c>
      <c r="E179" s="30">
        <v>31774758</v>
      </c>
      <c r="F179" s="31">
        <v>300.54199899999998</v>
      </c>
      <c r="G179" s="31">
        <v>18826.414700000001</v>
      </c>
      <c r="H179" s="31">
        <v>7408.2969999999996</v>
      </c>
      <c r="I179" s="457">
        <f t="shared" si="64"/>
        <v>26234.7117</v>
      </c>
      <c r="J179" s="30">
        <v>110381</v>
      </c>
      <c r="K179" s="32">
        <v>3</v>
      </c>
      <c r="L179" s="28">
        <f t="shared" si="57"/>
        <v>187.92463046071643</v>
      </c>
      <c r="M179" s="28">
        <f t="shared" si="58"/>
        <v>73.949368387610946</v>
      </c>
      <c r="N179" s="461">
        <f t="shared" si="59"/>
        <v>261.8739988483274</v>
      </c>
      <c r="O179" s="349">
        <f t="shared" si="65"/>
        <v>2.8734524271928503</v>
      </c>
      <c r="P179" s="419">
        <f t="shared" si="51"/>
        <v>2.717859051829572</v>
      </c>
      <c r="Q179" s="419">
        <f t="shared" si="52"/>
        <v>0.94585141765674496</v>
      </c>
    </row>
    <row r="180" spans="2:17" hidden="1" x14ac:dyDescent="0.2">
      <c r="B180" s="4" t="s">
        <v>34</v>
      </c>
      <c r="C180" s="5">
        <v>2</v>
      </c>
      <c r="D180" s="354" t="s">
        <v>12</v>
      </c>
      <c r="E180" s="30">
        <v>30600206</v>
      </c>
      <c r="F180" s="31">
        <v>804.95492100000001</v>
      </c>
      <c r="G180" s="31">
        <v>38197.143100000001</v>
      </c>
      <c r="H180" s="31">
        <v>7654.3779999999997</v>
      </c>
      <c r="I180" s="457">
        <f t="shared" si="64"/>
        <v>45851.521099999998</v>
      </c>
      <c r="J180" s="30">
        <v>87117</v>
      </c>
      <c r="K180" s="32">
        <v>4</v>
      </c>
      <c r="L180" s="28">
        <f t="shared" si="57"/>
        <v>189.810097949572</v>
      </c>
      <c r="M180" s="28">
        <f t="shared" si="58"/>
        <v>38.036306383422925</v>
      </c>
      <c r="N180" s="461">
        <f t="shared" si="59"/>
        <v>227.84640433299492</v>
      </c>
      <c r="O180" s="349">
        <f t="shared" si="65"/>
        <v>1.74545987776625</v>
      </c>
      <c r="P180" s="419">
        <f t="shared" si="51"/>
        <v>4.5915263381429572</v>
      </c>
      <c r="Q180" s="419">
        <f t="shared" si="52"/>
        <v>2.630553928297084</v>
      </c>
    </row>
    <row r="181" spans="2:17" hidden="1" x14ac:dyDescent="0.2">
      <c r="B181" s="4" t="s">
        <v>34</v>
      </c>
      <c r="C181" s="5">
        <v>2</v>
      </c>
      <c r="D181" s="354" t="s">
        <v>13</v>
      </c>
      <c r="E181" s="30">
        <v>33005514</v>
      </c>
      <c r="F181" s="31">
        <v>2979.3603600000001</v>
      </c>
      <c r="G181" s="31">
        <v>100234.85679999999</v>
      </c>
      <c r="H181" s="31">
        <v>9429.23</v>
      </c>
      <c r="I181" s="457">
        <f t="shared" si="64"/>
        <v>109664.08679999999</v>
      </c>
      <c r="J181" s="30">
        <v>82694</v>
      </c>
      <c r="K181" s="32">
        <v>25</v>
      </c>
      <c r="L181" s="28">
        <f t="shared" si="57"/>
        <v>841.0769820405344</v>
      </c>
      <c r="M181" s="28">
        <f t="shared" si="58"/>
        <v>79.121261450897464</v>
      </c>
      <c r="N181" s="461">
        <f t="shared" si="59"/>
        <v>920.19824349143175</v>
      </c>
      <c r="O181" s="349">
        <f t="shared" si="65"/>
        <v>3.349110479584863</v>
      </c>
      <c r="P181" s="419">
        <f t="shared" si="51"/>
        <v>30.231939439378916</v>
      </c>
      <c r="Q181" s="419">
        <f t="shared" si="52"/>
        <v>9.026856421627004</v>
      </c>
    </row>
    <row r="182" spans="2:17" hidden="1" x14ac:dyDescent="0.2">
      <c r="B182" s="4" t="s">
        <v>34</v>
      </c>
      <c r="C182" s="5">
        <v>2</v>
      </c>
      <c r="D182" s="354" t="s">
        <v>14</v>
      </c>
      <c r="E182" s="30">
        <v>15323140</v>
      </c>
      <c r="F182" s="31">
        <v>3909.5232500000002</v>
      </c>
      <c r="G182" s="31">
        <v>90061.254300000001</v>
      </c>
      <c r="H182" s="31">
        <v>5261.5780000000004</v>
      </c>
      <c r="I182" s="457">
        <f t="shared" si="64"/>
        <v>95322.832299999995</v>
      </c>
      <c r="J182" s="30">
        <v>35399</v>
      </c>
      <c r="K182" s="32">
        <v>41</v>
      </c>
      <c r="L182" s="28">
        <f t="shared" si="57"/>
        <v>944.49148660261847</v>
      </c>
      <c r="M182" s="28">
        <f t="shared" si="58"/>
        <v>55.179285095695505</v>
      </c>
      <c r="N182" s="461">
        <f t="shared" si="59"/>
        <v>999.67077169831384</v>
      </c>
      <c r="O182" s="349">
        <f t="shared" si="65"/>
        <v>4.5395921085289777</v>
      </c>
      <c r="P182" s="419">
        <f t="shared" si="51"/>
        <v>115.82248086104129</v>
      </c>
      <c r="Q182" s="419">
        <f t="shared" si="52"/>
        <v>25.513851925910746</v>
      </c>
    </row>
    <row r="183" spans="2:17" hidden="1" x14ac:dyDescent="0.2">
      <c r="B183" s="4" t="s">
        <v>34</v>
      </c>
      <c r="C183" s="5">
        <v>2</v>
      </c>
      <c r="D183" s="354" t="s">
        <v>15</v>
      </c>
      <c r="E183" s="30">
        <v>9169601</v>
      </c>
      <c r="F183" s="31">
        <v>7436.9981900000002</v>
      </c>
      <c r="G183" s="31">
        <v>107230.5644</v>
      </c>
      <c r="H183" s="31">
        <v>6526.9849999999997</v>
      </c>
      <c r="I183" s="457">
        <f t="shared" si="64"/>
        <v>113757.5494</v>
      </c>
      <c r="J183" s="30">
        <v>20855</v>
      </c>
      <c r="K183" s="32">
        <v>72</v>
      </c>
      <c r="L183" s="28">
        <f t="shared" si="57"/>
        <v>1038.1339943286985</v>
      </c>
      <c r="M183" s="28">
        <f t="shared" si="58"/>
        <v>63.189866125273319</v>
      </c>
      <c r="N183" s="461">
        <f t="shared" si="59"/>
        <v>1101.3238604539717</v>
      </c>
      <c r="O183" s="349">
        <f t="shared" si="65"/>
        <v>4.256719813689811</v>
      </c>
      <c r="P183" s="419">
        <f t="shared" si="51"/>
        <v>345.24094941261092</v>
      </c>
      <c r="Q183" s="419">
        <f t="shared" si="52"/>
        <v>81.104926921029602</v>
      </c>
    </row>
    <row r="184" spans="2:17" hidden="1" x14ac:dyDescent="0.2">
      <c r="B184" s="4" t="s">
        <v>34</v>
      </c>
      <c r="C184" s="5">
        <v>2</v>
      </c>
      <c r="D184" s="354" t="s">
        <v>16</v>
      </c>
      <c r="E184" s="30">
        <v>7152707</v>
      </c>
      <c r="F184" s="31">
        <v>23793.149799999999</v>
      </c>
      <c r="G184" s="31">
        <v>151447.09700000001</v>
      </c>
      <c r="H184" s="31">
        <v>6440.2030000000004</v>
      </c>
      <c r="I184" s="457">
        <f t="shared" si="64"/>
        <v>157887.30000000002</v>
      </c>
      <c r="J184" s="30">
        <v>16854</v>
      </c>
      <c r="K184" s="32">
        <v>135</v>
      </c>
      <c r="L184" s="28">
        <f t="shared" si="57"/>
        <v>859.29598505700994</v>
      </c>
      <c r="M184" s="28">
        <f t="shared" si="58"/>
        <v>36.541080618086134</v>
      </c>
      <c r="N184" s="461">
        <f t="shared" si="59"/>
        <v>895.83706567509614</v>
      </c>
      <c r="O184" s="349">
        <f t="shared" si="65"/>
        <v>2.4079600380687891</v>
      </c>
      <c r="P184" s="419">
        <f t="shared" si="51"/>
        <v>800.99679601281593</v>
      </c>
      <c r="Q184" s="419">
        <f t="shared" si="52"/>
        <v>332.64538586579874</v>
      </c>
    </row>
    <row r="185" spans="2:17" hidden="1" x14ac:dyDescent="0.2">
      <c r="B185" s="4" t="s">
        <v>34</v>
      </c>
      <c r="C185" s="5">
        <v>1</v>
      </c>
      <c r="D185" s="354" t="s">
        <v>9</v>
      </c>
      <c r="E185" s="30">
        <v>10319427</v>
      </c>
      <c r="F185" s="31">
        <v>274.02438000000001</v>
      </c>
      <c r="G185" s="31">
        <v>23332.216</v>
      </c>
      <c r="H185" s="31">
        <v>6047.54</v>
      </c>
      <c r="I185" s="457">
        <f t="shared" si="56"/>
        <v>29379.756000000001</v>
      </c>
      <c r="J185" s="30">
        <v>40476</v>
      </c>
      <c r="K185" s="32">
        <v>3</v>
      </c>
      <c r="L185" s="28">
        <f t="shared" si="57"/>
        <v>255.43949045701697</v>
      </c>
      <c r="M185" s="28">
        <f t="shared" si="58"/>
        <v>66.208050539152751</v>
      </c>
      <c r="N185" s="461">
        <f t="shared" si="59"/>
        <v>321.64754099616971</v>
      </c>
      <c r="O185" s="349">
        <f t="shared" si="53"/>
        <v>2.7911941541628744</v>
      </c>
      <c r="P185" s="419">
        <f t="shared" si="51"/>
        <v>7.4117995849392226</v>
      </c>
      <c r="Q185" s="419">
        <f t="shared" si="52"/>
        <v>2.6554224376993028</v>
      </c>
    </row>
    <row r="186" spans="2:17" hidden="1" x14ac:dyDescent="0.2">
      <c r="B186" s="4" t="s">
        <v>34</v>
      </c>
      <c r="C186" s="5">
        <v>1</v>
      </c>
      <c r="D186" s="354" t="s">
        <v>10</v>
      </c>
      <c r="E186" s="30">
        <v>20969500</v>
      </c>
      <c r="F186" s="31">
        <v>67.868759999999995</v>
      </c>
      <c r="G186" s="31">
        <v>5158.2560000000003</v>
      </c>
      <c r="H186" s="31">
        <v>9171.56</v>
      </c>
      <c r="I186" s="457">
        <f t="shared" si="56"/>
        <v>14329.815999999999</v>
      </c>
      <c r="J186" s="30">
        <v>76614</v>
      </c>
      <c r="K186" s="32">
        <v>0</v>
      </c>
      <c r="L186" s="28">
        <f t="shared" si="57"/>
        <v>18.846163484298625</v>
      </c>
      <c r="M186" s="28">
        <f t="shared" si="58"/>
        <v>33.509139361453542</v>
      </c>
      <c r="N186" s="461">
        <f t="shared" si="59"/>
        <v>52.355302845752156</v>
      </c>
      <c r="O186" s="349">
        <f t="shared" si="53"/>
        <v>1</v>
      </c>
      <c r="P186" s="419">
        <f t="shared" si="51"/>
        <v>0</v>
      </c>
      <c r="Q186" s="419">
        <f t="shared" si="52"/>
        <v>0.32365464126469395</v>
      </c>
    </row>
    <row r="187" spans="2:17" hidden="1" x14ac:dyDescent="0.2">
      <c r="B187" s="4" t="s">
        <v>34</v>
      </c>
      <c r="C187" s="5">
        <v>1</v>
      </c>
      <c r="D187" s="354" t="s">
        <v>11</v>
      </c>
      <c r="E187" s="30">
        <v>32953433</v>
      </c>
      <c r="F187" s="31">
        <v>241.59747200000001</v>
      </c>
      <c r="G187" s="31">
        <v>15163.531499999999</v>
      </c>
      <c r="H187" s="31">
        <v>7413.73</v>
      </c>
      <c r="I187" s="457">
        <f t="shared" si="56"/>
        <v>22577.261500000001</v>
      </c>
      <c r="J187" s="30">
        <v>116710</v>
      </c>
      <c r="K187" s="32">
        <v>0</v>
      </c>
      <c r="L187" s="28">
        <f t="shared" si="57"/>
        <v>53.704139455364171</v>
      </c>
      <c r="M187" s="28">
        <f t="shared" si="58"/>
        <v>26.256943496600186</v>
      </c>
      <c r="N187" s="461">
        <f t="shared" si="59"/>
        <v>79.961082951964372</v>
      </c>
      <c r="O187" s="349">
        <f t="shared" si="53"/>
        <v>1</v>
      </c>
      <c r="P187" s="419">
        <f t="shared" si="51"/>
        <v>0</v>
      </c>
      <c r="Q187" s="419">
        <f t="shared" si="52"/>
        <v>0.73314811236814081</v>
      </c>
    </row>
    <row r="188" spans="2:17" hidden="1" x14ac:dyDescent="0.2">
      <c r="B188" s="4" t="s">
        <v>34</v>
      </c>
      <c r="C188" s="5">
        <v>1</v>
      </c>
      <c r="D188" s="354" t="s">
        <v>12</v>
      </c>
      <c r="E188" s="30">
        <v>30432499</v>
      </c>
      <c r="F188" s="31">
        <v>676.52330199999994</v>
      </c>
      <c r="G188" s="31">
        <v>32124.054100000001</v>
      </c>
      <c r="H188" s="31">
        <v>7769.11</v>
      </c>
      <c r="I188" s="457">
        <f t="shared" si="56"/>
        <v>39893.164100000002</v>
      </c>
      <c r="J188" s="30">
        <v>89486</v>
      </c>
      <c r="K188" s="32">
        <v>2</v>
      </c>
      <c r="L188" s="28">
        <f t="shared" si="57"/>
        <v>94.968063938173131</v>
      </c>
      <c r="M188" s="28">
        <f t="shared" si="58"/>
        <v>22.967752853544727</v>
      </c>
      <c r="N188" s="461">
        <f t="shared" si="59"/>
        <v>117.93581679171785</v>
      </c>
      <c r="O188" s="349">
        <f t="shared" si="53"/>
        <v>1.0053788770581951</v>
      </c>
      <c r="P188" s="419">
        <f t="shared" si="51"/>
        <v>2.2349864783318059</v>
      </c>
      <c r="Q188" s="419">
        <f t="shared" si="52"/>
        <v>2.2230290782232505</v>
      </c>
    </row>
    <row r="189" spans="2:17" hidden="1" x14ac:dyDescent="0.2">
      <c r="B189" s="4" t="s">
        <v>34</v>
      </c>
      <c r="C189" s="5">
        <v>1</v>
      </c>
      <c r="D189" s="354" t="s">
        <v>13</v>
      </c>
      <c r="E189" s="30">
        <v>31666007</v>
      </c>
      <c r="F189" s="31">
        <v>2299.1593499999999</v>
      </c>
      <c r="G189" s="31">
        <v>77539.314899999998</v>
      </c>
      <c r="H189" s="31">
        <v>9641.4040000000005</v>
      </c>
      <c r="I189" s="457">
        <f t="shared" si="56"/>
        <v>87180.718899999993</v>
      </c>
      <c r="J189" s="30">
        <v>81265</v>
      </c>
      <c r="K189" s="32">
        <v>31</v>
      </c>
      <c r="L189" s="28">
        <f t="shared" si="57"/>
        <v>1045.4772357992499</v>
      </c>
      <c r="M189" s="28">
        <f t="shared" si="58"/>
        <v>129.99687211762858</v>
      </c>
      <c r="N189" s="461">
        <f t="shared" si="59"/>
        <v>1175.4741079168787</v>
      </c>
      <c r="O189" s="349">
        <f t="shared" si="53"/>
        <v>5.253907050624103</v>
      </c>
      <c r="P189" s="419">
        <f t="shared" si="51"/>
        <v>38.14680366701532</v>
      </c>
      <c r="Q189" s="419">
        <f t="shared" si="52"/>
        <v>7.2606544614229378</v>
      </c>
    </row>
    <row r="190" spans="2:17" hidden="1" x14ac:dyDescent="0.2">
      <c r="B190" s="4" t="s">
        <v>34</v>
      </c>
      <c r="C190" s="5">
        <v>1</v>
      </c>
      <c r="D190" s="354" t="s">
        <v>14</v>
      </c>
      <c r="E190" s="30">
        <v>13930047</v>
      </c>
      <c r="F190" s="31">
        <v>3050.79243</v>
      </c>
      <c r="G190" s="31">
        <v>70171.5141</v>
      </c>
      <c r="H190" s="31">
        <v>5461.7870000000003</v>
      </c>
      <c r="I190" s="457">
        <f t="shared" si="56"/>
        <v>75633.301099999997</v>
      </c>
      <c r="J190" s="30">
        <v>33077</v>
      </c>
      <c r="K190" s="32">
        <v>37</v>
      </c>
      <c r="L190" s="28">
        <f t="shared" si="57"/>
        <v>851.03987939946478</v>
      </c>
      <c r="M190" s="28">
        <f t="shared" si="58"/>
        <v>66.240533775023167</v>
      </c>
      <c r="N190" s="461">
        <f t="shared" si="59"/>
        <v>917.28041317448799</v>
      </c>
      <c r="O190" s="349">
        <f t="shared" si="53"/>
        <v>5.1075841719885222</v>
      </c>
      <c r="P190" s="419">
        <f t="shared" si="51"/>
        <v>111.86020497626748</v>
      </c>
      <c r="Q190" s="419">
        <f t="shared" si="52"/>
        <v>21.900805000873291</v>
      </c>
    </row>
    <row r="191" spans="2:17" hidden="1" x14ac:dyDescent="0.2">
      <c r="B191" s="4" t="s">
        <v>34</v>
      </c>
      <c r="C191" s="5">
        <v>1</v>
      </c>
      <c r="D191" s="354" t="s">
        <v>15</v>
      </c>
      <c r="E191" s="30">
        <v>7426360</v>
      </c>
      <c r="F191" s="31">
        <v>6184.1752299999998</v>
      </c>
      <c r="G191" s="31">
        <v>88609.947799999994</v>
      </c>
      <c r="H191" s="31">
        <v>7534.7089999999998</v>
      </c>
      <c r="I191" s="457">
        <f t="shared" si="56"/>
        <v>96144.656799999997</v>
      </c>
      <c r="J191" s="30">
        <v>16815</v>
      </c>
      <c r="K191" s="32">
        <v>59</v>
      </c>
      <c r="L191" s="28">
        <f t="shared" si="57"/>
        <v>845.38143337830343</v>
      </c>
      <c r="M191" s="28">
        <f t="shared" si="58"/>
        <v>71.884740400540039</v>
      </c>
      <c r="N191" s="461">
        <f t="shared" si="59"/>
        <v>917.26617377884361</v>
      </c>
      <c r="O191" s="349">
        <f t="shared" si="53"/>
        <v>4.2135616375107032</v>
      </c>
      <c r="P191" s="419">
        <f t="shared" si="51"/>
        <v>350.87719298245617</v>
      </c>
      <c r="Q191" s="419">
        <f t="shared" si="52"/>
        <v>83.273302533138704</v>
      </c>
    </row>
    <row r="192" spans="2:17" hidden="1" x14ac:dyDescent="0.2">
      <c r="B192" s="4" t="s">
        <v>34</v>
      </c>
      <c r="C192" s="5">
        <v>1</v>
      </c>
      <c r="D192" s="354" t="s">
        <v>16</v>
      </c>
      <c r="E192" s="30">
        <v>4084053</v>
      </c>
      <c r="F192" s="31">
        <v>33156.510300000002</v>
      </c>
      <c r="G192" s="31">
        <v>181552.052</v>
      </c>
      <c r="H192" s="31">
        <v>10438.17</v>
      </c>
      <c r="I192" s="457">
        <f t="shared" si="56"/>
        <v>191990.22200000001</v>
      </c>
      <c r="J192" s="30">
        <v>10368</v>
      </c>
      <c r="K192" s="32">
        <v>183</v>
      </c>
      <c r="L192" s="28">
        <f t="shared" si="57"/>
        <v>1002.0362582005499</v>
      </c>
      <c r="M192" s="28">
        <f t="shared" si="58"/>
        <v>57.611162716361008</v>
      </c>
      <c r="N192" s="461">
        <f t="shared" si="59"/>
        <v>1059.647420916911</v>
      </c>
      <c r="O192" s="349">
        <f t="shared" si="53"/>
        <v>2.1740956923104711</v>
      </c>
      <c r="P192" s="419">
        <f t="shared" si="51"/>
        <v>1765.0462962962961</v>
      </c>
      <c r="Q192" s="419">
        <f t="shared" si="52"/>
        <v>811.8530856480071</v>
      </c>
    </row>
    <row r="193" spans="2:17" hidden="1" x14ac:dyDescent="0.2">
      <c r="B193" s="8" t="s">
        <v>17</v>
      </c>
      <c r="C193" s="5"/>
      <c r="D193" s="354"/>
      <c r="E193" s="30">
        <f>SUM(E177:E192)</f>
        <v>308745538</v>
      </c>
      <c r="F193" s="30">
        <f t="shared" ref="F193:K193" si="66">SUM(F177:F192)</f>
        <v>85589.284364000006</v>
      </c>
      <c r="G193" s="30">
        <f t="shared" si="66"/>
        <v>1034362.1487000001</v>
      </c>
      <c r="H193" s="30">
        <f t="shared" si="66"/>
        <v>122903.50099999999</v>
      </c>
      <c r="I193" s="455">
        <f t="shared" si="66"/>
        <v>1157265.6497000002</v>
      </c>
      <c r="J193" s="30">
        <f t="shared" si="66"/>
        <v>930450</v>
      </c>
      <c r="K193" s="30">
        <f t="shared" si="66"/>
        <v>597</v>
      </c>
      <c r="L193" s="28">
        <f t="shared" si="57"/>
        <v>7214.8541416434</v>
      </c>
      <c r="M193" s="28">
        <f t="shared" si="58"/>
        <v>857.27308788974779</v>
      </c>
      <c r="N193" s="461">
        <f t="shared" si="59"/>
        <v>8072.1272295331482</v>
      </c>
      <c r="O193" s="349">
        <f t="shared" si="53"/>
        <v>2.3145287814121618</v>
      </c>
      <c r="P193" s="419">
        <f>SUMPRODUCT(P177:P192,E177:E192)/E193</f>
        <v>79.911279325675196</v>
      </c>
      <c r="Q193" s="419">
        <f t="shared" si="52"/>
        <v>27.721626332944769</v>
      </c>
    </row>
    <row r="194" spans="2:17" hidden="1" x14ac:dyDescent="0.2">
      <c r="B194" s="8" t="s">
        <v>68</v>
      </c>
      <c r="C194" s="5">
        <v>2</v>
      </c>
      <c r="D194" s="354" t="s">
        <v>9</v>
      </c>
      <c r="E194" s="30">
        <v>9881935</v>
      </c>
      <c r="F194" s="31">
        <v>601.85955000000001</v>
      </c>
      <c r="G194" s="31">
        <v>50473.377</v>
      </c>
      <c r="H194" s="31">
        <v>733.12302</v>
      </c>
      <c r="I194" s="457">
        <f t="shared" ref="I194:I201" si="67">G194+H194</f>
        <v>51206.500019999999</v>
      </c>
      <c r="J194" s="30">
        <v>38504</v>
      </c>
      <c r="K194" s="33">
        <v>2</v>
      </c>
      <c r="L194" s="28">
        <f t="shared" si="57"/>
        <v>167.72476900964682</v>
      </c>
      <c r="M194" s="28">
        <f t="shared" si="58"/>
        <v>2.4361930287556288</v>
      </c>
      <c r="N194" s="461">
        <f t="shared" si="59"/>
        <v>170.16096203840249</v>
      </c>
      <c r="O194" s="349">
        <f t="shared" ref="O194:O201" si="68">IF(OR(F194 = 0, K194 = 0),1,(K194/J194)/(F194/E194))</f>
        <v>0.85284672061179556</v>
      </c>
      <c r="P194" s="419">
        <f t="shared" si="51"/>
        <v>5.1942655308539374</v>
      </c>
      <c r="Q194" s="419">
        <f t="shared" si="52"/>
        <v>6.0905030239522926</v>
      </c>
    </row>
    <row r="195" spans="2:17" hidden="1" x14ac:dyDescent="0.2">
      <c r="B195" s="8" t="s">
        <v>68</v>
      </c>
      <c r="C195" s="5">
        <v>2</v>
      </c>
      <c r="D195" s="354" t="s">
        <v>10</v>
      </c>
      <c r="E195" s="30">
        <v>20056351</v>
      </c>
      <c r="F195" s="31">
        <v>876.78449999999998</v>
      </c>
      <c r="G195" s="31">
        <v>66353.562999999995</v>
      </c>
      <c r="H195" s="31">
        <v>10567.6281</v>
      </c>
      <c r="I195" s="457">
        <f t="shared" si="67"/>
        <v>76921.191099999996</v>
      </c>
      <c r="J195" s="30">
        <v>73835</v>
      </c>
      <c r="K195" s="33">
        <v>5</v>
      </c>
      <c r="L195" s="28">
        <f t="shared" si="57"/>
        <v>378.39151467663947</v>
      </c>
      <c r="M195" s="28">
        <f t="shared" si="58"/>
        <v>60.263543094112634</v>
      </c>
      <c r="N195" s="461">
        <f t="shared" si="59"/>
        <v>438.65505777075202</v>
      </c>
      <c r="O195" s="349">
        <f t="shared" si="68"/>
        <v>1.5490548040287935</v>
      </c>
      <c r="P195" s="419">
        <f t="shared" si="51"/>
        <v>6.7718561657750387</v>
      </c>
      <c r="Q195" s="419">
        <f t="shared" si="52"/>
        <v>4.3716052835333805</v>
      </c>
    </row>
    <row r="196" spans="2:17" hidden="1" x14ac:dyDescent="0.2">
      <c r="B196" s="8" t="s">
        <v>68</v>
      </c>
      <c r="C196" s="5">
        <v>2</v>
      </c>
      <c r="D196" s="354" t="s">
        <v>11</v>
      </c>
      <c r="E196" s="30">
        <v>31774758</v>
      </c>
      <c r="F196" s="31">
        <v>10568.80161</v>
      </c>
      <c r="G196" s="31">
        <v>674812.23300000001</v>
      </c>
      <c r="H196" s="31">
        <v>50915.707289999998</v>
      </c>
      <c r="I196" s="457">
        <f t="shared" si="67"/>
        <v>725727.94029000006</v>
      </c>
      <c r="J196" s="30">
        <v>110381</v>
      </c>
      <c r="K196" s="33">
        <v>18</v>
      </c>
      <c r="L196" s="28">
        <f t="shared" si="57"/>
        <v>1149.2902073691209</v>
      </c>
      <c r="M196" s="28">
        <f t="shared" si="58"/>
        <v>86.71586098776244</v>
      </c>
      <c r="N196" s="461">
        <f t="shared" si="59"/>
        <v>1236.0060683568836</v>
      </c>
      <c r="O196" s="349">
        <f t="shared" si="68"/>
        <v>0.49026928598006358</v>
      </c>
      <c r="P196" s="419">
        <f t="shared" si="51"/>
        <v>16.307154310977431</v>
      </c>
      <c r="Q196" s="419">
        <f t="shared" si="52"/>
        <v>33.261627389892318</v>
      </c>
    </row>
    <row r="197" spans="2:17" hidden="1" x14ac:dyDescent="0.2">
      <c r="B197" s="8" t="s">
        <v>68</v>
      </c>
      <c r="C197" s="5">
        <v>2</v>
      </c>
      <c r="D197" s="354" t="s">
        <v>12</v>
      </c>
      <c r="E197" s="30">
        <v>30600206</v>
      </c>
      <c r="F197" s="31">
        <v>6404.7599600000003</v>
      </c>
      <c r="G197" s="31">
        <v>313385.84700000001</v>
      </c>
      <c r="H197" s="31">
        <v>78313.285399999993</v>
      </c>
      <c r="I197" s="457">
        <f t="shared" si="67"/>
        <v>391699.1324</v>
      </c>
      <c r="J197" s="30">
        <v>87117</v>
      </c>
      <c r="K197" s="33">
        <v>21</v>
      </c>
      <c r="L197" s="28">
        <f t="shared" si="57"/>
        <v>1027.5330891557724</v>
      </c>
      <c r="M197" s="28">
        <f t="shared" si="58"/>
        <v>256.77449329420301</v>
      </c>
      <c r="N197" s="461">
        <f t="shared" si="59"/>
        <v>1284.3075824499754</v>
      </c>
      <c r="O197" s="349">
        <f t="shared" si="68"/>
        <v>1.1516960456991128</v>
      </c>
      <c r="P197" s="419">
        <f t="shared" si="51"/>
        <v>24.105513275250527</v>
      </c>
      <c r="Q197" s="419">
        <f t="shared" si="52"/>
        <v>20.930447200257408</v>
      </c>
    </row>
    <row r="198" spans="2:17" hidden="1" x14ac:dyDescent="0.2">
      <c r="B198" s="8" t="s">
        <v>68</v>
      </c>
      <c r="C198" s="5">
        <v>2</v>
      </c>
      <c r="D198" s="354" t="s">
        <v>13</v>
      </c>
      <c r="E198" s="30">
        <v>33005514</v>
      </c>
      <c r="F198" s="31">
        <v>7285.9756500000003</v>
      </c>
      <c r="G198" s="31">
        <v>254912.61900000001</v>
      </c>
      <c r="H198" s="31">
        <v>86874.873699999996</v>
      </c>
      <c r="I198" s="457">
        <f t="shared" si="67"/>
        <v>341787.4927</v>
      </c>
      <c r="J198" s="30">
        <v>82694</v>
      </c>
      <c r="K198" s="33">
        <v>26</v>
      </c>
      <c r="L198" s="28">
        <f t="shared" si="57"/>
        <v>909.65553721003721</v>
      </c>
      <c r="M198" s="28">
        <f t="shared" si="58"/>
        <v>310.01293782803128</v>
      </c>
      <c r="N198" s="461">
        <f t="shared" si="59"/>
        <v>1219.6684750380684</v>
      </c>
      <c r="O198" s="349">
        <f t="shared" si="68"/>
        <v>1.4242890427860759</v>
      </c>
      <c r="P198" s="419">
        <f t="shared" si="51"/>
        <v>31.44121701695407</v>
      </c>
      <c r="Q198" s="419">
        <f t="shared" si="52"/>
        <v>22.075025554820932</v>
      </c>
    </row>
    <row r="199" spans="2:17" hidden="1" x14ac:dyDescent="0.2">
      <c r="B199" s="8" t="s">
        <v>68</v>
      </c>
      <c r="C199" s="5">
        <v>2</v>
      </c>
      <c r="D199" s="354" t="s">
        <v>14</v>
      </c>
      <c r="E199" s="30">
        <v>15323140</v>
      </c>
      <c r="F199" s="31">
        <v>3225.5849699999999</v>
      </c>
      <c r="G199" s="31">
        <v>75921.56</v>
      </c>
      <c r="H199" s="31">
        <v>34538.895100000002</v>
      </c>
      <c r="I199" s="457">
        <f t="shared" si="67"/>
        <v>110460.45509999999</v>
      </c>
      <c r="J199" s="30">
        <v>35399</v>
      </c>
      <c r="K199" s="33">
        <v>5</v>
      </c>
      <c r="L199" s="28">
        <f t="shared" si="57"/>
        <v>117.68649827259087</v>
      </c>
      <c r="M199" s="28">
        <f t="shared" si="58"/>
        <v>53.538963352746535</v>
      </c>
      <c r="N199" s="461">
        <f t="shared" si="59"/>
        <v>171.2254616253374</v>
      </c>
      <c r="O199" s="349">
        <f t="shared" si="68"/>
        <v>0.67099346958598416</v>
      </c>
      <c r="P199" s="419">
        <f t="shared" si="51"/>
        <v>14.124692787931863</v>
      </c>
      <c r="Q199" s="419">
        <f t="shared" si="52"/>
        <v>21.050417668963409</v>
      </c>
    </row>
    <row r="200" spans="2:17" hidden="1" x14ac:dyDescent="0.2">
      <c r="B200" s="8" t="s">
        <v>68</v>
      </c>
      <c r="C200" s="5">
        <v>2</v>
      </c>
      <c r="D200" s="354" t="s">
        <v>15</v>
      </c>
      <c r="E200" s="30">
        <v>9169601</v>
      </c>
      <c r="F200" s="31">
        <v>2496.8445700000002</v>
      </c>
      <c r="G200" s="31">
        <v>37048.753199999999</v>
      </c>
      <c r="H200" s="31">
        <v>17498.146000000001</v>
      </c>
      <c r="I200" s="457">
        <f t="shared" si="67"/>
        <v>54546.8992</v>
      </c>
      <c r="J200" s="30">
        <v>20855</v>
      </c>
      <c r="K200" s="33">
        <v>5</v>
      </c>
      <c r="L200" s="28">
        <f t="shared" si="57"/>
        <v>74.191148390145869</v>
      </c>
      <c r="M200" s="28">
        <f t="shared" si="58"/>
        <v>35.040519162151924</v>
      </c>
      <c r="N200" s="461">
        <f t="shared" si="59"/>
        <v>109.23166755229781</v>
      </c>
      <c r="O200" s="349">
        <f t="shared" si="68"/>
        <v>0.88047846943039165</v>
      </c>
      <c r="P200" s="419">
        <f t="shared" ref="P200:P209" si="69">K200/J200*100000</f>
        <v>23.97506593143131</v>
      </c>
      <c r="Q200" s="419">
        <f t="shared" ref="Q200:Q210" si="70">(F200/E200)*100000</f>
        <v>27.229587961351868</v>
      </c>
    </row>
    <row r="201" spans="2:17" hidden="1" x14ac:dyDescent="0.2">
      <c r="B201" s="8" t="s">
        <v>68</v>
      </c>
      <c r="C201" s="5">
        <v>2</v>
      </c>
      <c r="D201" s="354" t="s">
        <v>16</v>
      </c>
      <c r="E201" s="30">
        <v>7152707</v>
      </c>
      <c r="F201" s="31">
        <v>2728.4766800000002</v>
      </c>
      <c r="G201" s="31">
        <v>17367.262599999998</v>
      </c>
      <c r="H201" s="31">
        <v>8307.8901000000005</v>
      </c>
      <c r="I201" s="457">
        <f t="shared" si="67"/>
        <v>25675.152699999999</v>
      </c>
      <c r="J201" s="30">
        <v>16854</v>
      </c>
      <c r="K201" s="33">
        <v>3</v>
      </c>
      <c r="L201" s="28">
        <f t="shared" si="57"/>
        <v>19.095559138148833</v>
      </c>
      <c r="M201" s="28">
        <f t="shared" si="58"/>
        <v>9.1346466263365684</v>
      </c>
      <c r="N201" s="461">
        <f t="shared" si="59"/>
        <v>28.230205764485401</v>
      </c>
      <c r="O201" s="349">
        <f t="shared" si="68"/>
        <v>0.46662548469829207</v>
      </c>
      <c r="P201" s="419">
        <f t="shared" si="69"/>
        <v>17.7999288002848</v>
      </c>
      <c r="Q201" s="419">
        <f t="shared" si="70"/>
        <v>38.146070851217594</v>
      </c>
    </row>
    <row r="202" spans="2:17" hidden="1" x14ac:dyDescent="0.2">
      <c r="B202" s="8" t="s">
        <v>68</v>
      </c>
      <c r="C202" s="5">
        <v>1</v>
      </c>
      <c r="D202" s="354" t="s">
        <v>9</v>
      </c>
      <c r="E202" s="30">
        <v>10319427</v>
      </c>
      <c r="F202" s="31">
        <v>433.45362</v>
      </c>
      <c r="G202" s="31">
        <v>36428.667000000001</v>
      </c>
      <c r="H202" s="31">
        <v>383.39546999999999</v>
      </c>
      <c r="I202" s="457">
        <f t="shared" si="56"/>
        <v>36812.062470000004</v>
      </c>
      <c r="J202" s="30">
        <v>40476</v>
      </c>
      <c r="K202" s="33">
        <v>2</v>
      </c>
      <c r="L202" s="28">
        <f t="shared" si="57"/>
        <v>168.08565123991818</v>
      </c>
      <c r="M202" s="28">
        <f t="shared" si="58"/>
        <v>1.7690264993057387</v>
      </c>
      <c r="N202" s="461">
        <f t="shared" si="59"/>
        <v>169.85467773922392</v>
      </c>
      <c r="O202" s="349">
        <f t="shared" si="53"/>
        <v>1.1763738375732198</v>
      </c>
      <c r="P202" s="419">
        <f t="shared" si="69"/>
        <v>4.941199723292816</v>
      </c>
      <c r="Q202" s="419">
        <f t="shared" si="70"/>
        <v>4.2003651946954035</v>
      </c>
    </row>
    <row r="203" spans="2:17" hidden="1" x14ac:dyDescent="0.2">
      <c r="B203" s="8" t="s">
        <v>68</v>
      </c>
      <c r="C203" s="5">
        <v>1</v>
      </c>
      <c r="D203" s="354" t="s">
        <v>10</v>
      </c>
      <c r="E203" s="30">
        <v>20969500</v>
      </c>
      <c r="F203" s="31">
        <v>553.17818999999997</v>
      </c>
      <c r="G203" s="31">
        <v>42074.254000000001</v>
      </c>
      <c r="H203" s="31">
        <v>5476.8173999999999</v>
      </c>
      <c r="I203" s="457">
        <f t="shared" si="56"/>
        <v>47551.071400000001</v>
      </c>
      <c r="J203" s="30">
        <v>76614</v>
      </c>
      <c r="K203" s="33">
        <v>1</v>
      </c>
      <c r="L203" s="28">
        <f t="shared" si="57"/>
        <v>76.059133857030787</v>
      </c>
      <c r="M203" s="28">
        <f t="shared" si="58"/>
        <v>9.9006387073937248</v>
      </c>
      <c r="N203" s="461">
        <f t="shared" si="59"/>
        <v>85.959772564424512</v>
      </c>
      <c r="O203" s="349">
        <f t="shared" si="53"/>
        <v>0.49478313600321128</v>
      </c>
      <c r="P203" s="419">
        <f t="shared" si="69"/>
        <v>1.3052444722896599</v>
      </c>
      <c r="Q203" s="419">
        <f t="shared" si="70"/>
        <v>2.6380132573499604</v>
      </c>
    </row>
    <row r="204" spans="2:17" hidden="1" x14ac:dyDescent="0.2">
      <c r="B204" s="8" t="s">
        <v>68</v>
      </c>
      <c r="C204" s="5">
        <v>1</v>
      </c>
      <c r="D204" s="354" t="s">
        <v>11</v>
      </c>
      <c r="E204" s="30">
        <v>32953433</v>
      </c>
      <c r="F204" s="31">
        <v>3644.95327</v>
      </c>
      <c r="G204" s="31">
        <v>235452.98699999999</v>
      </c>
      <c r="H204" s="31">
        <v>25088.010320000001</v>
      </c>
      <c r="I204" s="457">
        <f t="shared" si="56"/>
        <v>260540.99731999999</v>
      </c>
      <c r="J204" s="30">
        <v>116710</v>
      </c>
      <c r="K204" s="33">
        <v>8</v>
      </c>
      <c r="L204" s="28">
        <f t="shared" si="57"/>
        <v>516.7758696670478</v>
      </c>
      <c r="M204" s="28">
        <f t="shared" si="58"/>
        <v>55.063554370341762</v>
      </c>
      <c r="N204" s="461">
        <f t="shared" si="59"/>
        <v>571.83942403738956</v>
      </c>
      <c r="O204" s="349">
        <f t="shared" si="53"/>
        <v>0.61971301624000497</v>
      </c>
      <c r="P204" s="419">
        <f t="shared" si="69"/>
        <v>6.8545968640219348</v>
      </c>
      <c r="Q204" s="419">
        <f t="shared" si="70"/>
        <v>11.06092123998128</v>
      </c>
    </row>
    <row r="205" spans="2:17" hidden="1" x14ac:dyDescent="0.2">
      <c r="B205" s="8" t="s">
        <v>68</v>
      </c>
      <c r="C205" s="5">
        <v>1</v>
      </c>
      <c r="D205" s="354" t="s">
        <v>12</v>
      </c>
      <c r="E205" s="30">
        <v>30432499</v>
      </c>
      <c r="F205" s="31">
        <v>2486.0127900000002</v>
      </c>
      <c r="G205" s="31">
        <v>120677.64969999999</v>
      </c>
      <c r="H205" s="31">
        <v>37414.480000000003</v>
      </c>
      <c r="I205" s="457">
        <f t="shared" si="56"/>
        <v>158092.12969999999</v>
      </c>
      <c r="J205" s="30">
        <v>89486</v>
      </c>
      <c r="K205" s="33">
        <v>3</v>
      </c>
      <c r="L205" s="28">
        <f t="shared" si="57"/>
        <v>145.627951133751</v>
      </c>
      <c r="M205" s="28">
        <f t="shared" si="58"/>
        <v>45.149984928275458</v>
      </c>
      <c r="N205" s="461">
        <f t="shared" si="59"/>
        <v>190.77793606202641</v>
      </c>
      <c r="O205" s="349">
        <f t="shared" si="53"/>
        <v>0.41039344632764063</v>
      </c>
      <c r="P205" s="419">
        <f t="shared" si="69"/>
        <v>3.352479717497709</v>
      </c>
      <c r="Q205" s="419">
        <f t="shared" si="70"/>
        <v>8.1689406775302942</v>
      </c>
    </row>
    <row r="206" spans="2:17" hidden="1" x14ac:dyDescent="0.2">
      <c r="B206" s="8" t="s">
        <v>68</v>
      </c>
      <c r="C206" s="5">
        <v>1</v>
      </c>
      <c r="D206" s="354" t="s">
        <v>13</v>
      </c>
      <c r="E206" s="30">
        <v>31666007</v>
      </c>
      <c r="F206" s="31">
        <v>3074.8338399999998</v>
      </c>
      <c r="G206" s="31">
        <v>106881.193</v>
      </c>
      <c r="H206" s="31">
        <v>41482.393300000003</v>
      </c>
      <c r="I206" s="457">
        <f t="shared" si="56"/>
        <v>148363.5863</v>
      </c>
      <c r="J206" s="30">
        <v>81265</v>
      </c>
      <c r="K206" s="33">
        <v>8</v>
      </c>
      <c r="L206" s="28">
        <f t="shared" si="57"/>
        <v>278.07991862090353</v>
      </c>
      <c r="M206" s="28">
        <f t="shared" si="58"/>
        <v>107.92750557213853</v>
      </c>
      <c r="N206" s="461">
        <f t="shared" si="59"/>
        <v>386.00742419304208</v>
      </c>
      <c r="O206" s="349">
        <f t="shared" si="53"/>
        <v>1.0138135669437969</v>
      </c>
      <c r="P206" s="419">
        <f t="shared" si="69"/>
        <v>9.8443364301975027</v>
      </c>
      <c r="Q206" s="419">
        <f t="shared" si="70"/>
        <v>9.710203878878696</v>
      </c>
    </row>
    <row r="207" spans="2:17" hidden="1" x14ac:dyDescent="0.2">
      <c r="B207" s="8" t="s">
        <v>68</v>
      </c>
      <c r="C207" s="5">
        <v>1</v>
      </c>
      <c r="D207" s="354" t="s">
        <v>14</v>
      </c>
      <c r="E207" s="30">
        <v>13930047</v>
      </c>
      <c r="F207" s="31">
        <v>1879.3423299999999</v>
      </c>
      <c r="G207" s="31">
        <v>43886.923600000002</v>
      </c>
      <c r="H207" s="31">
        <v>16497.458200000001</v>
      </c>
      <c r="I207" s="457">
        <f t="shared" si="56"/>
        <v>60384.381800000003</v>
      </c>
      <c r="J207" s="30">
        <v>33077</v>
      </c>
      <c r="K207" s="33">
        <v>1</v>
      </c>
      <c r="L207" s="28">
        <f t="shared" si="57"/>
        <v>23.352277495925929</v>
      </c>
      <c r="M207" s="28">
        <f t="shared" si="58"/>
        <v>8.7783145926373098</v>
      </c>
      <c r="N207" s="461">
        <f t="shared" si="59"/>
        <v>32.13059208856324</v>
      </c>
      <c r="O207" s="349">
        <f t="shared" si="53"/>
        <v>0.22408901757598337</v>
      </c>
      <c r="P207" s="419">
        <f t="shared" si="69"/>
        <v>3.0232487831423649</v>
      </c>
      <c r="Q207" s="419">
        <f t="shared" si="70"/>
        <v>13.491284918134159</v>
      </c>
    </row>
    <row r="208" spans="2:17" hidden="1" x14ac:dyDescent="0.2">
      <c r="B208" s="8" t="s">
        <v>68</v>
      </c>
      <c r="C208" s="5">
        <v>1</v>
      </c>
      <c r="D208" s="354" t="s">
        <v>15</v>
      </c>
      <c r="E208" s="30">
        <v>7426360</v>
      </c>
      <c r="F208" s="31">
        <v>1772.87601</v>
      </c>
      <c r="G208" s="31">
        <v>26132.550599999999</v>
      </c>
      <c r="H208" s="31">
        <v>9523.5949099999998</v>
      </c>
      <c r="I208" s="457">
        <f>G208+H208</f>
        <v>35656.145510000002</v>
      </c>
      <c r="J208" s="30">
        <v>16815</v>
      </c>
      <c r="K208" s="33">
        <v>1</v>
      </c>
      <c r="L208" s="28">
        <f t="shared" si="57"/>
        <v>14.740202051693394</v>
      </c>
      <c r="M208" s="28">
        <f t="shared" si="58"/>
        <v>5.3718335948378018</v>
      </c>
      <c r="N208" s="461">
        <f t="shared" si="59"/>
        <v>20.112035646531201</v>
      </c>
      <c r="O208" s="349">
        <f>IF(OR(F208 = 0, K208 = 0),1,(K208/J208)/(F208/E208))</f>
        <v>0.24911550747891151</v>
      </c>
      <c r="P208" s="419">
        <f t="shared" si="69"/>
        <v>5.9470710674992571</v>
      </c>
      <c r="Q208" s="419">
        <f t="shared" si="70"/>
        <v>23.872745328801727</v>
      </c>
    </row>
    <row r="209" spans="2:17" hidden="1" x14ac:dyDescent="0.2">
      <c r="B209" s="8" t="s">
        <v>68</v>
      </c>
      <c r="C209" s="5">
        <v>1</v>
      </c>
      <c r="D209" s="354" t="s">
        <v>16</v>
      </c>
      <c r="E209" s="30">
        <v>4084053</v>
      </c>
      <c r="F209" s="31">
        <v>2295.5196900000001</v>
      </c>
      <c r="G209" s="31">
        <v>12569.330599999999</v>
      </c>
      <c r="H209" s="31">
        <v>6211.2621099999997</v>
      </c>
      <c r="I209" s="457">
        <f>G209+H209</f>
        <v>18780.592709999997</v>
      </c>
      <c r="J209" s="30">
        <v>10368</v>
      </c>
      <c r="K209" s="33">
        <v>4</v>
      </c>
      <c r="L209" s="28">
        <f t="shared" si="57"/>
        <v>21.902370351700181</v>
      </c>
      <c r="M209" s="28">
        <f t="shared" si="58"/>
        <v>10.823278296515067</v>
      </c>
      <c r="N209" s="461">
        <f t="shared" si="59"/>
        <v>32.725648648215248</v>
      </c>
      <c r="O209" s="349">
        <f>IF(OR(F209 = 0, K209 = 0),1,(K209/J209)/(F209/E209))</f>
        <v>0.68639695766734254</v>
      </c>
      <c r="P209" s="419">
        <f t="shared" si="69"/>
        <v>38.580246913580247</v>
      </c>
      <c r="Q209" s="419">
        <f t="shared" si="70"/>
        <v>56.206902554888494</v>
      </c>
    </row>
    <row r="210" spans="2:17" hidden="1" x14ac:dyDescent="0.2">
      <c r="B210" s="344" t="s">
        <v>17</v>
      </c>
      <c r="C210" s="346"/>
      <c r="D210" s="356"/>
      <c r="E210" s="347">
        <f>SUM(E194:E209)</f>
        <v>308745538</v>
      </c>
      <c r="F210" s="347">
        <f t="shared" ref="F210:K210" si="71">SUM(F194:F209)</f>
        <v>50329.257230000003</v>
      </c>
      <c r="G210" s="347">
        <f t="shared" si="71"/>
        <v>2114378.7703</v>
      </c>
      <c r="H210" s="347">
        <f t="shared" si="71"/>
        <v>429826.96041999996</v>
      </c>
      <c r="I210" s="460">
        <f t="shared" si="71"/>
        <v>2544205.7307200003</v>
      </c>
      <c r="J210" s="347">
        <f t="shared" si="71"/>
        <v>930450</v>
      </c>
      <c r="K210" s="347">
        <f t="shared" si="71"/>
        <v>113</v>
      </c>
      <c r="L210" s="348">
        <f t="shared" si="57"/>
        <v>4747.2347933138772</v>
      </c>
      <c r="M210" s="348">
        <f t="shared" si="58"/>
        <v>965.05391099847952</v>
      </c>
      <c r="N210" s="463">
        <f t="shared" si="59"/>
        <v>5712.2887043123574</v>
      </c>
      <c r="O210" s="350">
        <f>IF(OR(F210 = 0, K210 = 0),1,(K210/J210)/(F210/E210))</f>
        <v>0.7450159525290555</v>
      </c>
      <c r="P210" s="420">
        <f>SUMPRODUCT(P194:P209,E194:E209)/E210</f>
        <v>12.975431261054815</v>
      </c>
      <c r="Q210" s="420">
        <f t="shared" si="70"/>
        <v>16.301209583796478</v>
      </c>
    </row>
    <row r="211" spans="2:17" x14ac:dyDescent="0.2">
      <c r="B211" s="8"/>
      <c r="C211" s="5"/>
      <c r="D211" s="5"/>
    </row>
    <row r="212" spans="2:17" x14ac:dyDescent="0.2">
      <c r="B212" s="4"/>
      <c r="C212" s="5"/>
      <c r="D212" s="5"/>
    </row>
    <row r="213" spans="2:17" x14ac:dyDescent="0.2">
      <c r="B213" s="389" t="s">
        <v>229</v>
      </c>
      <c r="C213" s="4"/>
      <c r="D213" s="4"/>
    </row>
    <row r="215" spans="2:17" x14ac:dyDescent="0.2">
      <c r="B215" s="8" t="s">
        <v>30</v>
      </c>
      <c r="C215" s="8" t="s">
        <v>231</v>
      </c>
      <c r="D215" s="8" t="s">
        <v>230</v>
      </c>
      <c r="E215" s="8" t="s">
        <v>181</v>
      </c>
    </row>
    <row r="216" spans="2:17" x14ac:dyDescent="0.2">
      <c r="B216" s="390">
        <f>K23+K40+K74+K108+K125+K142</f>
        <v>1789</v>
      </c>
      <c r="C216" s="390">
        <f>L23+L40+L74+L108+L125+L142</f>
        <v>22509.011884608044</v>
      </c>
      <c r="D216" s="390">
        <f>M23+M40+M74+M108+M125+M142</f>
        <v>17567.708682521254</v>
      </c>
      <c r="E216" s="390">
        <f>N23+N40+N74+N108+N125+N142</f>
        <v>40076.720567129298</v>
      </c>
    </row>
    <row r="217" spans="2:17" x14ac:dyDescent="0.2">
      <c r="C217" s="5"/>
      <c r="D217" s="5"/>
    </row>
    <row r="218" spans="2:17" x14ac:dyDescent="0.2">
      <c r="C218" s="5"/>
      <c r="D218" s="5"/>
    </row>
    <row r="219" spans="2:17" x14ac:dyDescent="0.2">
      <c r="B219" s="4"/>
      <c r="C219" s="5"/>
      <c r="D219" s="9"/>
    </row>
    <row r="220" spans="2:17" x14ac:dyDescent="0.2">
      <c r="B220" s="4"/>
      <c r="C220" s="5"/>
      <c r="D220" s="5"/>
    </row>
    <row r="221" spans="2:17" x14ac:dyDescent="0.2">
      <c r="B221" s="4"/>
      <c r="C221" s="5"/>
      <c r="D221" s="5"/>
    </row>
    <row r="222" spans="2:17" x14ac:dyDescent="0.2">
      <c r="B222" s="4"/>
      <c r="C222" s="5"/>
      <c r="D222" s="5"/>
    </row>
    <row r="223" spans="2:17" x14ac:dyDescent="0.2">
      <c r="B223" s="4"/>
      <c r="C223" s="5"/>
      <c r="D223" s="5"/>
    </row>
    <row r="224" spans="2:17" x14ac:dyDescent="0.2">
      <c r="B224" s="4"/>
      <c r="C224" s="5"/>
      <c r="D224" s="5"/>
    </row>
    <row r="225" spans="2:4" x14ac:dyDescent="0.2">
      <c r="B225" s="4"/>
      <c r="C225" s="5"/>
      <c r="D225" s="5"/>
    </row>
    <row r="226" spans="2:4" x14ac:dyDescent="0.2">
      <c r="B226" s="4"/>
      <c r="C226" s="5"/>
      <c r="D226" s="5"/>
    </row>
    <row r="227" spans="2:4" x14ac:dyDescent="0.2">
      <c r="B227" s="4"/>
      <c r="C227" s="5"/>
      <c r="D227" s="5"/>
    </row>
    <row r="228" spans="2:4" x14ac:dyDescent="0.2">
      <c r="B228" s="4"/>
      <c r="C228" s="5"/>
      <c r="D228" s="5"/>
    </row>
    <row r="229" spans="2:4" x14ac:dyDescent="0.2">
      <c r="B229" s="4"/>
      <c r="C229" s="5"/>
      <c r="D229" s="5"/>
    </row>
    <row r="230" spans="2:4" x14ac:dyDescent="0.2">
      <c r="B230" s="4"/>
      <c r="C230" s="5"/>
      <c r="D230" s="5"/>
    </row>
    <row r="231" spans="2:4" x14ac:dyDescent="0.2">
      <c r="B231" s="4"/>
      <c r="C231" s="5"/>
      <c r="D231" s="5"/>
    </row>
    <row r="232" spans="2:4" x14ac:dyDescent="0.2">
      <c r="B232" s="4"/>
      <c r="C232" s="5"/>
      <c r="D232" s="5"/>
    </row>
    <row r="233" spans="2:4" x14ac:dyDescent="0.2">
      <c r="B233" s="10"/>
      <c r="C233" s="10"/>
      <c r="D233" s="5"/>
    </row>
  </sheetData>
  <mergeCells count="4">
    <mergeCell ref="O5:O6"/>
    <mergeCell ref="E5:I5"/>
    <mergeCell ref="J5:N5"/>
    <mergeCell ref="P4:Q5"/>
  </mergeCells>
  <dataValidations disablePrompts="1" count="1">
    <dataValidation type="list" allowBlank="1" showInputMessage="1" showErrorMessage="1" sqref="J5:N5">
      <formula1>$Y$5:$Y$6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3"/>
  <sheetViews>
    <sheetView showGridLines="0" workbookViewId="0">
      <selection activeCell="E15" sqref="E15"/>
    </sheetView>
  </sheetViews>
  <sheetFormatPr defaultRowHeight="12.75" x14ac:dyDescent="0.2"/>
  <cols>
    <col min="1" max="1" width="3.5703125" style="502" customWidth="1"/>
    <col min="2" max="2" width="14" style="502" customWidth="1"/>
    <col min="3" max="3" width="14.7109375" style="502" customWidth="1"/>
    <col min="4" max="9" width="10.7109375" style="502" customWidth="1"/>
    <col min="10" max="11" width="5.7109375" style="502" customWidth="1"/>
    <col min="12" max="12" width="6.140625" style="502" customWidth="1"/>
    <col min="13" max="13" width="6" style="502" customWidth="1"/>
    <col min="14" max="15" width="7.7109375" style="502" customWidth="1"/>
    <col min="16" max="16" width="2.5703125" style="502" customWidth="1"/>
    <col min="17" max="18" width="0" style="502" hidden="1" customWidth="1"/>
    <col min="19" max="16384" width="9.140625" style="502"/>
  </cols>
  <sheetData>
    <row r="1" spans="1:20" x14ac:dyDescent="0.2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20" ht="12.75" customHeight="1" x14ac:dyDescent="0.2">
      <c r="A2" s="37"/>
      <c r="B2" s="151" t="s">
        <v>208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R2" s="122" t="s">
        <v>283</v>
      </c>
    </row>
    <row r="3" spans="1:20" ht="13.5" customHeight="1" x14ac:dyDescent="0.2">
      <c r="A3" s="37"/>
      <c r="B3" s="153"/>
      <c r="C3" s="153"/>
      <c r="D3" s="153"/>
      <c r="E3" s="153"/>
      <c r="F3" s="153"/>
      <c r="G3" s="153"/>
      <c r="H3" s="153"/>
      <c r="I3" s="153"/>
      <c r="J3" s="151"/>
      <c r="K3" s="151"/>
      <c r="L3" s="151"/>
      <c r="M3" s="151"/>
      <c r="N3" s="151"/>
    </row>
    <row r="4" spans="1:20" ht="12.75" customHeight="1" x14ac:dyDescent="0.2">
      <c r="A4" s="37"/>
      <c r="B4" s="309"/>
      <c r="C4" s="489" t="s">
        <v>102</v>
      </c>
      <c r="D4" s="467" t="s">
        <v>93</v>
      </c>
      <c r="E4" s="468" t="s">
        <v>96</v>
      </c>
      <c r="F4" s="468" t="s">
        <v>97</v>
      </c>
      <c r="G4" s="468" t="s">
        <v>98</v>
      </c>
      <c r="H4" s="469" t="s">
        <v>100</v>
      </c>
      <c r="I4" s="470" t="s">
        <v>213</v>
      </c>
      <c r="Q4" s="310" t="s">
        <v>209</v>
      </c>
      <c r="R4" s="502" t="s">
        <v>284</v>
      </c>
      <c r="T4" s="37"/>
    </row>
    <row r="5" spans="1:20" ht="12.75" customHeight="1" x14ac:dyDescent="0.2">
      <c r="A5" s="37"/>
      <c r="B5" s="513" t="s">
        <v>290</v>
      </c>
      <c r="C5" s="307" t="s">
        <v>71</v>
      </c>
      <c r="D5" s="84">
        <f t="shared" ref="D5:H6" si="0">(D7/D9/60)^-1</f>
        <v>3.9821251686974088</v>
      </c>
      <c r="E5" s="84">
        <f t="shared" si="0"/>
        <v>9.0113569635417452</v>
      </c>
      <c r="F5" s="84">
        <f t="shared" si="0"/>
        <v>8.7600287254152374</v>
      </c>
      <c r="G5" s="84">
        <f t="shared" si="0"/>
        <v>8.932500319012199</v>
      </c>
      <c r="H5" s="84">
        <f t="shared" si="0"/>
        <v>9.4450969912717397</v>
      </c>
      <c r="I5" s="466">
        <f>IF(($I$4="Baseline"),D5,IF(($I$4="A"),E5,IF(($I$4="B"),F5,IF(($I$4="C"),G5,IF(($I$4="D"),H5,"")))))</f>
        <v>9.4450969912717397</v>
      </c>
      <c r="Q5" s="502" t="s">
        <v>99</v>
      </c>
      <c r="R5" s="352" t="s">
        <v>9</v>
      </c>
      <c r="T5" s="501"/>
    </row>
    <row r="6" spans="1:20" x14ac:dyDescent="0.2">
      <c r="A6" s="37"/>
      <c r="B6" s="514"/>
      <c r="C6" s="478" t="s">
        <v>289</v>
      </c>
      <c r="D6" s="86">
        <f t="shared" si="0"/>
        <v>1.5738482511686873</v>
      </c>
      <c r="E6" s="86">
        <f t="shared" si="0"/>
        <v>2.6454470332144204</v>
      </c>
      <c r="F6" s="86">
        <f t="shared" si="0"/>
        <v>2.6297634741490068</v>
      </c>
      <c r="G6" s="86">
        <f t="shared" si="0"/>
        <v>2.6772250602532046</v>
      </c>
      <c r="H6" s="86">
        <f t="shared" si="0"/>
        <v>2.6856577338662455</v>
      </c>
      <c r="I6" s="466">
        <f>IF(($I$4="Baseline"),D6,IF(($I$4="A"),E6,IF(($I$4="B"),F6,IF(($I$4="C"),G6,IF(($I$4="D"),H6,"")))))</f>
        <v>2.6856577338662455</v>
      </c>
      <c r="Q6" s="502" t="s">
        <v>210</v>
      </c>
      <c r="R6" s="352" t="s">
        <v>10</v>
      </c>
      <c r="T6" s="464"/>
    </row>
    <row r="7" spans="1:20" x14ac:dyDescent="0.2">
      <c r="A7" s="37"/>
      <c r="B7" s="515" t="s">
        <v>291</v>
      </c>
      <c r="C7" s="477" t="s">
        <v>71</v>
      </c>
      <c r="D7" s="84">
        <v>2.4608236917080526</v>
      </c>
      <c r="E7" s="84">
        <v>2.4608236917080526</v>
      </c>
      <c r="F7" s="84">
        <v>2.4608236917080526</v>
      </c>
      <c r="G7" s="84">
        <v>2.4608236917080526</v>
      </c>
      <c r="H7" s="84">
        <v>2.4608236917080526</v>
      </c>
      <c r="I7" s="471">
        <f t="shared" ref="I7:I8" si="1">I9/(I5/60)</f>
        <v>2.4608236917080526</v>
      </c>
      <c r="Q7" s="240" t="s">
        <v>211</v>
      </c>
      <c r="R7" s="352" t="s">
        <v>11</v>
      </c>
      <c r="T7" s="464"/>
    </row>
    <row r="8" spans="1:20" x14ac:dyDescent="0.2">
      <c r="A8" s="37"/>
      <c r="B8" s="516"/>
      <c r="C8" s="478" t="s">
        <v>289</v>
      </c>
      <c r="D8" s="86">
        <v>5.4876181323572544</v>
      </c>
      <c r="E8" s="86">
        <v>5.4876181323572544</v>
      </c>
      <c r="F8" s="86">
        <v>5.4876181323572544</v>
      </c>
      <c r="G8" s="86">
        <v>5.4876181323572544</v>
      </c>
      <c r="H8" s="86">
        <v>5.4876181323572544</v>
      </c>
      <c r="I8" s="472">
        <f t="shared" si="1"/>
        <v>5.4876181323572553</v>
      </c>
      <c r="Q8" s="240" t="s">
        <v>212</v>
      </c>
      <c r="R8" s="352" t="s">
        <v>12</v>
      </c>
      <c r="T8" s="464"/>
    </row>
    <row r="9" spans="1:20" x14ac:dyDescent="0.2">
      <c r="A9" s="37"/>
      <c r="B9" s="517" t="s">
        <v>292</v>
      </c>
      <c r="C9" s="307" t="s">
        <v>71</v>
      </c>
      <c r="D9" s="84">
        <v>0.16332179930795848</v>
      </c>
      <c r="E9" s="84">
        <v>0.36958934517203107</v>
      </c>
      <c r="F9" s="84">
        <v>0.3592814371257485</v>
      </c>
      <c r="G9" s="84">
        <v>0.3663551401869159</v>
      </c>
      <c r="H9" s="84">
        <v>0.38737864077669903</v>
      </c>
      <c r="I9" s="466">
        <f>IF(($I$4="Baseline"),D9,IF(($I$4="A"),E9,IF(($I$4="B"),F9,IF(($I$4="C"),G9,IF(($I$4="D"),H9,"")))))</f>
        <v>0.38737864077669903</v>
      </c>
      <c r="Q9" s="41" t="s">
        <v>213</v>
      </c>
      <c r="R9" s="352" t="s">
        <v>13</v>
      </c>
      <c r="T9" s="464"/>
    </row>
    <row r="10" spans="1:20" x14ac:dyDescent="0.2">
      <c r="A10" s="37"/>
      <c r="B10" s="514"/>
      <c r="C10" s="476" t="s">
        <v>289</v>
      </c>
      <c r="D10" s="86">
        <v>0.1439446366782007</v>
      </c>
      <c r="E10" s="86">
        <v>0.24195338512763595</v>
      </c>
      <c r="F10" s="86">
        <v>0.2405189620758483</v>
      </c>
      <c r="G10" s="86">
        <v>0.24485981308411214</v>
      </c>
      <c r="H10" s="86">
        <v>0.24563106796116504</v>
      </c>
      <c r="I10" s="466">
        <f>IF(($I$4="Baseline"),D10,IF(($I$4="A"),E10,IF(($I$4="B"),F10,IF(($I$4="C"),G10,IF(($I$4="D"),H10,"")))))</f>
        <v>0.24563106796116504</v>
      </c>
      <c r="R10" s="352" t="s">
        <v>14</v>
      </c>
      <c r="T10" s="464"/>
    </row>
    <row r="11" spans="1:20" x14ac:dyDescent="0.2">
      <c r="A11" s="37"/>
      <c r="B11" s="518" t="s">
        <v>119</v>
      </c>
      <c r="C11" s="519"/>
      <c r="D11" s="473">
        <f t="shared" ref="D11:I11" si="2">(-0.0108*(D5+D6)+1.2682+0.68)</f>
        <v>1.8881954870654463</v>
      </c>
      <c r="E11" s="474">
        <f t="shared" si="2"/>
        <v>1.8223065168350336</v>
      </c>
      <c r="F11" s="474">
        <f t="shared" si="2"/>
        <v>1.8251902442447063</v>
      </c>
      <c r="G11" s="474">
        <f t="shared" si="2"/>
        <v>1.8228149659039339</v>
      </c>
      <c r="H11" s="474">
        <f t="shared" si="2"/>
        <v>1.8171878489685098</v>
      </c>
      <c r="I11" s="475">
        <f t="shared" si="2"/>
        <v>1.8171878489685098</v>
      </c>
      <c r="R11" s="352" t="s">
        <v>15</v>
      </c>
      <c r="T11" s="464"/>
    </row>
    <row r="12" spans="1:20" x14ac:dyDescent="0.2">
      <c r="R12" s="352" t="s">
        <v>16</v>
      </c>
      <c r="T12" s="464"/>
    </row>
    <row r="13" spans="1:20" ht="12.75" customHeight="1" x14ac:dyDescent="0.2">
      <c r="A13" s="37"/>
      <c r="B13" s="309"/>
      <c r="C13" s="489" t="s">
        <v>102</v>
      </c>
      <c r="D13" s="467" t="s">
        <v>93</v>
      </c>
      <c r="E13" s="468" t="s">
        <v>96</v>
      </c>
      <c r="F13" s="468" t="s">
        <v>97</v>
      </c>
      <c r="G13" s="468" t="s">
        <v>98</v>
      </c>
      <c r="H13" s="469" t="s">
        <v>100</v>
      </c>
      <c r="J13" s="310"/>
      <c r="R13" s="352" t="s">
        <v>9</v>
      </c>
      <c r="T13" s="464"/>
    </row>
    <row r="14" spans="1:20" ht="12.75" customHeight="1" x14ac:dyDescent="0.2">
      <c r="A14" s="37"/>
      <c r="B14" s="513" t="s">
        <v>290</v>
      </c>
      <c r="C14" s="307" t="s">
        <v>71</v>
      </c>
      <c r="D14" s="600">
        <f>SUM('CHTS 2013'!$W$86:$X$93)/SUM('CHTS 2013'!$Q$86:$R$93)</f>
        <v>4.5929857267603449</v>
      </c>
      <c r="E14" s="465">
        <f>$D$14*(1+$D$38)+1</f>
        <v>6.4940475275371385</v>
      </c>
      <c r="F14" s="465">
        <f>$D$14*(1+$E$38)+1</f>
        <v>6.3505918420958913</v>
      </c>
      <c r="G14" s="465">
        <f>$D$14*(1+$F$38)+1</f>
        <v>6.408584565997673</v>
      </c>
      <c r="H14" s="465">
        <f>$D$14*(1+$G$38)+1</f>
        <v>6.7046526827593951</v>
      </c>
      <c r="J14" s="310"/>
      <c r="R14" s="352" t="s">
        <v>10</v>
      </c>
      <c r="T14" s="464"/>
    </row>
    <row r="15" spans="1:20" x14ac:dyDescent="0.2">
      <c r="B15" s="514"/>
      <c r="C15" s="478" t="s">
        <v>289</v>
      </c>
      <c r="D15" s="600">
        <f>SUM('CHTS 2013'!$W$22:$X$29)/SUM('CHTS 2013'!$Q$22:$R$29)</f>
        <v>0.50889593610553019</v>
      </c>
      <c r="E15" s="465">
        <f>$D$15*(1+$D$39)+1</f>
        <v>1.5630428093715656</v>
      </c>
      <c r="F15" s="465">
        <f>$D$15*(1+$E$39)+1</f>
        <v>1.5541682291888264</v>
      </c>
      <c r="G15" s="465">
        <f>$D$15*(1+$F$39)+1</f>
        <v>1.5590985515125704</v>
      </c>
      <c r="H15" s="465">
        <f>$D$15*(1+$G$39)+1</f>
        <v>1.584736227596039</v>
      </c>
      <c r="R15" s="352" t="s">
        <v>11</v>
      </c>
      <c r="T15" s="464"/>
    </row>
    <row r="16" spans="1:20" ht="12" customHeight="1" x14ac:dyDescent="0.2">
      <c r="B16" s="515" t="s">
        <v>291</v>
      </c>
      <c r="C16" s="477" t="s">
        <v>71</v>
      </c>
      <c r="D16" s="497">
        <f t="shared" ref="D16:H17" si="3">D18/(D14/60)</f>
        <v>2.4608236917080526</v>
      </c>
      <c r="E16" s="498">
        <f t="shared" si="3"/>
        <v>2.5438499255022533</v>
      </c>
      <c r="F16" s="498">
        <f t="shared" si="3"/>
        <v>2.5457254334194213</v>
      </c>
      <c r="G16" s="498">
        <f t="shared" si="3"/>
        <v>2.5449571384527019</v>
      </c>
      <c r="H16" s="498">
        <f t="shared" si="3"/>
        <v>2.541241922719244</v>
      </c>
      <c r="J16" s="38"/>
      <c r="R16" s="352" t="s">
        <v>12</v>
      </c>
      <c r="T16" s="464"/>
    </row>
    <row r="17" spans="2:20" x14ac:dyDescent="0.2">
      <c r="B17" s="516"/>
      <c r="C17" s="478" t="s">
        <v>289</v>
      </c>
      <c r="D17" s="499">
        <f t="shared" si="3"/>
        <v>5.4876181323572544</v>
      </c>
      <c r="E17" s="500">
        <f t="shared" si="3"/>
        <v>5.8154286469321903</v>
      </c>
      <c r="F17" s="500">
        <f t="shared" si="3"/>
        <v>5.8173005039433567</v>
      </c>
      <c r="G17" s="500">
        <f t="shared" si="3"/>
        <v>5.8162579525569829</v>
      </c>
      <c r="H17" s="500">
        <f t="shared" si="3"/>
        <v>5.8109412562439369</v>
      </c>
      <c r="J17" s="308"/>
      <c r="R17" s="352" t="s">
        <v>13</v>
      </c>
      <c r="T17" s="464"/>
    </row>
    <row r="18" spans="2:20" x14ac:dyDescent="0.2">
      <c r="B18" s="517" t="s">
        <v>292</v>
      </c>
      <c r="C18" s="307" t="s">
        <v>71</v>
      </c>
      <c r="D18" s="599">
        <f>SUM('CHTS 2013'!$S$86:$T$93)/SUM('CHTS 2013'!$Q$86:$R$93)</f>
        <v>0.18837546820147977</v>
      </c>
      <c r="E18" s="465">
        <f>D18*(1+$D$38)+0.05</f>
        <v>0.27533137198555735</v>
      </c>
      <c r="F18" s="465">
        <f>D18*(1+$E$38)+0.05</f>
        <v>0.26944771949482338</v>
      </c>
      <c r="G18" s="465">
        <f>D18*(1+$F$38)+0.05</f>
        <v>0.27182621731022649</v>
      </c>
      <c r="H18" s="465">
        <f>D18*(1+$G$38)+0.05</f>
        <v>0.28396907457833703</v>
      </c>
      <c r="J18" s="41"/>
      <c r="R18" s="352" t="s">
        <v>14</v>
      </c>
      <c r="T18" s="464"/>
    </row>
    <row r="19" spans="2:20" x14ac:dyDescent="0.2">
      <c r="B19" s="514"/>
      <c r="C19" s="476" t="s">
        <v>289</v>
      </c>
      <c r="D19" s="599">
        <f>SUM('CHTS 2013'!$S$22:$T$29)/SUM('CHTS 2013'!$Q$22:$R$29)</f>
        <v>4.6543776107593776E-2</v>
      </c>
      <c r="E19" s="465">
        <f>D19*(1+$D$39)+0.1</f>
        <v>0.15149606550001288</v>
      </c>
      <c r="F19" s="465">
        <f>D19*(1+$E$39)+0.1</f>
        <v>0.15068439371454856</v>
      </c>
      <c r="G19" s="465">
        <f>D19*(1+$F$39)+0.1</f>
        <v>0.15113532248425099</v>
      </c>
      <c r="H19" s="465">
        <f>D19*(1+$G$39)+0.1</f>
        <v>0.1534801520867034</v>
      </c>
      <c r="J19" s="41"/>
      <c r="R19" s="352" t="s">
        <v>15</v>
      </c>
      <c r="T19" s="464"/>
    </row>
    <row r="20" spans="2:20" ht="12.75" customHeight="1" x14ac:dyDescent="0.2">
      <c r="B20" s="518" t="s">
        <v>119</v>
      </c>
      <c r="C20" s="519"/>
      <c r="D20" s="473">
        <f>(-0.0108*(D14+D15)+1.2682+0.68)</f>
        <v>1.8930996780410485</v>
      </c>
      <c r="E20" s="474">
        <f>(-0.0108*(E14+E15)+1.2682+0.68)</f>
        <v>1.8611834243613861</v>
      </c>
      <c r="F20" s="474">
        <f>(-0.0108*(F14+F15)+1.2682+0.68)</f>
        <v>1.8628285912301252</v>
      </c>
      <c r="G20" s="474">
        <f>(-0.0108*(G14+G15)+1.2682+0.68)</f>
        <v>1.8621490223308896</v>
      </c>
      <c r="H20" s="474">
        <f>(-0.0108*(H14+H15)+1.2682+0.68)</f>
        <v>1.8586745997681615</v>
      </c>
      <c r="J20" s="41"/>
      <c r="R20" s="352" t="s">
        <v>16</v>
      </c>
      <c r="T20" s="464"/>
    </row>
    <row r="21" spans="2:20" x14ac:dyDescent="0.2">
      <c r="J21" s="308"/>
    </row>
    <row r="22" spans="2:20" x14ac:dyDescent="0.2">
      <c r="B22" s="508"/>
      <c r="C22" s="260"/>
    </row>
    <row r="23" spans="2:20" x14ac:dyDescent="0.2">
      <c r="B23" s="502" t="s">
        <v>281</v>
      </c>
      <c r="K23" s="38"/>
    </row>
    <row r="24" spans="2:20" x14ac:dyDescent="0.2">
      <c r="B24" s="511"/>
      <c r="C24" s="240">
        <v>2008</v>
      </c>
      <c r="D24" s="240" t="s">
        <v>210</v>
      </c>
      <c r="E24" s="240" t="s">
        <v>211</v>
      </c>
      <c r="F24" s="240" t="s">
        <v>212</v>
      </c>
      <c r="G24" s="240" t="s">
        <v>213</v>
      </c>
      <c r="H24" s="240"/>
      <c r="K24" s="308"/>
    </row>
    <row r="25" spans="2:20" ht="12.75" customHeight="1" x14ac:dyDescent="0.2">
      <c r="B25" s="511" t="s">
        <v>113</v>
      </c>
      <c r="C25" s="240">
        <v>106189</v>
      </c>
      <c r="D25" s="428">
        <v>180000</v>
      </c>
      <c r="E25" s="428">
        <v>175300</v>
      </c>
      <c r="F25" s="428">
        <v>177200</v>
      </c>
      <c r="G25" s="428">
        <v>186900</v>
      </c>
      <c r="H25" s="308"/>
      <c r="K25" s="41"/>
    </row>
    <row r="26" spans="2:20" x14ac:dyDescent="0.2">
      <c r="B26" s="511" t="s">
        <v>105</v>
      </c>
      <c r="C26" s="41">
        <v>36419</v>
      </c>
      <c r="D26" s="41">
        <v>57100</v>
      </c>
      <c r="E26" s="41">
        <v>56200</v>
      </c>
      <c r="F26" s="41">
        <v>56700</v>
      </c>
      <c r="G26" s="41">
        <v>59300</v>
      </c>
      <c r="H26" s="41"/>
      <c r="I26" s="41"/>
      <c r="K26" s="41"/>
    </row>
    <row r="27" spans="2:20" ht="12.75" customHeight="1" x14ac:dyDescent="0.2">
      <c r="B27" s="511" t="s">
        <v>273</v>
      </c>
      <c r="C27" s="240">
        <v>33426</v>
      </c>
      <c r="D27" s="240">
        <v>49200</v>
      </c>
      <c r="E27" s="240">
        <v>47200</v>
      </c>
      <c r="F27" s="240">
        <v>48800</v>
      </c>
      <c r="G27" s="240">
        <v>51400</v>
      </c>
      <c r="H27" s="240"/>
      <c r="I27" s="41"/>
      <c r="K27" s="41"/>
      <c r="L27" s="310"/>
      <c r="M27" s="310"/>
      <c r="N27" s="310"/>
      <c r="O27" s="152"/>
    </row>
    <row r="28" spans="2:20" x14ac:dyDescent="0.2">
      <c r="B28" s="511"/>
      <c r="C28" s="240"/>
      <c r="D28" s="240"/>
      <c r="E28" s="240"/>
      <c r="F28" s="240"/>
      <c r="G28" s="240"/>
      <c r="H28" s="240"/>
      <c r="I28" s="41"/>
      <c r="K28" s="42"/>
      <c r="L28" s="310"/>
      <c r="M28" s="310"/>
      <c r="N28" s="310"/>
      <c r="O28" s="152"/>
    </row>
    <row r="29" spans="2:20" x14ac:dyDescent="0.2">
      <c r="B29" s="512"/>
      <c r="C29" s="503"/>
      <c r="D29" s="308"/>
      <c r="E29" s="308"/>
      <c r="F29" s="308"/>
      <c r="G29" s="308"/>
      <c r="H29" s="308"/>
      <c r="I29" s="308"/>
      <c r="K29" s="42"/>
    </row>
    <row r="30" spans="2:20" x14ac:dyDescent="0.2">
      <c r="B30" s="512" t="s">
        <v>29</v>
      </c>
      <c r="C30" s="512">
        <v>930450</v>
      </c>
      <c r="D30" s="308">
        <v>1318526</v>
      </c>
      <c r="E30" s="308"/>
      <c r="F30" s="308"/>
      <c r="G30" s="308"/>
      <c r="H30" s="308"/>
      <c r="I30" s="308"/>
      <c r="L30" s="38"/>
      <c r="M30" s="38"/>
      <c r="N30" s="38"/>
      <c r="O30" s="38"/>
      <c r="P30" s="38"/>
    </row>
    <row r="32" spans="2:20" x14ac:dyDescent="0.2">
      <c r="B32" s="37"/>
      <c r="C32" s="37"/>
      <c r="D32" s="37"/>
    </row>
    <row r="33" spans="2:8" x14ac:dyDescent="0.2">
      <c r="B33" s="36" t="s">
        <v>113</v>
      </c>
      <c r="C33" s="425">
        <v>0.1141264979311086</v>
      </c>
      <c r="D33" s="426">
        <v>0.13651607931887577</v>
      </c>
      <c r="E33" s="52">
        <v>0.13295149280332735</v>
      </c>
      <c r="F33" s="52">
        <v>0.13439249586280438</v>
      </c>
      <c r="G33" s="52">
        <v>0.14174919569276601</v>
      </c>
      <c r="H33" s="52"/>
    </row>
    <row r="34" spans="2:8" x14ac:dyDescent="0.2">
      <c r="B34" s="502" t="s">
        <v>105</v>
      </c>
      <c r="C34" s="425">
        <v>3.914127572679886E-2</v>
      </c>
      <c r="D34" s="425">
        <v>4.3305934050598925E-2</v>
      </c>
      <c r="E34" s="52">
        <v>4.2623353654004548E-2</v>
      </c>
      <c r="F34" s="52">
        <v>4.3002564985445871E-2</v>
      </c>
      <c r="G34" s="52">
        <v>4.4974463908940741E-2</v>
      </c>
      <c r="H34" s="52"/>
    </row>
    <row r="35" spans="2:8" x14ac:dyDescent="0.2">
      <c r="B35" s="502" t="s">
        <v>273</v>
      </c>
      <c r="C35" s="427">
        <v>3.592455263582138E-2</v>
      </c>
      <c r="D35" s="425">
        <v>3.7314395013826045E-2</v>
      </c>
      <c r="E35" s="52">
        <v>3.5797549688060759E-2</v>
      </c>
      <c r="F35" s="52">
        <v>3.701102594867299E-2</v>
      </c>
      <c r="G35" s="52">
        <v>3.8982924872167861E-2</v>
      </c>
      <c r="H35" s="52"/>
    </row>
    <row r="37" spans="2:8" x14ac:dyDescent="0.2">
      <c r="D37" s="502" t="s">
        <v>210</v>
      </c>
      <c r="E37" s="502" t="s">
        <v>211</v>
      </c>
      <c r="F37" s="502" t="s">
        <v>212</v>
      </c>
      <c r="G37" s="502" t="s">
        <v>213</v>
      </c>
    </row>
    <row r="38" spans="2:8" x14ac:dyDescent="0.2">
      <c r="C38" s="36" t="s">
        <v>113</v>
      </c>
      <c r="D38" s="429">
        <f>(D33-$C$33)/$C$33</f>
        <v>0.19618214694787564</v>
      </c>
      <c r="E38" s="429">
        <f>(E33-$C$33)/$C$33</f>
        <v>0.16494850199979225</v>
      </c>
      <c r="F38" s="429">
        <f>(F33-$C$33)/$C$33</f>
        <v>0.17757486910646436</v>
      </c>
      <c r="G38" s="429">
        <f>(G33-$C$33)/$C$33</f>
        <v>0.24203579591421082</v>
      </c>
    </row>
    <row r="39" spans="2:8" x14ac:dyDescent="0.2">
      <c r="C39" s="502" t="s">
        <v>105</v>
      </c>
      <c r="D39" s="430">
        <f>(D34-$C$34)/$C$34</f>
        <v>0.10640067924379501</v>
      </c>
      <c r="E39" s="430">
        <f>(E34-$C$34)/$C$34</f>
        <v>8.896178937830615E-2</v>
      </c>
      <c r="F39" s="430">
        <f>(F34-$C$34)/$C$34</f>
        <v>9.8650061525800026E-2</v>
      </c>
      <c r="G39" s="430">
        <f>(G34-$C$34)/$C$34</f>
        <v>0.14902907669276788</v>
      </c>
    </row>
    <row r="40" spans="2:8" x14ac:dyDescent="0.2">
      <c r="C40" s="502" t="s">
        <v>273</v>
      </c>
      <c r="D40" s="430">
        <f>(D35-$C$35)/$C$35</f>
        <v>3.8687813098020704E-2</v>
      </c>
      <c r="E40" s="430">
        <f>(E35-$C$35)/$C$35</f>
        <v>-3.5352687352321497E-3</v>
      </c>
      <c r="F40" s="430">
        <f>(F35-$C$35)/$C$35</f>
        <v>3.0243196731370207E-2</v>
      </c>
      <c r="G40" s="430">
        <f>(G35-$C$35)/$C$35</f>
        <v>8.5133203114598904E-2</v>
      </c>
    </row>
    <row r="41" spans="2:8" x14ac:dyDescent="0.2">
      <c r="B41" s="38"/>
      <c r="C41" s="38"/>
      <c r="D41" s="38"/>
      <c r="E41" s="38"/>
    </row>
    <row r="42" spans="2:8" x14ac:dyDescent="0.2">
      <c r="B42" s="38" t="s">
        <v>274</v>
      </c>
      <c r="C42" s="38"/>
      <c r="D42" s="38"/>
      <c r="E42" s="38"/>
    </row>
    <row r="43" spans="2:8" x14ac:dyDescent="0.2">
      <c r="B43" s="445" t="s">
        <v>282</v>
      </c>
      <c r="C43" s="38"/>
      <c r="D43" s="38"/>
      <c r="E43" s="38"/>
    </row>
  </sheetData>
  <mergeCells count="12">
    <mergeCell ref="B18:B19"/>
    <mergeCell ref="B20:C20"/>
    <mergeCell ref="B24:B25"/>
    <mergeCell ref="B26:B27"/>
    <mergeCell ref="B28:B29"/>
    <mergeCell ref="B30:C30"/>
    <mergeCell ref="B5:B6"/>
    <mergeCell ref="B7:B8"/>
    <mergeCell ref="B9:B10"/>
    <mergeCell ref="B11:C11"/>
    <mergeCell ref="B14:B15"/>
    <mergeCell ref="B16:B17"/>
  </mergeCells>
  <dataValidations count="1">
    <dataValidation type="list" allowBlank="1" showInputMessage="1" showErrorMessage="1" sqref="I4">
      <formula1>$Q$5:$Q$9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60"/>
  <sheetViews>
    <sheetView showGridLines="0" workbookViewId="0"/>
  </sheetViews>
  <sheetFormatPr defaultRowHeight="12.75" x14ac:dyDescent="0.2"/>
  <cols>
    <col min="1" max="1" width="3.5703125" style="35" customWidth="1"/>
    <col min="2" max="2" width="14" style="35" customWidth="1"/>
    <col min="3" max="3" width="14.7109375" style="35" customWidth="1"/>
    <col min="4" max="9" width="10.7109375" style="35" customWidth="1"/>
    <col min="10" max="10" width="15.28515625" style="35" customWidth="1"/>
    <col min="11" max="11" width="10.85546875" style="35" customWidth="1"/>
    <col min="12" max="12" width="10.85546875" style="35" bestFit="1" customWidth="1"/>
    <col min="13" max="16" width="10.140625" style="35" bestFit="1" customWidth="1"/>
    <col min="17" max="18" width="0" style="35" hidden="1" customWidth="1"/>
    <col min="19" max="16384" width="9.140625" style="35"/>
  </cols>
  <sheetData>
    <row r="1" spans="1:20" x14ac:dyDescent="0.2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20" ht="12.75" customHeight="1" x14ac:dyDescent="0.2">
      <c r="A2" s="37"/>
      <c r="B2" s="151" t="s">
        <v>208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R2" s="122" t="s">
        <v>283</v>
      </c>
    </row>
    <row r="3" spans="1:20" s="502" customFormat="1" ht="12.75" customHeight="1" x14ac:dyDescent="0.2">
      <c r="A3" s="37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R3" s="122"/>
    </row>
    <row r="4" spans="1:20" ht="13.5" customHeight="1" x14ac:dyDescent="0.2">
      <c r="A4" s="37"/>
      <c r="B4" s="606" t="s">
        <v>312</v>
      </c>
      <c r="C4" s="153"/>
      <c r="D4" s="153"/>
      <c r="E4" s="153"/>
      <c r="F4" s="153"/>
      <c r="G4" s="153"/>
      <c r="H4" s="153"/>
      <c r="I4" s="153"/>
      <c r="J4" s="151"/>
      <c r="K4" s="151"/>
      <c r="L4" s="151"/>
      <c r="M4" s="151"/>
      <c r="N4" s="151"/>
    </row>
    <row r="5" spans="1:20" ht="12.75" customHeight="1" x14ac:dyDescent="0.2">
      <c r="A5" s="37"/>
      <c r="B5" s="309"/>
      <c r="C5" s="489" t="s">
        <v>102</v>
      </c>
      <c r="D5" s="467" t="s">
        <v>93</v>
      </c>
      <c r="E5" s="468" t="s">
        <v>96</v>
      </c>
      <c r="F5" s="468" t="s">
        <v>97</v>
      </c>
      <c r="G5" s="468" t="s">
        <v>98</v>
      </c>
      <c r="H5" s="469" t="s">
        <v>100</v>
      </c>
      <c r="I5" s="470" t="s">
        <v>210</v>
      </c>
      <c r="Q5" s="310" t="s">
        <v>209</v>
      </c>
      <c r="R5" s="35" t="s">
        <v>284</v>
      </c>
      <c r="T5" s="37"/>
    </row>
    <row r="6" spans="1:20" ht="12.75" customHeight="1" x14ac:dyDescent="0.2">
      <c r="A6" s="37"/>
      <c r="B6" s="513" t="s">
        <v>290</v>
      </c>
      <c r="C6" s="307" t="s">
        <v>71</v>
      </c>
      <c r="D6" s="601">
        <f>(D8/D10/60)^-1</f>
        <v>7.0220390262928607</v>
      </c>
      <c r="E6" s="601">
        <f>(E8/E10/60)^-1</f>
        <v>7.7047372649602153</v>
      </c>
      <c r="F6" s="601">
        <f>(F8/F10/60)^-1</f>
        <v>7.5096806253409687</v>
      </c>
      <c r="G6" s="601">
        <f>(G8/G10/60)^-1</f>
        <v>7.6803551850078104</v>
      </c>
      <c r="H6" s="601">
        <f>(H8/H10/60)^-1</f>
        <v>7.7778835048174324</v>
      </c>
      <c r="I6" s="466">
        <f>IF(($I$5="Baseline"),D6,IF(($I$5="A"),E6,IF(($I$5="B"),F6,IF(($I$5="C"),G6,IF(($I$5="D"),H6,"")))))</f>
        <v>7.7047372649602153</v>
      </c>
      <c r="Q6" s="35" t="s">
        <v>99</v>
      </c>
      <c r="R6" s="352" t="s">
        <v>9</v>
      </c>
      <c r="T6" s="501"/>
    </row>
    <row r="7" spans="1:20" x14ac:dyDescent="0.2">
      <c r="A7" s="37"/>
      <c r="B7" s="514"/>
      <c r="C7" s="478" t="s">
        <v>289</v>
      </c>
      <c r="D7" s="602">
        <f>D11/D9*60</f>
        <v>2.1430062581538265</v>
      </c>
      <c r="E7" s="603">
        <f>E11/E9*60</f>
        <v>2.1976747851475449</v>
      </c>
      <c r="F7" s="603">
        <f>F11/F9*60</f>
        <v>2.1976747851475449</v>
      </c>
      <c r="G7" s="603">
        <f>G11/G9*60</f>
        <v>2.2086084905462893</v>
      </c>
      <c r="H7" s="603">
        <f>H11/H9*60</f>
        <v>2.2086084905462893</v>
      </c>
      <c r="I7" s="466">
        <f>IF(($I$5="Baseline"),D7,IF(($I$5="A"),E7,IF(($I$5="B"),F7,IF(($I$5="C"),G7,IF(($I$5="D"),H7,"")))))</f>
        <v>2.1976747851475449</v>
      </c>
      <c r="Q7" s="35" t="s">
        <v>210</v>
      </c>
      <c r="R7" s="352" t="s">
        <v>10</v>
      </c>
      <c r="T7" s="464"/>
    </row>
    <row r="8" spans="1:20" x14ac:dyDescent="0.2">
      <c r="A8" s="37"/>
      <c r="B8" s="515" t="s">
        <v>291</v>
      </c>
      <c r="C8" s="477" t="s">
        <v>71</v>
      </c>
      <c r="D8" s="601">
        <v>2.4608236917080499</v>
      </c>
      <c r="E8" s="601">
        <v>2.4608236917080526</v>
      </c>
      <c r="F8" s="601">
        <v>2.4608236917080526</v>
      </c>
      <c r="G8" s="601">
        <v>2.4608236917080526</v>
      </c>
      <c r="H8" s="601">
        <v>2.4608236917080526</v>
      </c>
      <c r="I8" s="471">
        <f t="shared" ref="I8:I9" si="0">I10/(I6/60)</f>
        <v>2.4608236917080526</v>
      </c>
      <c r="Q8" s="240" t="s">
        <v>211</v>
      </c>
      <c r="R8" s="352" t="s">
        <v>11</v>
      </c>
      <c r="T8" s="464"/>
    </row>
    <row r="9" spans="1:20" x14ac:dyDescent="0.2">
      <c r="A9" s="37"/>
      <c r="B9" s="516"/>
      <c r="C9" s="478" t="s">
        <v>289</v>
      </c>
      <c r="D9" s="603">
        <v>5.4876181323572499</v>
      </c>
      <c r="E9" s="603">
        <v>5.4876181323572544</v>
      </c>
      <c r="F9" s="603">
        <v>5.4876181323572544</v>
      </c>
      <c r="G9" s="603">
        <v>5.4876181323572544</v>
      </c>
      <c r="H9" s="603">
        <v>5.4876181323572544</v>
      </c>
      <c r="I9" s="472">
        <f t="shared" si="0"/>
        <v>5.4876181323572544</v>
      </c>
      <c r="Q9" s="240" t="s">
        <v>212</v>
      </c>
      <c r="R9" s="352" t="s">
        <v>12</v>
      </c>
      <c r="T9" s="464"/>
    </row>
    <row r="10" spans="1:20" x14ac:dyDescent="0.2">
      <c r="A10" s="37"/>
      <c r="B10" s="517" t="s">
        <v>292</v>
      </c>
      <c r="C10" s="307" t="s">
        <v>71</v>
      </c>
      <c r="D10" s="604">
        <v>0.28799999999999998</v>
      </c>
      <c r="E10" s="604">
        <v>0.316</v>
      </c>
      <c r="F10" s="604">
        <v>0.308</v>
      </c>
      <c r="G10" s="604">
        <v>0.315</v>
      </c>
      <c r="H10" s="604">
        <v>0.31900000000000001</v>
      </c>
      <c r="I10" s="466">
        <f>IF(($I$5="Baseline"),D10,IF(($I$5="A"),E10,IF(($I$5="B"),F10,IF(($I$5="C"),G10,IF(($I$5="D"),H10,"")))))</f>
        <v>0.316</v>
      </c>
      <c r="Q10" s="41" t="s">
        <v>213</v>
      </c>
      <c r="R10" s="352" t="s">
        <v>13</v>
      </c>
      <c r="T10" s="464"/>
    </row>
    <row r="11" spans="1:20" x14ac:dyDescent="0.2">
      <c r="A11" s="37"/>
      <c r="B11" s="514"/>
      <c r="C11" s="476" t="s">
        <v>289</v>
      </c>
      <c r="D11" s="605">
        <v>0.19600000000000001</v>
      </c>
      <c r="E11" s="605">
        <v>0.20100000000000001</v>
      </c>
      <c r="F11" s="605">
        <v>0.20100000000000001</v>
      </c>
      <c r="G11" s="605">
        <v>0.20200000000000001</v>
      </c>
      <c r="H11" s="605">
        <v>0.20200000000000001</v>
      </c>
      <c r="I11" s="466">
        <f>IF(($I$5="Baseline"),D11,IF(($I$5="A"),E11,IF(($I$5="B"),F11,IF(($I$5="C"),G11,IF(($I$5="D"),H11,"")))))</f>
        <v>0.20100000000000001</v>
      </c>
      <c r="R11" s="352" t="s">
        <v>14</v>
      </c>
      <c r="T11" s="464"/>
    </row>
    <row r="12" spans="1:20" x14ac:dyDescent="0.2">
      <c r="A12" s="37"/>
      <c r="B12" s="518" t="s">
        <v>119</v>
      </c>
      <c r="C12" s="519"/>
      <c r="D12" s="473">
        <f t="shared" ref="D12:I12" si="1">(-0.0108*(D6+D7)+1.2682+0.68)</f>
        <v>1.8492175109279758</v>
      </c>
      <c r="E12" s="474">
        <f t="shared" si="1"/>
        <v>1.8412539498588361</v>
      </c>
      <c r="F12" s="474">
        <f t="shared" si="1"/>
        <v>1.8433605615667239</v>
      </c>
      <c r="G12" s="474">
        <f t="shared" si="1"/>
        <v>1.8413991923040158</v>
      </c>
      <c r="H12" s="474">
        <f t="shared" si="1"/>
        <v>1.8403458864500717</v>
      </c>
      <c r="I12" s="475">
        <f t="shared" si="1"/>
        <v>1.8412539498588361</v>
      </c>
      <c r="R12" s="352" t="s">
        <v>15</v>
      </c>
      <c r="T12" s="464"/>
    </row>
    <row r="13" spans="1:20" x14ac:dyDescent="0.2">
      <c r="R13" s="352" t="s">
        <v>16</v>
      </c>
      <c r="T13" s="464"/>
    </row>
    <row r="14" spans="1:20" x14ac:dyDescent="0.2">
      <c r="B14" s="76" t="s">
        <v>300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20" s="495" customFormat="1" x14ac:dyDescent="0.2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20" x14ac:dyDescent="0.2">
      <c r="B16" s="91" t="s">
        <v>285</v>
      </c>
      <c r="C16" s="77"/>
      <c r="D16" s="77"/>
      <c r="E16" s="77"/>
      <c r="F16" s="77"/>
      <c r="G16" s="77"/>
      <c r="H16" s="77"/>
      <c r="I16"/>
      <c r="J16" s="91" t="s">
        <v>298</v>
      </c>
      <c r="K16" s="77"/>
      <c r="L16" s="77"/>
      <c r="M16" s="77"/>
      <c r="N16" s="77"/>
      <c r="O16" s="77"/>
      <c r="P16" s="77"/>
    </row>
    <row r="17" spans="2:16" x14ac:dyDescent="0.2">
      <c r="B17"/>
      <c r="C17" s="487" t="s">
        <v>102</v>
      </c>
      <c r="D17" s="490" t="s">
        <v>93</v>
      </c>
      <c r="E17" s="443" t="s">
        <v>96</v>
      </c>
      <c r="F17" s="443" t="s">
        <v>97</v>
      </c>
      <c r="G17" s="443" t="s">
        <v>98</v>
      </c>
      <c r="H17" s="443" t="s">
        <v>100</v>
      </c>
      <c r="I17"/>
      <c r="J17"/>
      <c r="K17" s="487" t="s">
        <v>102</v>
      </c>
      <c r="L17" s="490" t="s">
        <v>93</v>
      </c>
      <c r="M17" s="496" t="s">
        <v>96</v>
      </c>
      <c r="N17" s="496" t="s">
        <v>97</v>
      </c>
      <c r="O17" s="496" t="s">
        <v>98</v>
      </c>
      <c r="P17" s="496" t="s">
        <v>100</v>
      </c>
    </row>
    <row r="18" spans="2:16" ht="12.75" customHeight="1" x14ac:dyDescent="0.2">
      <c r="B18" s="513" t="s">
        <v>290</v>
      </c>
      <c r="C18" s="484" t="s">
        <v>71</v>
      </c>
      <c r="D18" s="601">
        <f>D22/D20*60</f>
        <v>8.4638430408032672</v>
      </c>
      <c r="E18" s="601">
        <f>E22/E20*60</f>
        <v>9.0054415904614178</v>
      </c>
      <c r="F18" s="601">
        <f>F22/F20*60</f>
        <v>8.2252799839441053</v>
      </c>
      <c r="G18" s="601">
        <f>G22/G20*60</f>
        <v>8.1931685670027399</v>
      </c>
      <c r="H18" s="601">
        <f>H22/H20*60</f>
        <v>7.9811844448522402</v>
      </c>
      <c r="I18"/>
      <c r="J18" s="513" t="s">
        <v>290</v>
      </c>
      <c r="K18" s="484" t="s">
        <v>71</v>
      </c>
      <c r="L18" s="601">
        <f>(L20/L22/60)^-1</f>
        <v>7.0220390262928607</v>
      </c>
      <c r="M18" s="601">
        <f>(M20/M22/60)^-1</f>
        <v>7.7047372649602153</v>
      </c>
      <c r="N18" s="601">
        <f>(N20/N22/60)^-1</f>
        <v>7.5096806253409687</v>
      </c>
      <c r="O18" s="601">
        <f>(O20/O22/60)^-1</f>
        <v>7.6803551850078104</v>
      </c>
      <c r="P18" s="601">
        <f>(P20/P22/60)^-1</f>
        <v>7.7778835048174324</v>
      </c>
    </row>
    <row r="19" spans="2:16" x14ac:dyDescent="0.2">
      <c r="B19" s="514"/>
      <c r="C19" s="485" t="s">
        <v>289</v>
      </c>
      <c r="D19" s="602">
        <f>D23/D21*60</f>
        <v>2.6986056318556058</v>
      </c>
      <c r="E19" s="603">
        <f>E23/E21*60</f>
        <v>2.9394635117226344</v>
      </c>
      <c r="F19" s="603">
        <f>F23/F21*60</f>
        <v>2.7224487338238084</v>
      </c>
      <c r="G19" s="603">
        <f>G23/G21*60</f>
        <v>2.7149821772859606</v>
      </c>
      <c r="H19" s="603">
        <f>H23/H21*60</f>
        <v>2.6875414948951089</v>
      </c>
      <c r="I19"/>
      <c r="J19" s="514"/>
      <c r="K19" s="485" t="s">
        <v>289</v>
      </c>
      <c r="L19" s="602">
        <f>L23/L21*60</f>
        <v>2.1430062581538265</v>
      </c>
      <c r="M19" s="603">
        <f>M23/M21*60</f>
        <v>2.1976747851475449</v>
      </c>
      <c r="N19" s="603">
        <f>N23/N21*60</f>
        <v>2.1976747851475449</v>
      </c>
      <c r="O19" s="603">
        <f>O23/O21*60</f>
        <v>2.2086084905462893</v>
      </c>
      <c r="P19" s="603">
        <f>P23/P21*60</f>
        <v>2.2086084905462893</v>
      </c>
    </row>
    <row r="20" spans="2:16" ht="12.75" customHeight="1" x14ac:dyDescent="0.2">
      <c r="B20" s="515" t="s">
        <v>291</v>
      </c>
      <c r="C20" s="486" t="s">
        <v>71</v>
      </c>
      <c r="D20" s="601">
        <v>2.4608236917080526</v>
      </c>
      <c r="E20" s="601">
        <v>2.4608236917080526</v>
      </c>
      <c r="F20" s="601">
        <v>2.4608236917080526</v>
      </c>
      <c r="G20" s="601">
        <v>2.4608236917080526</v>
      </c>
      <c r="H20" s="601">
        <v>2.4608236917080526</v>
      </c>
      <c r="I20"/>
      <c r="J20" s="515" t="s">
        <v>291</v>
      </c>
      <c r="K20" s="486" t="s">
        <v>71</v>
      </c>
      <c r="L20" s="601">
        <v>2.4608236917080499</v>
      </c>
      <c r="M20" s="601">
        <v>2.4608236917080526</v>
      </c>
      <c r="N20" s="601">
        <v>2.4608236917080526</v>
      </c>
      <c r="O20" s="601">
        <v>2.4608236917080526</v>
      </c>
      <c r="P20" s="601">
        <v>2.4608236917080526</v>
      </c>
    </row>
    <row r="21" spans="2:16" x14ac:dyDescent="0.2">
      <c r="B21" s="516"/>
      <c r="C21" s="485" t="s">
        <v>289</v>
      </c>
      <c r="D21" s="603">
        <v>5.4876181323572544</v>
      </c>
      <c r="E21" s="603">
        <v>5.4876181323572544</v>
      </c>
      <c r="F21" s="603">
        <v>5.4876181323572544</v>
      </c>
      <c r="G21" s="603">
        <v>5.4876181323572544</v>
      </c>
      <c r="H21" s="603">
        <v>5.4876181323572544</v>
      </c>
      <c r="I21"/>
      <c r="J21" s="516"/>
      <c r="K21" s="485" t="s">
        <v>289</v>
      </c>
      <c r="L21" s="603">
        <v>5.4876181323572499</v>
      </c>
      <c r="M21" s="603">
        <v>5.4876181323572544</v>
      </c>
      <c r="N21" s="603">
        <v>5.4876181323572544</v>
      </c>
      <c r="O21" s="603">
        <v>5.4876181323572544</v>
      </c>
      <c r="P21" s="603">
        <v>5.4876181323572544</v>
      </c>
    </row>
    <row r="22" spans="2:16" x14ac:dyDescent="0.2">
      <c r="B22" s="517" t="s">
        <v>292</v>
      </c>
      <c r="C22" s="486" t="s">
        <v>71</v>
      </c>
      <c r="D22" s="601">
        <v>0.34713375796178342</v>
      </c>
      <c r="E22" s="601">
        <v>0.3693467336683417</v>
      </c>
      <c r="F22" s="601">
        <v>0.33734939759036142</v>
      </c>
      <c r="G22" s="601">
        <v>0.33603238866396762</v>
      </c>
      <c r="H22" s="601">
        <v>0.3273381294964029</v>
      </c>
      <c r="I22"/>
      <c r="J22" s="513" t="s">
        <v>292</v>
      </c>
      <c r="K22" s="486" t="s">
        <v>71</v>
      </c>
      <c r="L22" s="604">
        <v>0.28799999999999998</v>
      </c>
      <c r="M22" s="604">
        <v>0.316</v>
      </c>
      <c r="N22" s="604">
        <v>0.308</v>
      </c>
      <c r="O22" s="604">
        <v>0.315</v>
      </c>
      <c r="P22" s="604">
        <v>0.31900000000000001</v>
      </c>
    </row>
    <row r="23" spans="2:16" x14ac:dyDescent="0.2">
      <c r="B23" s="514"/>
      <c r="C23" s="485" t="s">
        <v>289</v>
      </c>
      <c r="D23" s="603">
        <v>0.24681528662420382</v>
      </c>
      <c r="E23" s="603">
        <v>0.26884422110552764</v>
      </c>
      <c r="F23" s="603">
        <v>0.24899598393574296</v>
      </c>
      <c r="G23" s="603">
        <v>0.24831309041835359</v>
      </c>
      <c r="H23" s="603">
        <v>0.24580335731414868</v>
      </c>
      <c r="I23"/>
      <c r="J23" s="514"/>
      <c r="K23" s="485" t="s">
        <v>289</v>
      </c>
      <c r="L23" s="605">
        <v>0.19600000000000001</v>
      </c>
      <c r="M23" s="605">
        <v>0.20100000000000001</v>
      </c>
      <c r="N23" s="605">
        <v>0.20100000000000001</v>
      </c>
      <c r="O23" s="605">
        <v>0.20200000000000001</v>
      </c>
      <c r="P23" s="605">
        <v>0.20200000000000001</v>
      </c>
    </row>
    <row r="24" spans="2:16" x14ac:dyDescent="0.2">
      <c r="B24" s="481"/>
      <c r="C24"/>
      <c r="D24" s="20"/>
      <c r="E24" s="20"/>
      <c r="F24" s="20"/>
      <c r="G24" s="20"/>
      <c r="H24" s="20"/>
      <c r="I24"/>
      <c r="J24"/>
      <c r="K24" s="482"/>
      <c r="L24" s="480"/>
      <c r="M24"/>
      <c r="N24"/>
      <c r="O24"/>
      <c r="P24"/>
    </row>
    <row r="25" spans="2:16" x14ac:dyDescent="0.2">
      <c r="B25" s="91" t="s">
        <v>286</v>
      </c>
      <c r="C25" s="77"/>
      <c r="D25" s="443"/>
      <c r="E25" s="443"/>
      <c r="F25" s="443"/>
      <c r="G25" s="443"/>
      <c r="H25" s="443"/>
      <c r="I25"/>
      <c r="J25"/>
      <c r="K25"/>
      <c r="L25"/>
      <c r="M25"/>
      <c r="N25"/>
      <c r="O25"/>
      <c r="P25"/>
    </row>
    <row r="26" spans="2:16" x14ac:dyDescent="0.2">
      <c r="B26" s="399"/>
      <c r="C26" s="488" t="s">
        <v>102</v>
      </c>
      <c r="D26" s="443" t="s">
        <v>93</v>
      </c>
      <c r="E26" s="443" t="s">
        <v>96</v>
      </c>
      <c r="F26" s="443" t="s">
        <v>97</v>
      </c>
      <c r="G26" s="443" t="s">
        <v>98</v>
      </c>
      <c r="H26" s="443" t="s">
        <v>100</v>
      </c>
      <c r="I26"/>
      <c r="J26"/>
      <c r="K26"/>
      <c r="L26"/>
      <c r="M26"/>
      <c r="N26"/>
      <c r="O26"/>
      <c r="P26"/>
    </row>
    <row r="27" spans="2:16" x14ac:dyDescent="0.2">
      <c r="B27" s="513" t="s">
        <v>290</v>
      </c>
      <c r="C27" s="484" t="s">
        <v>71</v>
      </c>
      <c r="D27" s="601">
        <f>(D29/D31/60)^-1</f>
        <v>2.1735962748268687</v>
      </c>
      <c r="E27" s="601">
        <f>(E29/E31/60)^-1</f>
        <v>2.4023519953105659</v>
      </c>
      <c r="F27" s="601">
        <f>(F29/F31/60)^-1</f>
        <v>2.6809732934679906</v>
      </c>
      <c r="G27" s="601">
        <f>(G29/G31/60)^-1</f>
        <v>2.607822464474701</v>
      </c>
      <c r="H27" s="601">
        <f>(H29/H31/60)^-1</f>
        <v>3.5098687365115047</v>
      </c>
      <c r="I27"/>
      <c r="J27"/>
      <c r="K27"/>
      <c r="L27"/>
      <c r="M27"/>
      <c r="N27"/>
      <c r="O27"/>
      <c r="P27"/>
    </row>
    <row r="28" spans="2:16" x14ac:dyDescent="0.2">
      <c r="B28" s="514"/>
      <c r="C28" s="485" t="s">
        <v>289</v>
      </c>
      <c r="D28" s="603">
        <f>(D30/D32/60)^-1</f>
        <v>1.466303127118382</v>
      </c>
      <c r="E28" s="603">
        <f>(E30/E32/60)^-1</f>
        <v>1.6722137668667303</v>
      </c>
      <c r="F28" s="603">
        <f>(F30/F32/60)^-1</f>
        <v>1.6897544707149825</v>
      </c>
      <c r="G28" s="603">
        <f>(G30/G32/60)^-1</f>
        <v>1.687593659371357</v>
      </c>
      <c r="H28" s="603">
        <f>(H30/H32/60)^-1</f>
        <v>1.8835645878662237</v>
      </c>
      <c r="I28"/>
      <c r="J28"/>
      <c r="K28"/>
      <c r="L28"/>
      <c r="M28"/>
      <c r="N28"/>
      <c r="O28"/>
      <c r="P28"/>
    </row>
    <row r="29" spans="2:16" x14ac:dyDescent="0.2">
      <c r="B29" s="515" t="s">
        <v>291</v>
      </c>
      <c r="C29" s="486" t="s">
        <v>71</v>
      </c>
      <c r="D29" s="601">
        <v>2.4608236917080526</v>
      </c>
      <c r="E29" s="601">
        <v>2.4608236917080526</v>
      </c>
      <c r="F29" s="601">
        <v>2.4608236917080526</v>
      </c>
      <c r="G29" s="601">
        <v>2.4608236917080526</v>
      </c>
      <c r="H29" s="601">
        <v>2.4608236917080526</v>
      </c>
      <c r="I29"/>
      <c r="J29"/>
      <c r="K29"/>
      <c r="L29"/>
      <c r="M29"/>
      <c r="N29"/>
      <c r="O29"/>
      <c r="P29"/>
    </row>
    <row r="30" spans="2:16" x14ac:dyDescent="0.2">
      <c r="B30" s="516"/>
      <c r="C30" s="485" t="s">
        <v>289</v>
      </c>
      <c r="D30" s="603">
        <v>5.4876181323572544</v>
      </c>
      <c r="E30" s="603">
        <v>5.4876181323572544</v>
      </c>
      <c r="F30" s="603">
        <v>5.4876181323572544</v>
      </c>
      <c r="G30" s="603">
        <v>5.4876181323572544</v>
      </c>
      <c r="H30" s="603">
        <v>5.4876181323572544</v>
      </c>
      <c r="I30"/>
      <c r="J30"/>
      <c r="K30"/>
      <c r="L30"/>
      <c r="M30"/>
      <c r="N30"/>
      <c r="O30"/>
      <c r="P30"/>
    </row>
    <row r="31" spans="2:16" x14ac:dyDescent="0.2">
      <c r="B31" s="517" t="s">
        <v>292</v>
      </c>
      <c r="C31" s="486" t="s">
        <v>71</v>
      </c>
      <c r="D31" s="601">
        <v>8.9147286821705432E-2</v>
      </c>
      <c r="E31" s="601">
        <v>9.8529411764705879E-2</v>
      </c>
      <c r="F31" s="601">
        <v>0.10995670995670996</v>
      </c>
      <c r="G31" s="601">
        <v>0.10695652173913044</v>
      </c>
      <c r="H31" s="601">
        <v>0.143952802359882</v>
      </c>
      <c r="I31"/>
      <c r="J31"/>
      <c r="K31"/>
      <c r="L31"/>
      <c r="M31"/>
      <c r="N31"/>
      <c r="O31"/>
      <c r="P31"/>
    </row>
    <row r="32" spans="2:16" x14ac:dyDescent="0.2">
      <c r="B32" s="514"/>
      <c r="C32" s="485" t="s">
        <v>289</v>
      </c>
      <c r="D32" s="603">
        <v>0.13410852713178295</v>
      </c>
      <c r="E32" s="603">
        <v>0.15294117647058825</v>
      </c>
      <c r="F32" s="603">
        <v>0.15454545454545454</v>
      </c>
      <c r="G32" s="603">
        <v>0.15434782608695652</v>
      </c>
      <c r="H32" s="603">
        <v>0.17227138643067846</v>
      </c>
      <c r="I32"/>
      <c r="J32"/>
      <c r="K32"/>
      <c r="L32"/>
      <c r="M32"/>
      <c r="N32"/>
      <c r="O32"/>
      <c r="P32"/>
    </row>
    <row r="33" spans="2:16" x14ac:dyDescent="0.2">
      <c r="B33"/>
      <c r="C33"/>
      <c r="D33" s="20"/>
      <c r="E33" s="20"/>
      <c r="F33" s="20"/>
      <c r="G33" s="20"/>
      <c r="H33" s="20"/>
      <c r="I33"/>
      <c r="J33"/>
      <c r="K33" s="482"/>
      <c r="L33" s="480"/>
      <c r="M33"/>
      <c r="N33"/>
      <c r="O33"/>
      <c r="P33"/>
    </row>
    <row r="34" spans="2:16" x14ac:dyDescent="0.2">
      <c r="B34" s="91" t="s">
        <v>287</v>
      </c>
      <c r="C34" s="77"/>
      <c r="D34" s="443"/>
      <c r="E34" s="443"/>
      <c r="F34" s="443"/>
      <c r="G34" s="443"/>
      <c r="H34" s="443"/>
      <c r="I34"/>
      <c r="J34"/>
      <c r="K34" s="482"/>
      <c r="L34" s="480"/>
      <c r="M34"/>
      <c r="N34"/>
      <c r="O34"/>
      <c r="P34"/>
    </row>
    <row r="35" spans="2:16" x14ac:dyDescent="0.2">
      <c r="B35"/>
      <c r="C35" s="487" t="s">
        <v>102</v>
      </c>
      <c r="D35" s="490" t="s">
        <v>93</v>
      </c>
      <c r="E35" s="443" t="s">
        <v>96</v>
      </c>
      <c r="F35" s="443" t="s">
        <v>97</v>
      </c>
      <c r="G35" s="443" t="s">
        <v>98</v>
      </c>
      <c r="H35" s="443" t="s">
        <v>100</v>
      </c>
      <c r="I35"/>
      <c r="J35"/>
      <c r="K35" s="482"/>
      <c r="L35" s="482"/>
      <c r="M35"/>
      <c r="N35"/>
      <c r="O35"/>
      <c r="P35"/>
    </row>
    <row r="36" spans="2:16" x14ac:dyDescent="0.2">
      <c r="B36" s="513" t="s">
        <v>290</v>
      </c>
      <c r="C36" s="484" t="s">
        <v>71</v>
      </c>
      <c r="D36" s="601">
        <f>(D38/D40/60)^-1</f>
        <v>3.9821251686974088</v>
      </c>
      <c r="E36" s="601">
        <f>(E38/E40/60)^-1</f>
        <v>4.2731480328958522</v>
      </c>
      <c r="F36" s="601">
        <f>(F38/F40/60)^-1</f>
        <v>3.7886001156815072</v>
      </c>
      <c r="G36" s="601">
        <f>(G38/G40/60)^-1</f>
        <v>3.7920715607212023</v>
      </c>
      <c r="H36" s="601">
        <f>(H38/H40/60)^-1</f>
        <v>4.1098394402533813</v>
      </c>
      <c r="I36"/>
      <c r="J36"/>
      <c r="K36" s="482"/>
      <c r="L36" s="479"/>
      <c r="M36"/>
      <c r="N36"/>
      <c r="O36"/>
      <c r="P36"/>
    </row>
    <row r="37" spans="2:16" x14ac:dyDescent="0.2">
      <c r="B37" s="514"/>
      <c r="C37" s="485" t="s">
        <v>289</v>
      </c>
      <c r="D37" s="603">
        <f>(D39/D41/60)^-1</f>
        <v>1.5738482511686873</v>
      </c>
      <c r="E37" s="603">
        <f>(E39/E41/60)^-1</f>
        <v>1.3909476765000104</v>
      </c>
      <c r="F37" s="603">
        <f>(F39/F41/60)^-1</f>
        <v>1.4690414433184253</v>
      </c>
      <c r="G37" s="603">
        <f>(G39/G41/60)^-1</f>
        <v>1.5543288137546101</v>
      </c>
      <c r="H37" s="603">
        <f>(H39/H41/60)^-1</f>
        <v>1.4593059132603561</v>
      </c>
      <c r="I37"/>
      <c r="J37"/>
      <c r="K37" s="482"/>
      <c r="L37" s="480"/>
      <c r="M37"/>
      <c r="N37"/>
      <c r="O37"/>
      <c r="P37"/>
    </row>
    <row r="38" spans="2:16" x14ac:dyDescent="0.2">
      <c r="B38" s="515" t="s">
        <v>291</v>
      </c>
      <c r="C38" s="486" t="s">
        <v>71</v>
      </c>
      <c r="D38" s="601">
        <v>2.4608236917080526</v>
      </c>
      <c r="E38" s="601">
        <v>2.4608236917080526</v>
      </c>
      <c r="F38" s="601">
        <v>2.4608236917080526</v>
      </c>
      <c r="G38" s="601">
        <v>2.4608236917080526</v>
      </c>
      <c r="H38" s="601">
        <v>2.4608236917080526</v>
      </c>
      <c r="I38"/>
      <c r="J38"/>
      <c r="K38" s="482"/>
      <c r="L38" s="480"/>
      <c r="M38"/>
      <c r="N38"/>
      <c r="O38"/>
      <c r="P38"/>
    </row>
    <row r="39" spans="2:16" x14ac:dyDescent="0.2">
      <c r="B39" s="516"/>
      <c r="C39" s="485" t="s">
        <v>289</v>
      </c>
      <c r="D39" s="603">
        <v>5.4876181323572544</v>
      </c>
      <c r="E39" s="603">
        <v>5.4876181323572544</v>
      </c>
      <c r="F39" s="603">
        <v>5.4876181323572544</v>
      </c>
      <c r="G39" s="603">
        <v>5.4876181323572544</v>
      </c>
      <c r="H39" s="603">
        <v>5.4876181323572544</v>
      </c>
      <c r="I39"/>
      <c r="J39"/>
      <c r="K39" s="482"/>
      <c r="L39" s="480"/>
      <c r="M39"/>
      <c r="N39"/>
      <c r="O39"/>
      <c r="P39"/>
    </row>
    <row r="40" spans="2:16" x14ac:dyDescent="0.2">
      <c r="B40" s="517" t="s">
        <v>292</v>
      </c>
      <c r="C40" s="486" t="s">
        <v>71</v>
      </c>
      <c r="D40" s="601">
        <v>0.16332179930795848</v>
      </c>
      <c r="E40" s="601">
        <v>0.17525773195876287</v>
      </c>
      <c r="F40" s="601">
        <v>0.15538461538461537</v>
      </c>
      <c r="G40" s="601">
        <v>0.15552699228791775</v>
      </c>
      <c r="H40" s="601">
        <v>0.16855983772819472</v>
      </c>
      <c r="I40"/>
      <c r="J40"/>
      <c r="K40" s="482"/>
      <c r="L40" s="482"/>
      <c r="M40"/>
      <c r="N40"/>
      <c r="O40"/>
      <c r="P40"/>
    </row>
    <row r="41" spans="2:16" x14ac:dyDescent="0.2">
      <c r="B41" s="514"/>
      <c r="C41" s="485" t="s">
        <v>289</v>
      </c>
      <c r="D41" s="603">
        <v>0.1439446366782007</v>
      </c>
      <c r="E41" s="603">
        <v>0.12721649484536082</v>
      </c>
      <c r="F41" s="603">
        <v>0.13435897435897437</v>
      </c>
      <c r="G41" s="603">
        <v>0.14215938303341902</v>
      </c>
      <c r="H41" s="603">
        <v>0.13346855983772821</v>
      </c>
      <c r="I41"/>
      <c r="J41"/>
      <c r="K41" s="482"/>
      <c r="L41" s="479"/>
      <c r="M41"/>
      <c r="N41"/>
      <c r="O41"/>
      <c r="P41"/>
    </row>
    <row r="42" spans="2:16" x14ac:dyDescent="0.2">
      <c r="B42"/>
      <c r="C42"/>
      <c r="D42" s="20"/>
      <c r="E42" s="20"/>
      <c r="F42" s="20"/>
      <c r="G42" s="20"/>
      <c r="H42" s="20"/>
      <c r="I42"/>
      <c r="J42"/>
      <c r="K42" s="482"/>
      <c r="L42" s="480"/>
      <c r="M42"/>
      <c r="N42"/>
      <c r="O42"/>
      <c r="P42"/>
    </row>
    <row r="43" spans="2:16" x14ac:dyDescent="0.2">
      <c r="B43" s="91" t="s">
        <v>288</v>
      </c>
      <c r="C43" s="77"/>
      <c r="D43" s="443"/>
      <c r="E43" s="443"/>
      <c r="F43" s="443"/>
      <c r="G43" s="443"/>
      <c r="H43" s="443"/>
      <c r="I43"/>
      <c r="J43"/>
      <c r="K43" s="482"/>
      <c r="L43" s="480"/>
      <c r="M43"/>
      <c r="N43"/>
      <c r="O43"/>
      <c r="P43"/>
    </row>
    <row r="44" spans="2:16" x14ac:dyDescent="0.2">
      <c r="B44"/>
      <c r="C44" s="485" t="s">
        <v>102</v>
      </c>
      <c r="D44" s="491" t="s">
        <v>93</v>
      </c>
      <c r="E44" s="443" t="s">
        <v>96</v>
      </c>
      <c r="F44" s="443" t="s">
        <v>97</v>
      </c>
      <c r="G44" s="443" t="s">
        <v>98</v>
      </c>
      <c r="H44" s="443" t="s">
        <v>100</v>
      </c>
      <c r="I44"/>
      <c r="J44"/>
      <c r="K44" s="482"/>
      <c r="L44" s="480"/>
      <c r="M44"/>
      <c r="N44"/>
      <c r="O44"/>
      <c r="P44"/>
    </row>
    <row r="45" spans="2:16" x14ac:dyDescent="0.2">
      <c r="B45" s="513" t="s">
        <v>290</v>
      </c>
      <c r="C45" s="484" t="s">
        <v>71</v>
      </c>
      <c r="D45" s="601">
        <f>(D47/D49/60)^-1</f>
        <v>8.605439983202027</v>
      </c>
      <c r="E45" s="601">
        <f>(E47/E49/60)^-1</f>
        <v>9.0113569635417452</v>
      </c>
      <c r="F45" s="601">
        <f>(F47/F49/60)^-1</f>
        <v>8.7600287254152374</v>
      </c>
      <c r="G45" s="601">
        <f>(G47/G49/60)^-1</f>
        <v>8.932500319012199</v>
      </c>
      <c r="H45" s="601">
        <f>(H47/H49/60)^-1</f>
        <v>9.4450969912717397</v>
      </c>
      <c r="I45"/>
      <c r="J45"/>
      <c r="K45" s="482"/>
      <c r="L45" s="482"/>
      <c r="M45"/>
      <c r="N45"/>
      <c r="O45"/>
      <c r="P45"/>
    </row>
    <row r="46" spans="2:16" x14ac:dyDescent="0.2">
      <c r="B46" s="514"/>
      <c r="C46" s="485" t="s">
        <v>289</v>
      </c>
      <c r="D46" s="603">
        <f>(D48/D50/60)^-1</f>
        <v>2.6415464723856314</v>
      </c>
      <c r="E46" s="603">
        <f>(E48/E50/60)^-1</f>
        <v>2.6454470332144204</v>
      </c>
      <c r="F46" s="603">
        <f>(F48/F50/60)^-1</f>
        <v>2.6297634741490068</v>
      </c>
      <c r="G46" s="603">
        <f>(G48/G50/60)^-1</f>
        <v>2.6772250602532046</v>
      </c>
      <c r="H46" s="603">
        <f>(H48/H50/60)^-1</f>
        <v>2.6856577338662455</v>
      </c>
      <c r="I46"/>
      <c r="J46"/>
      <c r="K46"/>
      <c r="L46"/>
      <c r="M46"/>
      <c r="N46"/>
      <c r="O46"/>
      <c r="P46"/>
    </row>
    <row r="47" spans="2:16" x14ac:dyDescent="0.2">
      <c r="B47" s="515" t="s">
        <v>291</v>
      </c>
      <c r="C47" s="486" t="s">
        <v>71</v>
      </c>
      <c r="D47" s="601">
        <v>2.4608236917080526</v>
      </c>
      <c r="E47" s="601">
        <v>2.4608236917080526</v>
      </c>
      <c r="F47" s="601">
        <v>2.4608236917080526</v>
      </c>
      <c r="G47" s="601">
        <v>2.4608236917080526</v>
      </c>
      <c r="H47" s="601">
        <v>2.4608236917080526</v>
      </c>
      <c r="I47"/>
      <c r="J47"/>
      <c r="K47"/>
      <c r="L47"/>
      <c r="M47"/>
      <c r="N47"/>
      <c r="O47"/>
      <c r="P47"/>
    </row>
    <row r="48" spans="2:16" x14ac:dyDescent="0.2">
      <c r="B48" s="516"/>
      <c r="C48" s="485" t="s">
        <v>289</v>
      </c>
      <c r="D48" s="603">
        <v>5.4876181323572544</v>
      </c>
      <c r="E48" s="603">
        <v>5.4876181323572544</v>
      </c>
      <c r="F48" s="603">
        <v>5.4876181323572544</v>
      </c>
      <c r="G48" s="603">
        <v>5.4876181323572544</v>
      </c>
      <c r="H48" s="603">
        <v>5.4876181323572544</v>
      </c>
      <c r="I48"/>
      <c r="J48"/>
      <c r="K48"/>
      <c r="L48"/>
      <c r="M48"/>
      <c r="N48"/>
      <c r="O48"/>
      <c r="P48"/>
    </row>
    <row r="49" spans="2:16" x14ac:dyDescent="0.2">
      <c r="B49" s="517" t="s">
        <v>292</v>
      </c>
      <c r="C49" s="486" t="s">
        <v>71</v>
      </c>
      <c r="D49" s="601">
        <v>0.35294117647058826</v>
      </c>
      <c r="E49" s="601">
        <v>0.36958934517203107</v>
      </c>
      <c r="F49" s="601">
        <v>0.3592814371257485</v>
      </c>
      <c r="G49" s="601">
        <v>0.3663551401869159</v>
      </c>
      <c r="H49" s="601">
        <v>0.38737864077669903</v>
      </c>
      <c r="I49"/>
      <c r="J49"/>
      <c r="K49"/>
      <c r="L49"/>
      <c r="M49"/>
      <c r="N49"/>
      <c r="O49"/>
      <c r="P49"/>
    </row>
    <row r="50" spans="2:16" x14ac:dyDescent="0.2">
      <c r="B50" s="514"/>
      <c r="C50" s="485" t="s">
        <v>289</v>
      </c>
      <c r="D50" s="603">
        <v>0.24159663865546219</v>
      </c>
      <c r="E50" s="603">
        <v>0.24195338512763595</v>
      </c>
      <c r="F50" s="603">
        <v>0.2405189620758483</v>
      </c>
      <c r="G50" s="603">
        <v>0.24485981308411214</v>
      </c>
      <c r="H50" s="603">
        <v>0.24563106796116504</v>
      </c>
      <c r="I50"/>
      <c r="J50"/>
      <c r="K50"/>
      <c r="L50"/>
      <c r="M50"/>
      <c r="N50"/>
      <c r="O50"/>
      <c r="P50"/>
    </row>
    <row r="51" spans="2:16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2:16" x14ac:dyDescent="0.2">
      <c r="B52" s="91" t="s">
        <v>297</v>
      </c>
      <c r="C52"/>
      <c r="D52"/>
      <c r="E52" s="77"/>
      <c r="F52" s="77"/>
      <c r="G52" s="77"/>
      <c r="H52" s="77"/>
      <c r="I52"/>
      <c r="J52"/>
      <c r="K52"/>
      <c r="L52"/>
      <c r="M52"/>
      <c r="N52"/>
      <c r="O52"/>
      <c r="P52"/>
    </row>
    <row r="53" spans="2:16" x14ac:dyDescent="0.2">
      <c r="B53"/>
      <c r="C53" s="487" t="s">
        <v>102</v>
      </c>
      <c r="D53" s="490" t="s">
        <v>93</v>
      </c>
      <c r="E53" s="496" t="s">
        <v>96</v>
      </c>
      <c r="F53" s="496" t="s">
        <v>97</v>
      </c>
      <c r="G53" s="496" t="s">
        <v>98</v>
      </c>
      <c r="H53" s="496" t="s">
        <v>100</v>
      </c>
      <c r="I53"/>
      <c r="J53"/>
      <c r="K53"/>
      <c r="L53"/>
      <c r="M53"/>
      <c r="N53"/>
      <c r="O53"/>
      <c r="P53"/>
    </row>
    <row r="54" spans="2:16" x14ac:dyDescent="0.2">
      <c r="B54" s="513" t="s">
        <v>290</v>
      </c>
      <c r="C54" s="484" t="s">
        <v>71</v>
      </c>
      <c r="D54" s="601">
        <f>(D56/D58/60)^-1</f>
        <v>3.9821251686974088</v>
      </c>
      <c r="E54" s="601">
        <f>(E56/E58/60)^-1</f>
        <v>9.0113569635417452</v>
      </c>
      <c r="F54" s="601">
        <f>(F56/F58/60)^-1</f>
        <v>8.7600287254152374</v>
      </c>
      <c r="G54" s="601">
        <f>(G56/G58/60)^-1</f>
        <v>8.932500319012199</v>
      </c>
      <c r="H54" s="601">
        <f>(H56/H58/60)^-1</f>
        <v>9.4450969912717397</v>
      </c>
      <c r="I54"/>
      <c r="J54"/>
      <c r="K54"/>
      <c r="L54"/>
      <c r="M54"/>
      <c r="N54"/>
      <c r="O54"/>
      <c r="P54"/>
    </row>
    <row r="55" spans="2:16" x14ac:dyDescent="0.2">
      <c r="B55" s="514"/>
      <c r="C55" s="485" t="s">
        <v>289</v>
      </c>
      <c r="D55" s="603">
        <f>(D57/D59/60)^-1</f>
        <v>1.5738482511686873</v>
      </c>
      <c r="E55" s="603">
        <f>(E57/E59/60)^-1</f>
        <v>2.6454470332144204</v>
      </c>
      <c r="F55" s="603">
        <f>(F57/F59/60)^-1</f>
        <v>2.6297634741490068</v>
      </c>
      <c r="G55" s="603">
        <f>(G57/G59/60)^-1</f>
        <v>2.6772250602532046</v>
      </c>
      <c r="H55" s="603">
        <f>(H57/H59/60)^-1</f>
        <v>2.6856577338662455</v>
      </c>
      <c r="I55"/>
      <c r="J55"/>
      <c r="K55"/>
      <c r="L55"/>
      <c r="M55"/>
      <c r="N55"/>
      <c r="O55"/>
      <c r="P55"/>
    </row>
    <row r="56" spans="2:16" x14ac:dyDescent="0.2">
      <c r="B56" s="515" t="s">
        <v>291</v>
      </c>
      <c r="C56" s="486" t="s">
        <v>71</v>
      </c>
      <c r="D56" s="601">
        <v>2.4608236917080526</v>
      </c>
      <c r="E56" s="601">
        <v>2.4608236917080526</v>
      </c>
      <c r="F56" s="601">
        <v>2.4608236917080526</v>
      </c>
      <c r="G56" s="601">
        <v>2.4608236917080526</v>
      </c>
      <c r="H56" s="601">
        <v>2.4608236917080526</v>
      </c>
      <c r="I56"/>
      <c r="J56"/>
      <c r="K56"/>
      <c r="L56"/>
      <c r="M56"/>
      <c r="N56"/>
      <c r="O56"/>
      <c r="P56"/>
    </row>
    <row r="57" spans="2:16" x14ac:dyDescent="0.2">
      <c r="B57" s="516"/>
      <c r="C57" s="485" t="s">
        <v>289</v>
      </c>
      <c r="D57" s="603">
        <v>5.4876181323572544</v>
      </c>
      <c r="E57" s="603">
        <v>5.4876181323572544</v>
      </c>
      <c r="F57" s="603">
        <v>5.4876181323572544</v>
      </c>
      <c r="G57" s="603">
        <v>5.4876181323572544</v>
      </c>
      <c r="H57" s="603">
        <v>5.4876181323572544</v>
      </c>
      <c r="I57"/>
      <c r="J57"/>
      <c r="K57"/>
      <c r="L57"/>
      <c r="M57"/>
      <c r="N57"/>
      <c r="O57"/>
      <c r="P57"/>
    </row>
    <row r="58" spans="2:16" x14ac:dyDescent="0.2">
      <c r="B58" s="517" t="s">
        <v>292</v>
      </c>
      <c r="C58" s="486" t="s">
        <v>71</v>
      </c>
      <c r="D58" s="601">
        <v>0.16332179930795848</v>
      </c>
      <c r="E58" s="601">
        <v>0.36958934517203107</v>
      </c>
      <c r="F58" s="601">
        <v>0.3592814371257485</v>
      </c>
      <c r="G58" s="601">
        <v>0.3663551401869159</v>
      </c>
      <c r="H58" s="601">
        <v>0.38737864077669903</v>
      </c>
      <c r="I58"/>
      <c r="J58"/>
      <c r="K58"/>
      <c r="L58"/>
      <c r="M58"/>
      <c r="N58"/>
      <c r="O58"/>
      <c r="P58"/>
    </row>
    <row r="59" spans="2:16" x14ac:dyDescent="0.2">
      <c r="B59" s="514"/>
      <c r="C59" s="485" t="s">
        <v>289</v>
      </c>
      <c r="D59" s="603">
        <v>0.1439446366782007</v>
      </c>
      <c r="E59" s="603">
        <v>0.24195338512763595</v>
      </c>
      <c r="F59" s="603">
        <v>0.2405189620758483</v>
      </c>
      <c r="G59" s="603">
        <v>0.24485981308411214</v>
      </c>
      <c r="H59" s="603">
        <v>0.24563106796116504</v>
      </c>
      <c r="I59"/>
      <c r="J59"/>
      <c r="K59"/>
      <c r="L59"/>
      <c r="M59"/>
      <c r="N59"/>
      <c r="O59"/>
      <c r="P59"/>
    </row>
    <row r="60" spans="2:16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</sheetData>
  <mergeCells count="22">
    <mergeCell ref="J22:J23"/>
    <mergeCell ref="J20:J21"/>
    <mergeCell ref="J18:J19"/>
    <mergeCell ref="B54:B55"/>
    <mergeCell ref="B56:B57"/>
    <mergeCell ref="B58:B59"/>
    <mergeCell ref="B18:B19"/>
    <mergeCell ref="B20:B21"/>
    <mergeCell ref="B22:B23"/>
    <mergeCell ref="B27:B28"/>
    <mergeCell ref="B45:B46"/>
    <mergeCell ref="B47:B48"/>
    <mergeCell ref="B49:B50"/>
    <mergeCell ref="B29:B30"/>
    <mergeCell ref="B31:B32"/>
    <mergeCell ref="B36:B37"/>
    <mergeCell ref="B38:B39"/>
    <mergeCell ref="B40:B41"/>
    <mergeCell ref="B6:B7"/>
    <mergeCell ref="B8:B9"/>
    <mergeCell ref="B10:B11"/>
    <mergeCell ref="B12:C12"/>
  </mergeCells>
  <dataValidations count="1">
    <dataValidation type="list" allowBlank="1" showInputMessage="1" showErrorMessage="1" sqref="I5">
      <formula1>$Q$6:$Q$10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2:X68"/>
  <sheetViews>
    <sheetView showGridLines="0" workbookViewId="0">
      <selection activeCell="C56" sqref="C56"/>
    </sheetView>
  </sheetViews>
  <sheetFormatPr defaultRowHeight="12.75" x14ac:dyDescent="0.2"/>
  <cols>
    <col min="3" max="3" width="11.5703125" customWidth="1"/>
    <col min="15" max="15" width="12.28515625" customWidth="1"/>
    <col min="16" max="16" width="12.140625" customWidth="1"/>
  </cols>
  <sheetData>
    <row r="2" spans="1:15" x14ac:dyDescent="0.2">
      <c r="A2" s="76" t="s">
        <v>127</v>
      </c>
    </row>
    <row r="3" spans="1:15" x14ac:dyDescent="0.2">
      <c r="C3" s="91" t="s">
        <v>131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</row>
    <row r="4" spans="1:15" x14ac:dyDescent="0.2">
      <c r="B4" s="90" t="s">
        <v>37</v>
      </c>
      <c r="C4" s="89">
        <v>-1</v>
      </c>
      <c r="D4" s="82">
        <v>1</v>
      </c>
      <c r="E4" s="82">
        <v>2</v>
      </c>
      <c r="F4" s="82">
        <v>3</v>
      </c>
      <c r="G4" s="82">
        <v>4</v>
      </c>
      <c r="H4" s="82">
        <v>5</v>
      </c>
      <c r="I4" s="82">
        <v>6</v>
      </c>
      <c r="J4" s="82">
        <v>7</v>
      </c>
      <c r="K4" s="82">
        <v>8</v>
      </c>
      <c r="L4" s="82">
        <v>9</v>
      </c>
      <c r="M4" s="82">
        <v>10</v>
      </c>
      <c r="N4" s="104">
        <v>11</v>
      </c>
      <c r="O4" s="102">
        <v>99</v>
      </c>
    </row>
    <row r="5" spans="1:15" x14ac:dyDescent="0.2">
      <c r="B5" s="78">
        <v>3</v>
      </c>
      <c r="C5" s="83">
        <v>2.4457923088457099</v>
      </c>
      <c r="D5" s="84">
        <v>7.55033847109652</v>
      </c>
      <c r="E5" s="84">
        <v>7.49210604282354</v>
      </c>
      <c r="F5" s="84">
        <v>10.3216982537171</v>
      </c>
      <c r="G5" s="84">
        <v>9.7320115725219694</v>
      </c>
      <c r="H5" s="84">
        <v>7.0225382116238997</v>
      </c>
      <c r="I5" s="84">
        <v>28.517814326310699</v>
      </c>
      <c r="J5" s="84">
        <v>23.506486378955302</v>
      </c>
      <c r="K5" s="84">
        <v>16.679842001352402</v>
      </c>
      <c r="L5" s="84">
        <v>15.2224128174957</v>
      </c>
      <c r="M5" s="84">
        <v>28.2925176807234</v>
      </c>
      <c r="N5" s="105">
        <v>25.9799455387666</v>
      </c>
      <c r="O5" s="103">
        <v>10.4937660913243</v>
      </c>
    </row>
    <row r="6" spans="1:15" x14ac:dyDescent="0.2">
      <c r="B6" s="78">
        <v>4</v>
      </c>
      <c r="C6" s="83">
        <v>1.54604627029777</v>
      </c>
      <c r="D6" s="84">
        <v>8.2796796583188303</v>
      </c>
      <c r="E6" s="84">
        <v>7.6493677241417002</v>
      </c>
      <c r="F6" s="84">
        <v>10.779339351237899</v>
      </c>
      <c r="G6" s="84">
        <v>11.566632311790899</v>
      </c>
      <c r="H6" s="84">
        <v>7.0358357498229198</v>
      </c>
      <c r="I6" s="84">
        <v>27.892634336144699</v>
      </c>
      <c r="J6" s="84">
        <v>23.781626478318898</v>
      </c>
      <c r="K6" s="84">
        <v>15.069003154929501</v>
      </c>
      <c r="L6" s="84">
        <v>13.4184338077609</v>
      </c>
      <c r="M6" s="84">
        <v>28.517943145202398</v>
      </c>
      <c r="N6" s="105">
        <v>20.6115235983529</v>
      </c>
      <c r="O6" s="103">
        <v>11.8455140986865</v>
      </c>
    </row>
    <row r="7" spans="1:15" x14ac:dyDescent="0.2">
      <c r="B7" s="78">
        <v>5</v>
      </c>
      <c r="C7" s="83">
        <v>0.95327326106348698</v>
      </c>
      <c r="D7" s="84">
        <v>8.1728179688447895</v>
      </c>
      <c r="E7" s="84">
        <v>7.6156508335358897</v>
      </c>
      <c r="F7" s="84">
        <v>10.1922701777691</v>
      </c>
      <c r="G7" s="84">
        <v>10.8601655521413</v>
      </c>
      <c r="H7" s="84">
        <v>6.89173462377852</v>
      </c>
      <c r="I7" s="84">
        <v>29.273937442268501</v>
      </c>
      <c r="J7" s="84">
        <v>22.6388710089835</v>
      </c>
      <c r="K7" s="84">
        <v>14.8846631770286</v>
      </c>
      <c r="L7" s="84">
        <v>13.297153973793099</v>
      </c>
      <c r="M7" s="84">
        <v>26.920354053844701</v>
      </c>
      <c r="N7" s="105">
        <v>22.6782106782107</v>
      </c>
      <c r="O7" s="103">
        <v>10.3660096448438</v>
      </c>
    </row>
    <row r="8" spans="1:15" x14ac:dyDescent="0.2">
      <c r="B8" s="78">
        <v>6</v>
      </c>
      <c r="C8" s="83">
        <v>1.0726829703521401</v>
      </c>
      <c r="D8" s="84">
        <v>6.8274784896204501</v>
      </c>
      <c r="E8" s="84">
        <v>6.5548792284106296</v>
      </c>
      <c r="F8" s="84">
        <v>7.4094795282227404</v>
      </c>
      <c r="G8" s="84">
        <v>9.1080157269408009</v>
      </c>
      <c r="H8" s="84">
        <v>4.5278156075096501</v>
      </c>
      <c r="I8" s="84">
        <v>24.688264067893702</v>
      </c>
      <c r="J8" s="84">
        <v>20.543389143632101</v>
      </c>
      <c r="K8" s="84">
        <v>12.567649407442699</v>
      </c>
      <c r="L8" s="84">
        <v>12.294828219180699</v>
      </c>
      <c r="M8" s="84">
        <v>27.608358019116601</v>
      </c>
      <c r="N8" s="105">
        <v>0</v>
      </c>
      <c r="O8" s="103">
        <v>10.678833172260299</v>
      </c>
    </row>
    <row r="9" spans="1:15" x14ac:dyDescent="0.2">
      <c r="B9" s="78">
        <v>7</v>
      </c>
      <c r="C9" s="83">
        <v>0.70526555466805496</v>
      </c>
      <c r="D9" s="84">
        <v>4.5981716064348399</v>
      </c>
      <c r="E9" s="84">
        <v>4.0623650067242298</v>
      </c>
      <c r="F9" s="84">
        <v>6.0175652957850101</v>
      </c>
      <c r="G9" s="84">
        <v>8.0511955267564392</v>
      </c>
      <c r="H9" s="84">
        <v>3.7384426081829201</v>
      </c>
      <c r="I9" s="84">
        <v>22.136917618019101</v>
      </c>
      <c r="J9" s="84">
        <v>22.930986992010599</v>
      </c>
      <c r="K9" s="84">
        <v>9.3780379109514502</v>
      </c>
      <c r="L9" s="84">
        <v>8.7811711256940903</v>
      </c>
      <c r="M9" s="84">
        <v>19.179244803577799</v>
      </c>
      <c r="N9" s="105">
        <v>0</v>
      </c>
      <c r="O9" s="103">
        <v>5.32633008100147</v>
      </c>
    </row>
    <row r="10" spans="1:15" x14ac:dyDescent="0.2">
      <c r="B10" s="78">
        <v>8</v>
      </c>
      <c r="C10" s="83">
        <v>0.43714033796587598</v>
      </c>
      <c r="D10" s="84">
        <v>6.3168586464040999</v>
      </c>
      <c r="E10" s="84">
        <v>2.73281186061037</v>
      </c>
      <c r="F10" s="84">
        <v>3.7793845829405099</v>
      </c>
      <c r="G10" s="84">
        <v>6.5252252592368896</v>
      </c>
      <c r="H10" s="84">
        <v>4.8568300377145697</v>
      </c>
      <c r="I10" s="84">
        <v>16.596055859596198</v>
      </c>
      <c r="J10" s="84">
        <v>16.295214908105699</v>
      </c>
      <c r="K10" s="84">
        <v>9.3005952380952408</v>
      </c>
      <c r="L10" s="84">
        <v>0</v>
      </c>
      <c r="M10" s="84">
        <v>17.410714285714299</v>
      </c>
      <c r="N10" s="105">
        <v>0</v>
      </c>
      <c r="O10" s="103">
        <v>4.6869808970099696</v>
      </c>
    </row>
    <row r="11" spans="1:15" x14ac:dyDescent="0.2">
      <c r="B11" s="90" t="s">
        <v>38</v>
      </c>
      <c r="C11" s="85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5"/>
    </row>
    <row r="12" spans="1:15" x14ac:dyDescent="0.2">
      <c r="B12" s="78">
        <v>3</v>
      </c>
      <c r="C12" s="83">
        <v>0.98067686553618405</v>
      </c>
      <c r="D12" s="84">
        <v>6.7867593811718203</v>
      </c>
      <c r="E12" s="84">
        <v>6.3183335792716004</v>
      </c>
      <c r="F12" s="84">
        <v>7.1507583625357398</v>
      </c>
      <c r="G12" s="84">
        <v>7.6875058077905303</v>
      </c>
      <c r="H12" s="84">
        <v>5.7351799234440097</v>
      </c>
      <c r="I12" s="84">
        <v>21.2844456511008</v>
      </c>
      <c r="J12" s="84">
        <v>19.149859573889799</v>
      </c>
      <c r="K12" s="84">
        <v>13.2585458916998</v>
      </c>
      <c r="L12" s="84">
        <v>11.1598305545318</v>
      </c>
      <c r="M12" s="84">
        <v>22.183065356401201</v>
      </c>
      <c r="N12" s="105">
        <v>17.188215102974802</v>
      </c>
      <c r="O12" s="103">
        <v>7.4355638428613799</v>
      </c>
    </row>
    <row r="13" spans="1:15" x14ac:dyDescent="0.2">
      <c r="B13" s="78">
        <v>4</v>
      </c>
      <c r="C13" s="83">
        <v>0.76376900698971895</v>
      </c>
      <c r="D13" s="84">
        <v>6.4037028224388104</v>
      </c>
      <c r="E13" s="84">
        <v>6.1989233387756304</v>
      </c>
      <c r="F13" s="84">
        <v>8.4366682699824604</v>
      </c>
      <c r="G13" s="84">
        <v>8.6005850054519701</v>
      </c>
      <c r="H13" s="84">
        <v>5.5530658187965898</v>
      </c>
      <c r="I13" s="84">
        <v>21.907926067027802</v>
      </c>
      <c r="J13" s="84">
        <v>20.082001151359499</v>
      </c>
      <c r="K13" s="84">
        <v>10.6137116059412</v>
      </c>
      <c r="L13" s="84">
        <v>11.101664815264501</v>
      </c>
      <c r="M13" s="84">
        <v>23.3302683189726</v>
      </c>
      <c r="N13" s="105">
        <v>0</v>
      </c>
      <c r="O13" s="103">
        <v>9.8987962063233308</v>
      </c>
    </row>
    <row r="14" spans="1:15" x14ac:dyDescent="0.2">
      <c r="B14" s="78">
        <v>5</v>
      </c>
      <c r="C14" s="83">
        <v>0.66275088594862197</v>
      </c>
      <c r="D14" s="84">
        <v>6.5646122961161799</v>
      </c>
      <c r="E14" s="84">
        <v>6.1158381952790997</v>
      </c>
      <c r="F14" s="84">
        <v>7.94253755329661</v>
      </c>
      <c r="G14" s="84">
        <v>8.2866829374570194</v>
      </c>
      <c r="H14" s="84">
        <v>5.5548469990341998</v>
      </c>
      <c r="I14" s="84">
        <v>24.399892867444098</v>
      </c>
      <c r="J14" s="84">
        <v>14.7651635132175</v>
      </c>
      <c r="K14" s="84">
        <v>12.6328832470893</v>
      </c>
      <c r="L14" s="84">
        <v>10.956360150821901</v>
      </c>
      <c r="M14" s="84">
        <v>23.549615325399799</v>
      </c>
      <c r="N14" s="105">
        <v>0</v>
      </c>
      <c r="O14" s="103">
        <v>10.320882498906199</v>
      </c>
    </row>
    <row r="15" spans="1:15" x14ac:dyDescent="0.2">
      <c r="B15" s="78">
        <v>6</v>
      </c>
      <c r="C15" s="83">
        <v>0.59319629481710601</v>
      </c>
      <c r="D15" s="84">
        <v>5.7151977359016497</v>
      </c>
      <c r="E15" s="84">
        <v>5.2059699866436802</v>
      </c>
      <c r="F15" s="84">
        <v>7.5010868497772298</v>
      </c>
      <c r="G15" s="84">
        <v>7.5752248147320298</v>
      </c>
      <c r="H15" s="84">
        <v>5.0487256075007503</v>
      </c>
      <c r="I15" s="84">
        <v>21.027989993915199</v>
      </c>
      <c r="J15" s="84">
        <v>17.037139747045401</v>
      </c>
      <c r="K15" s="84">
        <v>14.668772032902501</v>
      </c>
      <c r="L15" s="84">
        <v>10.8863175750711</v>
      </c>
      <c r="M15" s="84">
        <v>19.8886602027201</v>
      </c>
      <c r="N15" s="105">
        <v>0</v>
      </c>
      <c r="O15" s="103">
        <v>6.5452275101498101</v>
      </c>
    </row>
    <row r="16" spans="1:15" x14ac:dyDescent="0.2">
      <c r="B16" s="78">
        <v>7</v>
      </c>
      <c r="C16" s="83">
        <v>0.34879843244164199</v>
      </c>
      <c r="D16" s="84">
        <v>4.9091088228458304</v>
      </c>
      <c r="E16" s="84">
        <v>4.1445059187392204</v>
      </c>
      <c r="F16" s="84">
        <v>6.6574950957274197</v>
      </c>
      <c r="G16" s="84">
        <v>5.6799833837628304</v>
      </c>
      <c r="H16" s="84">
        <v>4.8070577077680596</v>
      </c>
      <c r="I16" s="84">
        <v>39.616340631730097</v>
      </c>
      <c r="J16" s="84">
        <v>5.7440476190476204</v>
      </c>
      <c r="K16" s="84">
        <v>0</v>
      </c>
      <c r="L16" s="84">
        <v>6.3310738463664</v>
      </c>
      <c r="M16" s="84">
        <v>7.69254396530956</v>
      </c>
      <c r="N16" s="105">
        <v>0</v>
      </c>
      <c r="O16" s="103">
        <v>5.3482836729577796</v>
      </c>
    </row>
    <row r="17" spans="1:16" x14ac:dyDescent="0.2">
      <c r="B17" s="80">
        <v>8</v>
      </c>
      <c r="C17" s="85">
        <v>0.19283418618002801</v>
      </c>
      <c r="D17" s="86">
        <v>5.7176676073359696</v>
      </c>
      <c r="E17" s="86">
        <v>3.5548135223989301</v>
      </c>
      <c r="F17" s="86">
        <v>8.5424443646805504</v>
      </c>
      <c r="G17" s="86">
        <v>2.7730194689816199</v>
      </c>
      <c r="H17" s="86">
        <v>3.5200810082994902</v>
      </c>
      <c r="I17" s="86">
        <v>0</v>
      </c>
      <c r="J17" s="86">
        <v>0</v>
      </c>
      <c r="K17" s="86">
        <v>0</v>
      </c>
      <c r="L17" s="86">
        <v>18.147344244341699</v>
      </c>
      <c r="M17" s="86">
        <v>0</v>
      </c>
      <c r="N17" s="86">
        <v>0</v>
      </c>
      <c r="O17" s="85">
        <v>2.1949404761904798</v>
      </c>
    </row>
    <row r="19" spans="1:16" x14ac:dyDescent="0.2">
      <c r="A19" s="76" t="s">
        <v>126</v>
      </c>
    </row>
    <row r="20" spans="1:16" x14ac:dyDescent="0.2">
      <c r="C20" s="91" t="s">
        <v>131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88"/>
    </row>
    <row r="21" spans="1:16" x14ac:dyDescent="0.2">
      <c r="B21" s="92" t="s">
        <v>37</v>
      </c>
      <c r="C21" s="81" t="s">
        <v>128</v>
      </c>
      <c r="D21" s="82">
        <v>1</v>
      </c>
      <c r="E21" s="82">
        <v>2</v>
      </c>
      <c r="F21" s="82">
        <v>3</v>
      </c>
      <c r="G21" s="82">
        <v>4</v>
      </c>
      <c r="H21" s="82">
        <v>5</v>
      </c>
      <c r="I21" s="82">
        <v>6</v>
      </c>
      <c r="J21" s="82">
        <v>7</v>
      </c>
      <c r="K21" s="82">
        <v>8</v>
      </c>
      <c r="L21" s="82">
        <v>9</v>
      </c>
      <c r="M21" s="82">
        <v>10</v>
      </c>
      <c r="N21" s="104">
        <v>11</v>
      </c>
      <c r="O21" s="81" t="s">
        <v>129</v>
      </c>
      <c r="P21" s="88"/>
    </row>
    <row r="22" spans="1:16" x14ac:dyDescent="0.2">
      <c r="B22" s="78">
        <v>3</v>
      </c>
      <c r="C22" s="79">
        <v>1453</v>
      </c>
      <c r="D22" s="20">
        <v>1245</v>
      </c>
      <c r="E22" s="20">
        <v>3530</v>
      </c>
      <c r="F22" s="20">
        <v>5700</v>
      </c>
      <c r="G22" s="20">
        <v>3513</v>
      </c>
      <c r="H22" s="20">
        <v>3053</v>
      </c>
      <c r="I22" s="20">
        <v>3867</v>
      </c>
      <c r="J22" s="20">
        <v>2702</v>
      </c>
      <c r="K22" s="20">
        <v>1203</v>
      </c>
      <c r="L22" s="20">
        <v>2164</v>
      </c>
      <c r="M22" s="20">
        <v>3465</v>
      </c>
      <c r="N22" s="87">
        <v>65</v>
      </c>
      <c r="O22" s="79">
        <v>49524</v>
      </c>
    </row>
    <row r="23" spans="1:16" x14ac:dyDescent="0.2">
      <c r="B23" s="78">
        <v>4</v>
      </c>
      <c r="C23" s="79">
        <v>185</v>
      </c>
      <c r="D23" s="20">
        <v>3261</v>
      </c>
      <c r="E23" s="20">
        <v>5323</v>
      </c>
      <c r="F23" s="20">
        <v>3046</v>
      </c>
      <c r="G23" s="20">
        <v>2818</v>
      </c>
      <c r="H23" s="20">
        <v>1874</v>
      </c>
      <c r="I23" s="20">
        <v>4137</v>
      </c>
      <c r="J23" s="20">
        <v>3807</v>
      </c>
      <c r="K23" s="20">
        <v>1797</v>
      </c>
      <c r="L23" s="20">
        <v>2054</v>
      </c>
      <c r="M23" s="20">
        <v>3610</v>
      </c>
      <c r="N23" s="87">
        <v>14</v>
      </c>
      <c r="O23" s="79">
        <v>49923</v>
      </c>
    </row>
    <row r="24" spans="1:16" x14ac:dyDescent="0.2">
      <c r="B24" s="78">
        <v>5</v>
      </c>
      <c r="C24" s="79">
        <v>279</v>
      </c>
      <c r="D24" s="20">
        <v>3430</v>
      </c>
      <c r="E24" s="20">
        <v>4742</v>
      </c>
      <c r="F24" s="20">
        <v>3010</v>
      </c>
      <c r="G24" s="20">
        <v>2533</v>
      </c>
      <c r="H24" s="20">
        <v>1144</v>
      </c>
      <c r="I24" s="20">
        <v>2891</v>
      </c>
      <c r="J24" s="20">
        <v>3161</v>
      </c>
      <c r="K24" s="20">
        <v>1966</v>
      </c>
      <c r="L24" s="20">
        <v>1814</v>
      </c>
      <c r="M24" s="20">
        <v>3634</v>
      </c>
      <c r="N24" s="87">
        <v>17</v>
      </c>
      <c r="O24" s="79">
        <v>40951</v>
      </c>
    </row>
    <row r="25" spans="1:16" x14ac:dyDescent="0.2">
      <c r="B25" s="78">
        <v>6</v>
      </c>
      <c r="C25" s="79">
        <v>77</v>
      </c>
      <c r="D25" s="20">
        <v>1504</v>
      </c>
      <c r="E25" s="20">
        <v>1780</v>
      </c>
      <c r="F25" s="20">
        <v>793</v>
      </c>
      <c r="G25" s="20">
        <v>1061</v>
      </c>
      <c r="H25" s="20">
        <v>587</v>
      </c>
      <c r="I25" s="20">
        <v>773</v>
      </c>
      <c r="J25" s="20">
        <v>867</v>
      </c>
      <c r="K25" s="20">
        <v>486</v>
      </c>
      <c r="L25" s="20">
        <v>696</v>
      </c>
      <c r="M25" s="20">
        <v>919</v>
      </c>
      <c r="N25" s="87">
        <v>0</v>
      </c>
      <c r="O25" s="79">
        <v>12394</v>
      </c>
    </row>
    <row r="26" spans="1:16" x14ac:dyDescent="0.2">
      <c r="B26" s="78">
        <v>7</v>
      </c>
      <c r="C26" s="79">
        <v>31</v>
      </c>
      <c r="D26" s="20">
        <v>319</v>
      </c>
      <c r="E26" s="20">
        <v>442</v>
      </c>
      <c r="F26" s="20">
        <v>164</v>
      </c>
      <c r="G26" s="20">
        <v>268</v>
      </c>
      <c r="H26" s="20">
        <v>66</v>
      </c>
      <c r="I26" s="20">
        <v>117</v>
      </c>
      <c r="J26" s="20">
        <v>112</v>
      </c>
      <c r="K26" s="20">
        <v>86</v>
      </c>
      <c r="L26" s="20">
        <v>64</v>
      </c>
      <c r="M26" s="20">
        <v>287</v>
      </c>
      <c r="N26" s="87">
        <v>0</v>
      </c>
      <c r="O26" s="79">
        <v>3100</v>
      </c>
    </row>
    <row r="27" spans="1:16" x14ac:dyDescent="0.2">
      <c r="B27" s="78">
        <v>8</v>
      </c>
      <c r="C27" s="79">
        <v>8</v>
      </c>
      <c r="D27" s="20">
        <v>108</v>
      </c>
      <c r="E27" s="20">
        <v>156</v>
      </c>
      <c r="F27" s="20">
        <v>135</v>
      </c>
      <c r="G27" s="20">
        <v>65</v>
      </c>
      <c r="H27" s="20">
        <v>47</v>
      </c>
      <c r="I27" s="20">
        <v>46</v>
      </c>
      <c r="J27" s="20">
        <v>52</v>
      </c>
      <c r="K27" s="20">
        <v>0</v>
      </c>
      <c r="L27" s="20">
        <v>16</v>
      </c>
      <c r="M27" s="20">
        <v>68</v>
      </c>
      <c r="N27" s="87">
        <v>0</v>
      </c>
      <c r="O27" s="79">
        <v>813</v>
      </c>
    </row>
    <row r="28" spans="1:16" x14ac:dyDescent="0.2">
      <c r="B28" s="90" t="s">
        <v>38</v>
      </c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1"/>
    </row>
    <row r="29" spans="1:16" x14ac:dyDescent="0.2">
      <c r="B29" s="78">
        <v>3</v>
      </c>
      <c r="C29" s="79">
        <v>1434</v>
      </c>
      <c r="D29" s="20">
        <v>1160</v>
      </c>
      <c r="E29" s="20">
        <v>4991</v>
      </c>
      <c r="F29" s="20">
        <v>5767</v>
      </c>
      <c r="G29" s="20">
        <v>5044</v>
      </c>
      <c r="H29" s="20">
        <v>5150</v>
      </c>
      <c r="I29" s="20">
        <v>1027</v>
      </c>
      <c r="J29" s="20">
        <v>68</v>
      </c>
      <c r="K29" s="20">
        <v>69</v>
      </c>
      <c r="L29" s="20">
        <v>624</v>
      </c>
      <c r="M29" s="20">
        <v>1015</v>
      </c>
      <c r="N29" s="87">
        <v>0</v>
      </c>
      <c r="O29" s="79">
        <v>43922</v>
      </c>
    </row>
    <row r="30" spans="1:16" x14ac:dyDescent="0.2">
      <c r="B30" s="78">
        <v>4</v>
      </c>
      <c r="C30" s="79">
        <v>454</v>
      </c>
      <c r="D30" s="20">
        <v>3195</v>
      </c>
      <c r="E30" s="20">
        <v>8231</v>
      </c>
      <c r="F30" s="20">
        <v>5011</v>
      </c>
      <c r="G30" s="20">
        <v>2026</v>
      </c>
      <c r="H30" s="20">
        <v>5763</v>
      </c>
      <c r="I30" s="20">
        <v>2166</v>
      </c>
      <c r="J30" s="20">
        <v>175</v>
      </c>
      <c r="K30" s="20">
        <v>26</v>
      </c>
      <c r="L30" s="20">
        <v>1419</v>
      </c>
      <c r="M30" s="20">
        <v>970</v>
      </c>
      <c r="N30" s="87">
        <v>0</v>
      </c>
      <c r="O30" s="79">
        <v>41927</v>
      </c>
    </row>
    <row r="31" spans="1:16" x14ac:dyDescent="0.2">
      <c r="B31" s="78">
        <v>5</v>
      </c>
      <c r="C31" s="79">
        <v>327</v>
      </c>
      <c r="D31" s="20">
        <v>3433</v>
      </c>
      <c r="E31" s="20">
        <v>7175</v>
      </c>
      <c r="F31" s="20">
        <v>3436</v>
      </c>
      <c r="G31" s="20">
        <v>2541</v>
      </c>
      <c r="H31" s="20">
        <v>4900</v>
      </c>
      <c r="I31" s="20">
        <v>1277</v>
      </c>
      <c r="J31" s="20">
        <v>98</v>
      </c>
      <c r="K31" s="20">
        <v>11</v>
      </c>
      <c r="L31" s="20">
        <v>1365</v>
      </c>
      <c r="M31" s="20">
        <v>1240</v>
      </c>
      <c r="N31" s="87">
        <v>0</v>
      </c>
      <c r="O31" s="79">
        <v>37990</v>
      </c>
    </row>
    <row r="32" spans="1:16" x14ac:dyDescent="0.2">
      <c r="B32" s="78">
        <v>6</v>
      </c>
      <c r="C32" s="79">
        <v>132</v>
      </c>
      <c r="D32" s="20">
        <v>1209</v>
      </c>
      <c r="E32" s="20">
        <v>2328</v>
      </c>
      <c r="F32" s="20">
        <v>1354</v>
      </c>
      <c r="G32" s="20">
        <v>977</v>
      </c>
      <c r="H32" s="20">
        <v>2159</v>
      </c>
      <c r="I32" s="20">
        <v>293</v>
      </c>
      <c r="J32" s="20">
        <v>0</v>
      </c>
      <c r="K32" s="20">
        <v>0</v>
      </c>
      <c r="L32" s="20">
        <v>247</v>
      </c>
      <c r="M32" s="20">
        <v>95</v>
      </c>
      <c r="N32" s="87">
        <v>0</v>
      </c>
      <c r="O32" s="79">
        <v>10806</v>
      </c>
    </row>
    <row r="33" spans="1:24" x14ac:dyDescent="0.2">
      <c r="B33" s="78">
        <v>7</v>
      </c>
      <c r="C33" s="79">
        <v>0</v>
      </c>
      <c r="D33" s="20">
        <v>236</v>
      </c>
      <c r="E33" s="20">
        <v>354</v>
      </c>
      <c r="F33" s="20">
        <v>229</v>
      </c>
      <c r="G33" s="20">
        <v>189</v>
      </c>
      <c r="H33" s="20">
        <v>389</v>
      </c>
      <c r="I33" s="20">
        <v>109</v>
      </c>
      <c r="J33" s="20">
        <v>0</v>
      </c>
      <c r="K33" s="20">
        <v>0</v>
      </c>
      <c r="L33" s="20">
        <v>38</v>
      </c>
      <c r="M33" s="20">
        <v>16</v>
      </c>
      <c r="N33" s="87">
        <v>0</v>
      </c>
      <c r="O33" s="79">
        <v>2342</v>
      </c>
    </row>
    <row r="34" spans="1:24" x14ac:dyDescent="0.2">
      <c r="B34" s="80">
        <v>8</v>
      </c>
      <c r="C34" s="81">
        <v>0</v>
      </c>
      <c r="D34" s="82">
        <v>65</v>
      </c>
      <c r="E34" s="82">
        <v>124</v>
      </c>
      <c r="F34" s="82">
        <v>16</v>
      </c>
      <c r="G34" s="82">
        <v>60</v>
      </c>
      <c r="H34" s="82">
        <v>43</v>
      </c>
      <c r="I34" s="82">
        <v>14</v>
      </c>
      <c r="J34" s="82">
        <v>0</v>
      </c>
      <c r="K34" s="82">
        <v>0</v>
      </c>
      <c r="L34" s="82">
        <v>10</v>
      </c>
      <c r="M34" s="82">
        <v>0</v>
      </c>
      <c r="N34" s="82">
        <v>0</v>
      </c>
      <c r="O34" s="81">
        <v>516</v>
      </c>
    </row>
    <row r="36" spans="1:24" x14ac:dyDescent="0.2">
      <c r="A36" s="76" t="s">
        <v>130</v>
      </c>
    </row>
    <row r="37" spans="1:24" x14ac:dyDescent="0.2">
      <c r="B37" s="95"/>
      <c r="C37" s="94" t="s">
        <v>131</v>
      </c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</row>
    <row r="38" spans="1:24" x14ac:dyDescent="0.2">
      <c r="B38" s="97" t="s">
        <v>37</v>
      </c>
      <c r="C38" s="81" t="s">
        <v>128</v>
      </c>
      <c r="D38" s="95">
        <v>1</v>
      </c>
      <c r="E38" s="95">
        <v>2</v>
      </c>
      <c r="F38" s="95">
        <v>3</v>
      </c>
      <c r="G38" s="95">
        <v>4</v>
      </c>
      <c r="H38" s="95">
        <v>5</v>
      </c>
      <c r="I38" s="95">
        <v>6</v>
      </c>
      <c r="J38" s="95">
        <v>7</v>
      </c>
      <c r="K38" s="95">
        <v>8</v>
      </c>
      <c r="L38" s="95">
        <v>9</v>
      </c>
      <c r="M38" s="95">
        <v>10</v>
      </c>
      <c r="N38" s="101">
        <v>11</v>
      </c>
      <c r="O38" s="100" t="s">
        <v>17</v>
      </c>
    </row>
    <row r="39" spans="1:24" x14ac:dyDescent="0.2">
      <c r="B39" s="98">
        <v>3</v>
      </c>
      <c r="C39" s="79">
        <f t="shared" ref="C39:N39" si="0">C22/$O39</f>
        <v>4.5463078848560698E-2</v>
      </c>
      <c r="D39" s="417">
        <f t="shared" si="0"/>
        <v>3.89549436795995E-2</v>
      </c>
      <c r="E39" s="417">
        <f t="shared" si="0"/>
        <v>0.11045056320400501</v>
      </c>
      <c r="F39" s="417">
        <f t="shared" si="0"/>
        <v>0.17834793491864831</v>
      </c>
      <c r="G39" s="417">
        <f t="shared" si="0"/>
        <v>0.10991864831038799</v>
      </c>
      <c r="H39" s="417">
        <f t="shared" si="0"/>
        <v>9.5525657071339171E-2</v>
      </c>
      <c r="I39" s="417">
        <f t="shared" si="0"/>
        <v>0.12099499374217772</v>
      </c>
      <c r="J39" s="417">
        <f t="shared" si="0"/>
        <v>8.4543178973717145E-2</v>
      </c>
      <c r="K39" s="417">
        <f t="shared" si="0"/>
        <v>3.7640801001251563E-2</v>
      </c>
      <c r="L39" s="417">
        <f t="shared" si="0"/>
        <v>6.7709637046307891E-2</v>
      </c>
      <c r="M39" s="417">
        <f t="shared" si="0"/>
        <v>0.10841677096370463</v>
      </c>
      <c r="N39" s="417">
        <f t="shared" si="0"/>
        <v>2.0337922403003755E-3</v>
      </c>
      <c r="O39" s="93">
        <f t="shared" ref="O39:O51" si="1">SUM(C22:N22)</f>
        <v>31960</v>
      </c>
      <c r="Q39" s="106" t="s">
        <v>132</v>
      </c>
      <c r="R39" s="106"/>
      <c r="S39" s="106"/>
      <c r="T39" s="106"/>
      <c r="U39" s="106"/>
      <c r="V39" s="106"/>
      <c r="W39" s="106"/>
      <c r="X39" s="106"/>
    </row>
    <row r="40" spans="1:24" x14ac:dyDescent="0.2">
      <c r="B40" s="98">
        <v>4</v>
      </c>
      <c r="C40" s="79">
        <f t="shared" ref="C40:N40" si="2">C23/$O40</f>
        <v>5.7946501284219755E-3</v>
      </c>
      <c r="D40" s="417">
        <f t="shared" si="2"/>
        <v>0.1021424544258598</v>
      </c>
      <c r="E40" s="417">
        <f t="shared" si="2"/>
        <v>0.16672931153291987</v>
      </c>
      <c r="F40" s="417">
        <f t="shared" si="2"/>
        <v>9.5408131303639662E-2</v>
      </c>
      <c r="G40" s="417">
        <f t="shared" si="2"/>
        <v>8.8266616550773669E-2</v>
      </c>
      <c r="H40" s="417">
        <f t="shared" si="2"/>
        <v>5.8698239679258288E-2</v>
      </c>
      <c r="I40" s="417">
        <f t="shared" si="2"/>
        <v>0.12958090584476603</v>
      </c>
      <c r="J40" s="417">
        <f t="shared" si="2"/>
        <v>0.11924450291298629</v>
      </c>
      <c r="K40" s="417">
        <f t="shared" si="2"/>
        <v>5.6286412328509679E-2</v>
      </c>
      <c r="L40" s="417">
        <f t="shared" si="2"/>
        <v>6.4336277642047232E-2</v>
      </c>
      <c r="M40" s="417">
        <f t="shared" si="2"/>
        <v>0.11307398358704504</v>
      </c>
      <c r="N40" s="417">
        <f t="shared" si="2"/>
        <v>4.3851406377247383E-4</v>
      </c>
      <c r="O40" s="93">
        <f t="shared" si="1"/>
        <v>31926</v>
      </c>
      <c r="Q40" t="s">
        <v>133</v>
      </c>
    </row>
    <row r="41" spans="1:24" x14ac:dyDescent="0.2">
      <c r="B41" s="98">
        <v>5</v>
      </c>
      <c r="C41" s="79">
        <f t="shared" ref="C41:N41" si="3">C24/$O41</f>
        <v>9.7480870689353964E-3</v>
      </c>
      <c r="D41" s="417">
        <f t="shared" si="3"/>
        <v>0.11984207400160721</v>
      </c>
      <c r="E41" s="417">
        <f t="shared" si="3"/>
        <v>0.16568254079172637</v>
      </c>
      <c r="F41" s="417">
        <f t="shared" si="3"/>
        <v>0.10516753432794103</v>
      </c>
      <c r="G41" s="417">
        <f t="shared" si="3"/>
        <v>8.8501449984277281E-2</v>
      </c>
      <c r="H41" s="417">
        <f t="shared" si="3"/>
        <v>3.9970650920652669E-2</v>
      </c>
      <c r="I41" s="417">
        <f t="shared" si="3"/>
        <v>0.10100974808706893</v>
      </c>
      <c r="J41" s="417">
        <f t="shared" si="3"/>
        <v>0.11044338073442578</v>
      </c>
      <c r="K41" s="417">
        <f t="shared" si="3"/>
        <v>6.8690821424827922E-2</v>
      </c>
      <c r="L41" s="417">
        <f t="shared" si="3"/>
        <v>6.3380035638167784E-2</v>
      </c>
      <c r="M41" s="417">
        <f t="shared" si="3"/>
        <v>0.12696970755738793</v>
      </c>
      <c r="N41" s="417">
        <f t="shared" si="3"/>
        <v>5.9396946298172671E-4</v>
      </c>
      <c r="O41" s="93">
        <f t="shared" si="1"/>
        <v>28621</v>
      </c>
      <c r="Q41" t="s">
        <v>134</v>
      </c>
    </row>
    <row r="42" spans="1:24" x14ac:dyDescent="0.2">
      <c r="B42" s="98">
        <v>6</v>
      </c>
      <c r="C42" s="79">
        <f t="shared" ref="C42:N42" si="4">C25/$O42</f>
        <v>8.0687414859058997E-3</v>
      </c>
      <c r="D42" s="417">
        <f t="shared" si="4"/>
        <v>0.15760243110133082</v>
      </c>
      <c r="E42" s="417">
        <f t="shared" si="4"/>
        <v>0.18652415383003249</v>
      </c>
      <c r="F42" s="417">
        <f t="shared" si="4"/>
        <v>8.309755841978414E-2</v>
      </c>
      <c r="G42" s="417">
        <f t="shared" si="4"/>
        <v>0.11118097034475531</v>
      </c>
      <c r="H42" s="417">
        <f t="shared" si="4"/>
        <v>6.1511055223724194E-2</v>
      </c>
      <c r="I42" s="417">
        <f t="shared" si="4"/>
        <v>8.1001781410457926E-2</v>
      </c>
      <c r="J42" s="417">
        <f t="shared" si="4"/>
        <v>9.0851933354291106E-2</v>
      </c>
      <c r="K42" s="417">
        <f t="shared" si="4"/>
        <v>5.0927381326626844E-2</v>
      </c>
      <c r="L42" s="417">
        <f t="shared" si="4"/>
        <v>7.2933039924552023E-2</v>
      </c>
      <c r="M42" s="417">
        <f t="shared" si="4"/>
        <v>9.6300953578539239E-2</v>
      </c>
      <c r="N42" s="417">
        <f t="shared" si="4"/>
        <v>0</v>
      </c>
      <c r="O42" s="93">
        <f t="shared" si="1"/>
        <v>9543</v>
      </c>
      <c r="Q42" t="s">
        <v>135</v>
      </c>
    </row>
    <row r="43" spans="1:24" x14ac:dyDescent="0.2">
      <c r="B43" s="98">
        <v>7</v>
      </c>
      <c r="C43" s="79">
        <f t="shared" ref="C43:N43" si="5">C26/$O43</f>
        <v>1.5848670756646217E-2</v>
      </c>
      <c r="D43" s="417">
        <f t="shared" si="5"/>
        <v>0.16308793456032719</v>
      </c>
      <c r="E43" s="417">
        <f t="shared" si="5"/>
        <v>0.22597137014314927</v>
      </c>
      <c r="F43" s="417">
        <f t="shared" si="5"/>
        <v>8.3844580777096112E-2</v>
      </c>
      <c r="G43" s="417">
        <f t="shared" si="5"/>
        <v>0.13701431492842536</v>
      </c>
      <c r="H43" s="417">
        <f t="shared" si="5"/>
        <v>3.3742331288343558E-2</v>
      </c>
      <c r="I43" s="417">
        <f t="shared" si="5"/>
        <v>5.98159509202454E-2</v>
      </c>
      <c r="J43" s="417">
        <f t="shared" si="5"/>
        <v>5.7259713701431493E-2</v>
      </c>
      <c r="K43" s="417">
        <f t="shared" si="5"/>
        <v>4.396728016359918E-2</v>
      </c>
      <c r="L43" s="417">
        <f t="shared" si="5"/>
        <v>3.2719836400817999E-2</v>
      </c>
      <c r="M43" s="417">
        <f t="shared" si="5"/>
        <v>0.1467280163599182</v>
      </c>
      <c r="N43" s="417">
        <f t="shared" si="5"/>
        <v>0</v>
      </c>
      <c r="O43" s="93">
        <f t="shared" si="1"/>
        <v>1956</v>
      </c>
    </row>
    <row r="44" spans="1:24" x14ac:dyDescent="0.2">
      <c r="B44" s="98">
        <v>8</v>
      </c>
      <c r="C44" s="79">
        <f t="shared" ref="C44:N44" si="6">C27/$O44</f>
        <v>1.1412268188302425E-2</v>
      </c>
      <c r="D44" s="417">
        <f t="shared" si="6"/>
        <v>0.15406562054208273</v>
      </c>
      <c r="E44" s="417">
        <f t="shared" si="6"/>
        <v>0.22253922967189729</v>
      </c>
      <c r="F44" s="417">
        <f t="shared" si="6"/>
        <v>0.19258202567760344</v>
      </c>
      <c r="G44" s="417">
        <f t="shared" si="6"/>
        <v>9.2724679029957208E-2</v>
      </c>
      <c r="H44" s="417">
        <f t="shared" si="6"/>
        <v>6.7047075606276749E-2</v>
      </c>
      <c r="I44" s="417">
        <f t="shared" si="6"/>
        <v>6.5620542082738945E-2</v>
      </c>
      <c r="J44" s="417">
        <f t="shared" si="6"/>
        <v>7.4179743223965769E-2</v>
      </c>
      <c r="K44" s="417">
        <f t="shared" si="6"/>
        <v>0</v>
      </c>
      <c r="L44" s="417">
        <f t="shared" si="6"/>
        <v>2.2824536376604851E-2</v>
      </c>
      <c r="M44" s="417">
        <f t="shared" si="6"/>
        <v>9.700427960057062E-2</v>
      </c>
      <c r="N44" s="417">
        <f t="shared" si="6"/>
        <v>0</v>
      </c>
      <c r="O44" s="93">
        <f t="shared" si="1"/>
        <v>701</v>
      </c>
    </row>
    <row r="45" spans="1:24" x14ac:dyDescent="0.2">
      <c r="B45" s="99" t="s">
        <v>38</v>
      </c>
      <c r="C45" s="79"/>
      <c r="D45" s="417"/>
      <c r="E45" s="417"/>
      <c r="F45" s="417"/>
      <c r="G45" s="417"/>
      <c r="H45" s="417"/>
      <c r="I45" s="417"/>
      <c r="J45" s="417"/>
      <c r="K45" s="417"/>
      <c r="L45" s="417"/>
      <c r="M45" s="417"/>
      <c r="N45" s="417"/>
      <c r="O45" s="93">
        <f t="shared" si="1"/>
        <v>0</v>
      </c>
    </row>
    <row r="46" spans="1:24" x14ac:dyDescent="0.2">
      <c r="B46" s="98">
        <v>3</v>
      </c>
      <c r="C46" s="79">
        <f t="shared" ref="C46:N46" si="7">C29/$O46</f>
        <v>5.4423317772970513E-2</v>
      </c>
      <c r="D46" s="417">
        <f t="shared" si="7"/>
        <v>4.4024441155262058E-2</v>
      </c>
      <c r="E46" s="417">
        <f t="shared" si="7"/>
        <v>0.18941895328095942</v>
      </c>
      <c r="F46" s="417">
        <f t="shared" si="7"/>
        <v>0.21886978632965198</v>
      </c>
      <c r="G46" s="417">
        <f t="shared" si="7"/>
        <v>0.19143041481650158</v>
      </c>
      <c r="H46" s="417">
        <f t="shared" si="7"/>
        <v>0.19545333788758587</v>
      </c>
      <c r="I46" s="417">
        <f t="shared" si="7"/>
        <v>3.8976811264184598E-2</v>
      </c>
      <c r="J46" s="417">
        <f t="shared" si="7"/>
        <v>2.5807431022050174E-3</v>
      </c>
      <c r="K46" s="417">
        <f t="shared" si="7"/>
        <v>2.6186952066492089E-3</v>
      </c>
      <c r="L46" s="417">
        <f t="shared" si="7"/>
        <v>2.3682113173175454E-2</v>
      </c>
      <c r="M46" s="417">
        <f t="shared" si="7"/>
        <v>3.8521386010854301E-2</v>
      </c>
      <c r="N46" s="417">
        <f t="shared" si="7"/>
        <v>0</v>
      </c>
      <c r="O46" s="93">
        <f t="shared" si="1"/>
        <v>26349</v>
      </c>
    </row>
    <row r="47" spans="1:24" x14ac:dyDescent="0.2">
      <c r="B47" s="98">
        <v>4</v>
      </c>
      <c r="C47" s="79">
        <f t="shared" ref="C47:N47" si="8">C30/$O47</f>
        <v>1.5423291208044572E-2</v>
      </c>
      <c r="D47" s="417">
        <f t="shared" si="8"/>
        <v>0.10854056257643702</v>
      </c>
      <c r="E47" s="417">
        <f t="shared" si="8"/>
        <v>0.27962359016170674</v>
      </c>
      <c r="F47" s="417">
        <f t="shared" si="8"/>
        <v>0.17023372740861531</v>
      </c>
      <c r="G47" s="417">
        <f t="shared" si="8"/>
        <v>6.8827286316075556E-2</v>
      </c>
      <c r="H47" s="417">
        <f t="shared" si="8"/>
        <v>0.19578067672238075</v>
      </c>
      <c r="I47" s="417">
        <f t="shared" si="8"/>
        <v>7.3583367305340402E-2</v>
      </c>
      <c r="J47" s="417">
        <f t="shared" si="8"/>
        <v>5.9451012365810572E-3</v>
      </c>
      <c r="K47" s="417">
        <f t="shared" si="8"/>
        <v>8.8327218372061418E-4</v>
      </c>
      <c r="L47" s="417">
        <f t="shared" si="8"/>
        <v>4.820627802690583E-2</v>
      </c>
      <c r="M47" s="417">
        <f t="shared" si="8"/>
        <v>3.2952846854192148E-2</v>
      </c>
      <c r="N47" s="417">
        <f t="shared" si="8"/>
        <v>0</v>
      </c>
      <c r="O47" s="93">
        <f t="shared" si="1"/>
        <v>29436</v>
      </c>
    </row>
    <row r="48" spans="1:24" x14ac:dyDescent="0.2">
      <c r="B48" s="98">
        <v>5</v>
      </c>
      <c r="C48" s="79">
        <f t="shared" ref="C48:N48" si="9">C31/$O48</f>
        <v>1.2672945006394605E-2</v>
      </c>
      <c r="D48" s="417">
        <f t="shared" si="9"/>
        <v>0.13304654497539045</v>
      </c>
      <c r="E48" s="417">
        <f t="shared" si="9"/>
        <v>0.27806844165407124</v>
      </c>
      <c r="F48" s="417">
        <f t="shared" si="9"/>
        <v>0.13316281052590784</v>
      </c>
      <c r="G48" s="417">
        <f t="shared" si="9"/>
        <v>9.8476921288222302E-2</v>
      </c>
      <c r="H48" s="417">
        <f t="shared" si="9"/>
        <v>0.18990039917839011</v>
      </c>
      <c r="I48" s="417">
        <f t="shared" si="9"/>
        <v>4.9490369336898807E-2</v>
      </c>
      <c r="J48" s="417">
        <f t="shared" si="9"/>
        <v>3.7980079835678022E-3</v>
      </c>
      <c r="K48" s="417">
        <f t="shared" si="9"/>
        <v>4.2630701856373292E-4</v>
      </c>
      <c r="L48" s="417">
        <f t="shared" si="9"/>
        <v>5.290082548540867E-2</v>
      </c>
      <c r="M48" s="417">
        <f t="shared" si="9"/>
        <v>4.8056427547184435E-2</v>
      </c>
      <c r="N48" s="417">
        <f t="shared" si="9"/>
        <v>0</v>
      </c>
      <c r="O48" s="93">
        <f t="shared" si="1"/>
        <v>25803</v>
      </c>
    </row>
    <row r="49" spans="1:16" x14ac:dyDescent="0.2">
      <c r="B49" s="98">
        <v>6</v>
      </c>
      <c r="C49" s="79">
        <f t="shared" ref="C49:N49" si="10">C32/$O49</f>
        <v>1.5010234250625426E-2</v>
      </c>
      <c r="D49" s="417">
        <f t="shared" si="10"/>
        <v>0.13748010006822833</v>
      </c>
      <c r="E49" s="417">
        <f t="shared" si="10"/>
        <v>0.26472594951103023</v>
      </c>
      <c r="F49" s="417">
        <f t="shared" si="10"/>
        <v>0.1539686149647487</v>
      </c>
      <c r="G49" s="417">
        <f t="shared" si="10"/>
        <v>0.11109847623379578</v>
      </c>
      <c r="H49" s="417">
        <f t="shared" si="10"/>
        <v>0.24550830111439617</v>
      </c>
      <c r="I49" s="417">
        <f t="shared" si="10"/>
        <v>3.3318171480554923E-2</v>
      </c>
      <c r="J49" s="417">
        <f t="shared" si="10"/>
        <v>0</v>
      </c>
      <c r="K49" s="417">
        <f t="shared" si="10"/>
        <v>0</v>
      </c>
      <c r="L49" s="417">
        <f t="shared" si="10"/>
        <v>2.8087332272003638E-2</v>
      </c>
      <c r="M49" s="417">
        <f t="shared" si="10"/>
        <v>1.0802820104616783E-2</v>
      </c>
      <c r="N49" s="417">
        <f t="shared" si="10"/>
        <v>0</v>
      </c>
      <c r="O49" s="93">
        <f t="shared" si="1"/>
        <v>8794</v>
      </c>
    </row>
    <row r="50" spans="1:16" x14ac:dyDescent="0.2">
      <c r="B50" s="98">
        <v>7</v>
      </c>
      <c r="C50" s="79">
        <f t="shared" ref="C50:N50" si="11">C33/$O50</f>
        <v>0</v>
      </c>
      <c r="D50" s="417">
        <f t="shared" si="11"/>
        <v>0.15128205128205127</v>
      </c>
      <c r="E50" s="417">
        <f t="shared" si="11"/>
        <v>0.22692307692307692</v>
      </c>
      <c r="F50" s="417">
        <f t="shared" si="11"/>
        <v>0.1467948717948718</v>
      </c>
      <c r="G50" s="417">
        <f t="shared" si="11"/>
        <v>0.12115384615384615</v>
      </c>
      <c r="H50" s="417">
        <f t="shared" si="11"/>
        <v>0.24935897435897436</v>
      </c>
      <c r="I50" s="417">
        <f t="shared" si="11"/>
        <v>6.9871794871794873E-2</v>
      </c>
      <c r="J50" s="417">
        <f t="shared" si="11"/>
        <v>0</v>
      </c>
      <c r="K50" s="417">
        <f t="shared" si="11"/>
        <v>0</v>
      </c>
      <c r="L50" s="417">
        <f t="shared" si="11"/>
        <v>2.4358974358974359E-2</v>
      </c>
      <c r="M50" s="417">
        <f t="shared" si="11"/>
        <v>1.0256410256410256E-2</v>
      </c>
      <c r="N50" s="417">
        <f t="shared" si="11"/>
        <v>0</v>
      </c>
      <c r="O50" s="93">
        <f t="shared" si="1"/>
        <v>1560</v>
      </c>
    </row>
    <row r="51" spans="1:16" x14ac:dyDescent="0.2">
      <c r="B51" s="96">
        <v>8</v>
      </c>
      <c r="C51" s="79">
        <f t="shared" ref="C51:N51" si="12">C34/$O51</f>
        <v>0</v>
      </c>
      <c r="D51" s="417">
        <f t="shared" si="12"/>
        <v>0.19578313253012047</v>
      </c>
      <c r="E51" s="417">
        <f t="shared" si="12"/>
        <v>0.37349397590361444</v>
      </c>
      <c r="F51" s="417">
        <f t="shared" si="12"/>
        <v>4.8192771084337352E-2</v>
      </c>
      <c r="G51" s="417">
        <f t="shared" si="12"/>
        <v>0.18072289156626506</v>
      </c>
      <c r="H51" s="417">
        <f t="shared" si="12"/>
        <v>0.12951807228915663</v>
      </c>
      <c r="I51" s="417">
        <f t="shared" si="12"/>
        <v>4.2168674698795178E-2</v>
      </c>
      <c r="J51" s="417">
        <f t="shared" si="12"/>
        <v>0</v>
      </c>
      <c r="K51" s="417">
        <f t="shared" si="12"/>
        <v>0</v>
      </c>
      <c r="L51" s="417">
        <f t="shared" si="12"/>
        <v>3.0120481927710843E-2</v>
      </c>
      <c r="M51" s="417">
        <f t="shared" si="12"/>
        <v>0</v>
      </c>
      <c r="N51" s="417">
        <f t="shared" si="12"/>
        <v>0</v>
      </c>
      <c r="O51" s="93">
        <f t="shared" si="1"/>
        <v>332</v>
      </c>
      <c r="P51" s="88"/>
    </row>
    <row r="52" spans="1:16" x14ac:dyDescent="0.2">
      <c r="P52" s="88"/>
    </row>
    <row r="53" spans="1:16" x14ac:dyDescent="0.2">
      <c r="A53" t="s">
        <v>269</v>
      </c>
    </row>
    <row r="55" spans="1:16" x14ac:dyDescent="0.2">
      <c r="B55" s="97" t="s">
        <v>37</v>
      </c>
    </row>
    <row r="56" spans="1:16" x14ac:dyDescent="0.2">
      <c r="B56" s="98">
        <v>3</v>
      </c>
      <c r="C56">
        <f t="shared" ref="C56:C61" si="13">SUMPRODUCT(C39:N39,C5:N5)</f>
        <v>15.030833025568672</v>
      </c>
    </row>
    <row r="57" spans="1:16" x14ac:dyDescent="0.2">
      <c r="B57" s="98">
        <v>4</v>
      </c>
      <c r="C57">
        <f t="shared" si="13"/>
        <v>15.987743847702568</v>
      </c>
    </row>
    <row r="58" spans="1:16" x14ac:dyDescent="0.2">
      <c r="B58" s="98">
        <v>5</v>
      </c>
      <c r="C58">
        <f t="shared" si="13"/>
        <v>15.31304384356096</v>
      </c>
    </row>
    <row r="59" spans="1:16" x14ac:dyDescent="0.2">
      <c r="B59" s="98">
        <v>6</v>
      </c>
      <c r="C59">
        <f t="shared" si="13"/>
        <v>12.275831977532862</v>
      </c>
    </row>
    <row r="60" spans="1:16" x14ac:dyDescent="0.2">
      <c r="B60" s="98">
        <v>7</v>
      </c>
      <c r="C60">
        <f t="shared" si="13"/>
        <v>9.5638154421603119</v>
      </c>
    </row>
    <row r="61" spans="1:16" x14ac:dyDescent="0.2">
      <c r="B61" s="98">
        <v>8</v>
      </c>
      <c r="C61">
        <f t="shared" si="13"/>
        <v>7.2316153998317159</v>
      </c>
    </row>
    <row r="62" spans="1:16" x14ac:dyDescent="0.2">
      <c r="B62" s="99" t="s">
        <v>38</v>
      </c>
    </row>
    <row r="63" spans="1:16" x14ac:dyDescent="0.2">
      <c r="B63" s="98">
        <v>3</v>
      </c>
      <c r="C63">
        <f t="shared" ref="C63:C68" si="14">SUMPRODUCT(C46:N46,C12:N12)</f>
        <v>7.7391861240451556</v>
      </c>
    </row>
    <row r="64" spans="1:16" x14ac:dyDescent="0.2">
      <c r="B64" s="98">
        <v>4</v>
      </c>
      <c r="C64">
        <f t="shared" si="14"/>
        <v>8.600341931331311</v>
      </c>
    </row>
    <row r="65" spans="2:3" x14ac:dyDescent="0.2">
      <c r="B65" s="98">
        <v>5</v>
      </c>
      <c r="C65">
        <f t="shared" si="14"/>
        <v>8.4913191805983654</v>
      </c>
    </row>
    <row r="66" spans="2:3" x14ac:dyDescent="0.2">
      <c r="B66" s="98">
        <v>6</v>
      </c>
      <c r="C66">
        <f t="shared" si="14"/>
        <v>6.6300526672994362</v>
      </c>
    </row>
    <row r="67" spans="2:3" x14ac:dyDescent="0.2">
      <c r="B67" s="98">
        <v>7</v>
      </c>
      <c r="C67">
        <f t="shared" si="14"/>
        <v>7.5484462183751839</v>
      </c>
    </row>
    <row r="68" spans="2:3" x14ac:dyDescent="0.2">
      <c r="B68" s="96">
        <v>8</v>
      </c>
      <c r="C68">
        <f t="shared" si="14"/>
        <v>4.3624773344228505</v>
      </c>
    </row>
  </sheetData>
  <pageMargins left="0.7" right="0.7" top="0.75" bottom="0.75" header="0.3" footer="0.3"/>
  <ignoredErrors>
    <ignoredError sqref="P5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R50"/>
  <sheetViews>
    <sheetView showGridLines="0" workbookViewId="0"/>
  </sheetViews>
  <sheetFormatPr defaultRowHeight="12.75" x14ac:dyDescent="0.2"/>
  <cols>
    <col min="1" max="1" width="4.28515625" customWidth="1"/>
  </cols>
  <sheetData>
    <row r="2" spans="2:18" x14ac:dyDescent="0.2">
      <c r="B2" s="76" t="s">
        <v>296</v>
      </c>
    </row>
    <row r="4" spans="2:18" x14ac:dyDescent="0.2">
      <c r="B4" s="397"/>
      <c r="C4" s="77"/>
      <c r="D4" s="521" t="s">
        <v>8</v>
      </c>
      <c r="E4" s="521"/>
      <c r="F4" s="521" t="s">
        <v>18</v>
      </c>
      <c r="G4" s="521"/>
      <c r="H4" s="521" t="s">
        <v>184</v>
      </c>
      <c r="I4" s="521"/>
      <c r="J4" s="521" t="s">
        <v>32</v>
      </c>
      <c r="K4" s="521"/>
      <c r="L4" s="521" t="s">
        <v>23</v>
      </c>
      <c r="M4" s="521"/>
      <c r="N4" s="521" t="s">
        <v>31</v>
      </c>
      <c r="O4" s="522"/>
      <c r="P4" s="520" t="s">
        <v>17</v>
      </c>
      <c r="Q4" s="520"/>
    </row>
    <row r="5" spans="2:18" x14ac:dyDescent="0.2">
      <c r="B5" s="399" t="s">
        <v>226</v>
      </c>
      <c r="C5" s="101"/>
      <c r="D5" s="104" t="s">
        <v>72</v>
      </c>
      <c r="E5" s="104" t="s">
        <v>73</v>
      </c>
      <c r="F5" s="104" t="s">
        <v>72</v>
      </c>
      <c r="G5" s="104" t="s">
        <v>73</v>
      </c>
      <c r="H5" s="104" t="s">
        <v>72</v>
      </c>
      <c r="I5" s="104" t="s">
        <v>73</v>
      </c>
      <c r="J5" s="104" t="s">
        <v>72</v>
      </c>
      <c r="K5" s="104" t="s">
        <v>73</v>
      </c>
      <c r="L5" s="104" t="s">
        <v>72</v>
      </c>
      <c r="M5" s="104" t="s">
        <v>73</v>
      </c>
      <c r="N5" s="104" t="s">
        <v>72</v>
      </c>
      <c r="O5" s="403" t="s">
        <v>73</v>
      </c>
      <c r="P5" s="104" t="s">
        <v>72</v>
      </c>
      <c r="Q5" s="104" t="s">
        <v>73</v>
      </c>
    </row>
    <row r="6" spans="2:18" x14ac:dyDescent="0.2">
      <c r="C6" s="404" t="s">
        <v>9</v>
      </c>
      <c r="D6" s="67">
        <f>'Breast cancer'!AU24</f>
        <v>0</v>
      </c>
      <c r="E6" s="67">
        <f>'Breast cancer'!AU32</f>
        <v>0</v>
      </c>
      <c r="F6" s="67">
        <f>'Colon cancer'!AU24</f>
        <v>0</v>
      </c>
      <c r="G6" s="67">
        <f>'Colon cancer'!AU32</f>
        <v>0</v>
      </c>
      <c r="H6" s="67">
        <f>CVD!AU24</f>
        <v>0</v>
      </c>
      <c r="I6" s="67">
        <f>CVD!AU32</f>
        <v>0</v>
      </c>
      <c r="J6" s="67">
        <f>Depression!AU24</f>
        <v>0</v>
      </c>
      <c r="K6" s="67">
        <f>Depression!AU32</f>
        <v>0</v>
      </c>
      <c r="L6" s="67">
        <f>Dementia!AU24</f>
        <v>0</v>
      </c>
      <c r="M6" s="67">
        <f>Dementia!AU32</f>
        <v>0</v>
      </c>
      <c r="N6" s="67">
        <f>Diabetes!AU24</f>
        <v>0</v>
      </c>
      <c r="O6" s="392">
        <f>Diabetes!AU32</f>
        <v>0</v>
      </c>
      <c r="P6" s="64">
        <f>D6+F6+H6+J6+L6+N6</f>
        <v>0</v>
      </c>
      <c r="Q6" s="64">
        <f>E6+G6+I6+K6+M6+O6</f>
        <v>0</v>
      </c>
    </row>
    <row r="7" spans="2:18" x14ac:dyDescent="0.2">
      <c r="B7" s="396"/>
      <c r="C7" s="391" t="s">
        <v>86</v>
      </c>
      <c r="D7" s="67">
        <f>'Breast cancer'!AU25</f>
        <v>0</v>
      </c>
      <c r="E7" s="67">
        <f>'Breast cancer'!AU33</f>
        <v>0</v>
      </c>
      <c r="F7" s="67">
        <f>'Colon cancer'!AU25</f>
        <v>0</v>
      </c>
      <c r="G7" s="67">
        <f>'Colon cancer'!AU33</f>
        <v>0</v>
      </c>
      <c r="H7" s="67">
        <f>CVD!AU25</f>
        <v>0</v>
      </c>
      <c r="I7" s="67">
        <f>CVD!AU33</f>
        <v>0</v>
      </c>
      <c r="J7" s="67">
        <f>Depression!AU25</f>
        <v>0</v>
      </c>
      <c r="K7" s="67">
        <f>Depression!AU33</f>
        <v>0</v>
      </c>
      <c r="L7" s="67">
        <f>Dementia!AU25</f>
        <v>0</v>
      </c>
      <c r="M7" s="67">
        <f>Dementia!AU33</f>
        <v>0</v>
      </c>
      <c r="N7" s="67">
        <f>Diabetes!AU25</f>
        <v>0</v>
      </c>
      <c r="O7" s="392">
        <f>Diabetes!AU33</f>
        <v>0</v>
      </c>
      <c r="P7" s="64">
        <f t="shared" ref="P7:P48" si="0">D7+F7+H7+J7+L7+N7</f>
        <v>0</v>
      </c>
      <c r="Q7" s="64">
        <f t="shared" ref="Q7:Q48" si="1">E7+G7+I7+K7+M7+O7</f>
        <v>0</v>
      </c>
    </row>
    <row r="8" spans="2:18" x14ac:dyDescent="0.2">
      <c r="B8" s="396"/>
      <c r="C8" s="391" t="s">
        <v>61</v>
      </c>
      <c r="D8" s="67">
        <f>'Breast cancer'!AU26</f>
        <v>0</v>
      </c>
      <c r="E8" s="67">
        <f>'Breast cancer'!AU34</f>
        <v>0</v>
      </c>
      <c r="F8" s="67">
        <f>'Colon cancer'!AU26</f>
        <v>-6.320464386851965E-4</v>
      </c>
      <c r="G8" s="67">
        <f>'Colon cancer'!AU34</f>
        <v>0</v>
      </c>
      <c r="H8" s="67">
        <f>CVD!AU26</f>
        <v>0</v>
      </c>
      <c r="I8" s="67">
        <f>CVD!AU34</f>
        <v>0</v>
      </c>
      <c r="J8" s="67">
        <f>Depression!AU26</f>
        <v>0</v>
      </c>
      <c r="K8" s="67">
        <f>Depression!AU34</f>
        <v>0</v>
      </c>
      <c r="L8" s="67">
        <f>Dementia!AU26</f>
        <v>0</v>
      </c>
      <c r="M8" s="67">
        <f>Dementia!AU34</f>
        <v>0</v>
      </c>
      <c r="N8" s="67">
        <f>Diabetes!AU26</f>
        <v>0</v>
      </c>
      <c r="O8" s="392">
        <f>Diabetes!AU34</f>
        <v>0</v>
      </c>
      <c r="P8" s="64">
        <f t="shared" si="0"/>
        <v>-6.320464386851965E-4</v>
      </c>
      <c r="Q8" s="64">
        <f t="shared" si="1"/>
        <v>0</v>
      </c>
    </row>
    <row r="9" spans="2:18" x14ac:dyDescent="0.2">
      <c r="B9" s="396"/>
      <c r="C9" s="391" t="s">
        <v>62</v>
      </c>
      <c r="D9" s="67">
        <f>'Breast cancer'!AU27</f>
        <v>0</v>
      </c>
      <c r="E9" s="67">
        <f>'Breast cancer'!AU35</f>
        <v>-1.6489216346946556E-3</v>
      </c>
      <c r="F9" s="67">
        <f>'Colon cancer'!AU27</f>
        <v>0</v>
      </c>
      <c r="G9" s="67">
        <f>'Colon cancer'!AU35</f>
        <v>-1.1123833250539228E-3</v>
      </c>
      <c r="H9" s="67">
        <f>CVD!AU27</f>
        <v>-8.6119854435349197E-3</v>
      </c>
      <c r="I9" s="67">
        <f>CVD!AU35</f>
        <v>-3.8616153871040559E-3</v>
      </c>
      <c r="J9" s="67">
        <f>Depression!AU27</f>
        <v>0</v>
      </c>
      <c r="K9" s="67">
        <f>Depression!AU35</f>
        <v>0</v>
      </c>
      <c r="L9" s="67">
        <f>Dementia!AU27</f>
        <v>0</v>
      </c>
      <c r="M9" s="67">
        <f>Dementia!AU35</f>
        <v>0</v>
      </c>
      <c r="N9" s="67">
        <f>Diabetes!AU27</f>
        <v>-3.1880547519782532E-3</v>
      </c>
      <c r="O9" s="392">
        <f>Diabetes!AU35</f>
        <v>-7.9410751971504823E-3</v>
      </c>
      <c r="P9" s="64">
        <f t="shared" si="0"/>
        <v>-1.1800040195513173E-2</v>
      </c>
      <c r="Q9" s="64">
        <f t="shared" si="1"/>
        <v>-1.4563995544003117E-2</v>
      </c>
    </row>
    <row r="10" spans="2:18" x14ac:dyDescent="0.2">
      <c r="B10" s="396"/>
      <c r="C10" s="391" t="s">
        <v>63</v>
      </c>
      <c r="D10" s="67">
        <f>'Breast cancer'!AU28</f>
        <v>0</v>
      </c>
      <c r="E10" s="67">
        <f>'Breast cancer'!AU36</f>
        <v>-7.1141484119507936E-3</v>
      </c>
      <c r="F10" s="67">
        <f>'Colon cancer'!AU28</f>
        <v>-8.5332446619226232E-3</v>
      </c>
      <c r="G10" s="67">
        <f>'Colon cancer'!AU36</f>
        <v>-3.0852676552761693E-3</v>
      </c>
      <c r="H10" s="67">
        <f>CVD!AU28</f>
        <v>-5.6699267150008836E-2</v>
      </c>
      <c r="I10" s="67">
        <f>CVD!AU36</f>
        <v>-1.1903542824256874E-2</v>
      </c>
      <c r="J10" s="67">
        <f>Depression!AU28</f>
        <v>0</v>
      </c>
      <c r="K10" s="67">
        <f>Depression!AU36</f>
        <v>0</v>
      </c>
      <c r="L10" s="67">
        <f>Dementia!AU28</f>
        <v>0</v>
      </c>
      <c r="M10" s="67">
        <f>Dementia!AU36</f>
        <v>0</v>
      </c>
      <c r="N10" s="67">
        <f>Diabetes!AU28</f>
        <v>-1.0336180783371063E-2</v>
      </c>
      <c r="O10" s="392">
        <f>Diabetes!AU36</f>
        <v>-2.5460430473678741E-2</v>
      </c>
      <c r="P10" s="64">
        <f t="shared" si="0"/>
        <v>-7.5568692595302522E-2</v>
      </c>
      <c r="Q10" s="64">
        <f t="shared" si="1"/>
        <v>-4.7563389365162578E-2</v>
      </c>
    </row>
    <row r="11" spans="2:18" x14ac:dyDescent="0.2">
      <c r="B11" s="396"/>
      <c r="C11" s="391" t="s">
        <v>64</v>
      </c>
      <c r="D11" s="67">
        <f>'Breast cancer'!AU29</f>
        <v>0</v>
      </c>
      <c r="E11" s="67">
        <f>'Breast cancer'!AU37</f>
        <v>-9.4508809896076684E-3</v>
      </c>
      <c r="F11" s="67">
        <f>'Colon cancer'!AU29</f>
        <v>-6.3656432580678768E-3</v>
      </c>
      <c r="G11" s="67">
        <f>'Colon cancer'!AU37</f>
        <v>-3.1878431935279394E-3</v>
      </c>
      <c r="H11" s="67">
        <f>CVD!AU29</f>
        <v>-8.9916204537090039E-2</v>
      </c>
      <c r="I11" s="67">
        <f>CVD!AU37</f>
        <v>-4.549805601239143E-2</v>
      </c>
      <c r="J11" s="67">
        <f>Depression!AU29</f>
        <v>0</v>
      </c>
      <c r="K11" s="67">
        <f>Depression!AU37</f>
        <v>0</v>
      </c>
      <c r="L11" s="67">
        <f>Dementia!AU29</f>
        <v>-3.3743217292885319E-3</v>
      </c>
      <c r="M11" s="67">
        <f>Dementia!AU37</f>
        <v>-5.653080849356229E-3</v>
      </c>
      <c r="N11" s="67">
        <f>Diabetes!AU29</f>
        <v>-1.5850321566738046E-2</v>
      </c>
      <c r="O11" s="392">
        <f>Diabetes!AU37</f>
        <v>-4.40007188934608E-2</v>
      </c>
      <c r="P11" s="64">
        <f t="shared" si="0"/>
        <v>-0.11550649109118449</v>
      </c>
      <c r="Q11" s="64">
        <f t="shared" si="1"/>
        <v>-0.10779057993834407</v>
      </c>
    </row>
    <row r="12" spans="2:18" x14ac:dyDescent="0.2">
      <c r="B12" s="396"/>
      <c r="C12" s="391" t="s">
        <v>65</v>
      </c>
      <c r="D12" s="67">
        <f>'Breast cancer'!AU30</f>
        <v>0</v>
      </c>
      <c r="E12" s="67">
        <f>'Breast cancer'!AU38</f>
        <v>-4.2537803218429815E-3</v>
      </c>
      <c r="F12" s="67">
        <f>'Colon cancer'!AU30</f>
        <v>-1.5040838148497215E-2</v>
      </c>
      <c r="G12" s="67">
        <f>'Colon cancer'!AU38</f>
        <v>-3.5218285089797519E-3</v>
      </c>
      <c r="H12" s="67">
        <f>CVD!AU30</f>
        <v>-0.13284688700268532</v>
      </c>
      <c r="I12" s="67">
        <f>CVD!AU38</f>
        <v>-6.4259963882491888E-2</v>
      </c>
      <c r="J12" s="67">
        <f>Depression!AU30</f>
        <v>0</v>
      </c>
      <c r="K12" s="67">
        <f>Depression!AU38</f>
        <v>0</v>
      </c>
      <c r="L12" s="67">
        <f>Dementia!AU30</f>
        <v>-3.1319309951008734E-2</v>
      </c>
      <c r="M12" s="67">
        <f>Dementia!AU38</f>
        <v>-2.0805934070750709E-2</v>
      </c>
      <c r="N12" s="67">
        <f>Diabetes!AU30</f>
        <v>-3.5024529376290303E-2</v>
      </c>
      <c r="O12" s="392">
        <f>Diabetes!AU38</f>
        <v>-3.5725942265479205E-2</v>
      </c>
      <c r="P12" s="64">
        <f t="shared" si="0"/>
        <v>-0.21423156447848157</v>
      </c>
      <c r="Q12" s="64">
        <f t="shared" si="1"/>
        <v>-0.12856744904954454</v>
      </c>
    </row>
    <row r="13" spans="2:18" x14ac:dyDescent="0.2">
      <c r="B13" s="397"/>
      <c r="C13" s="95" t="s">
        <v>66</v>
      </c>
      <c r="D13" s="393">
        <f>'Breast cancer'!AU31</f>
        <v>0</v>
      </c>
      <c r="E13" s="393">
        <f>'Breast cancer'!AU39</f>
        <v>-1.20806581717261E-2</v>
      </c>
      <c r="F13" s="393">
        <f>'Colon cancer'!AU31</f>
        <v>-1.0991146420359144E-2</v>
      </c>
      <c r="G13" s="393">
        <f>'Colon cancer'!AU39</f>
        <v>-7.0526254357972107E-3</v>
      </c>
      <c r="H13" s="393">
        <f>CVD!AU31</f>
        <v>-0.26556450355482752</v>
      </c>
      <c r="I13" s="393">
        <f>CVD!AU39</f>
        <v>-0.31202192593224254</v>
      </c>
      <c r="J13" s="393">
        <f>Depression!AU31</f>
        <v>0</v>
      </c>
      <c r="K13" s="393">
        <f>Depression!AU39</f>
        <v>-9.4035005810622074E-4</v>
      </c>
      <c r="L13" s="393">
        <f>Dementia!AU31</f>
        <v>-0.2311922988628794</v>
      </c>
      <c r="M13" s="393">
        <f>Dementia!AU39</f>
        <v>-0.10997069797193149</v>
      </c>
      <c r="N13" s="393">
        <f>Diabetes!AU31</f>
        <v>-6.3093248094766352E-2</v>
      </c>
      <c r="O13" s="398">
        <f>Diabetes!AU39</f>
        <v>-3.7546233945313645E-2</v>
      </c>
      <c r="P13" s="395">
        <f t="shared" si="0"/>
        <v>-0.57084119693283242</v>
      </c>
      <c r="Q13" s="395">
        <f t="shared" si="1"/>
        <v>-0.4796124915151172</v>
      </c>
    </row>
    <row r="14" spans="2:18" x14ac:dyDescent="0.2">
      <c r="B14" s="399"/>
      <c r="C14" s="101" t="s">
        <v>74</v>
      </c>
      <c r="D14" s="400">
        <f t="shared" ref="D14:O14" si="2">SUM(D6:D13)</f>
        <v>0</v>
      </c>
      <c r="E14" s="400">
        <f t="shared" si="2"/>
        <v>-3.4548389529822199E-2</v>
      </c>
      <c r="F14" s="400">
        <f t="shared" si="2"/>
        <v>-4.1562918927532055E-2</v>
      </c>
      <c r="G14" s="400">
        <f t="shared" si="2"/>
        <v>-1.7959948118634994E-2</v>
      </c>
      <c r="H14" s="400">
        <f t="shared" si="2"/>
        <v>-0.55363884768814664</v>
      </c>
      <c r="I14" s="400">
        <f t="shared" si="2"/>
        <v>-0.43754510403848679</v>
      </c>
      <c r="J14" s="400">
        <f t="shared" si="2"/>
        <v>0</v>
      </c>
      <c r="K14" s="400">
        <f t="shared" si="2"/>
        <v>-9.4035005810622074E-4</v>
      </c>
      <c r="L14" s="400">
        <f t="shared" si="2"/>
        <v>-0.26588593054317666</v>
      </c>
      <c r="M14" s="400">
        <f t="shared" si="2"/>
        <v>-0.13642971289203842</v>
      </c>
      <c r="N14" s="400">
        <f t="shared" si="2"/>
        <v>-0.12749233457314402</v>
      </c>
      <c r="O14" s="401">
        <f t="shared" si="2"/>
        <v>-0.15067440077508287</v>
      </c>
      <c r="P14" s="402">
        <f t="shared" si="0"/>
        <v>-0.98858003173199938</v>
      </c>
      <c r="Q14" s="402">
        <f t="shared" si="1"/>
        <v>-0.7780979054121715</v>
      </c>
      <c r="R14" s="65">
        <f>P14+Q14</f>
        <v>-1.7666779371441708</v>
      </c>
    </row>
    <row r="15" spans="2:18" x14ac:dyDescent="0.2">
      <c r="B15" s="396"/>
      <c r="C15" s="391"/>
      <c r="D15" s="67">
        <f>D14+E14</f>
        <v>-3.4548389529822199E-2</v>
      </c>
      <c r="E15" s="67">
        <f>F14+G14</f>
        <v>-5.9522867046167049E-2</v>
      </c>
      <c r="F15" s="67">
        <f>H14+I14</f>
        <v>-0.99118395172663343</v>
      </c>
      <c r="G15" s="67">
        <f>J14+K14</f>
        <v>-9.4035005810622074E-4</v>
      </c>
      <c r="H15" s="67">
        <f>L14+M14</f>
        <v>-0.40231564343521509</v>
      </c>
      <c r="I15" s="67">
        <f>N14+O14</f>
        <v>-0.27816673534822689</v>
      </c>
      <c r="J15" s="67"/>
      <c r="K15" s="67"/>
      <c r="L15" s="67"/>
      <c r="M15" s="67"/>
      <c r="N15" s="67"/>
      <c r="O15" s="392"/>
      <c r="P15" s="64"/>
      <c r="Q15" s="507">
        <f>(P14+Q14)/GBDUS!B216</f>
        <v>-9.8752260321082765E-4</v>
      </c>
      <c r="R15" s="504"/>
    </row>
    <row r="16" spans="2:18" x14ac:dyDescent="0.2">
      <c r="B16" s="396"/>
      <c r="C16" s="391"/>
      <c r="D16" s="67"/>
      <c r="E16" s="505">
        <f>(D14+E14)/GBDUS!$K$23</f>
        <v>-4.3732138645344553E-4</v>
      </c>
      <c r="F16" s="505"/>
      <c r="G16" s="505">
        <f>(F14+G14)/GBDUS!$K$40</f>
        <v>-5.3624204546096445E-4</v>
      </c>
      <c r="H16" s="505"/>
      <c r="I16" s="505">
        <f>(H14+I14)/GBDUS!$K$73</f>
        <v>-3.4536026192565623E-3</v>
      </c>
      <c r="J16" s="505"/>
      <c r="K16" s="505">
        <f>(J14+K14)/GBDUS!$K$142</f>
        <v>-4.7017502905311037E-4</v>
      </c>
      <c r="L16" s="505"/>
      <c r="M16" s="505">
        <f>(L14+M14)/GBDUS!$K$108</f>
        <v>-9.9337195909929656E-4</v>
      </c>
      <c r="N16" s="505"/>
      <c r="O16" s="506">
        <f>(N14+O14)/GBDUS!$K$125</f>
        <v>-1.2530033123794005E-3</v>
      </c>
      <c r="P16" s="64"/>
      <c r="Q16" s="442"/>
      <c r="R16" s="504"/>
    </row>
    <row r="17" spans="2:18" x14ac:dyDescent="0.2">
      <c r="B17" s="397" t="s">
        <v>227</v>
      </c>
      <c r="C17" s="95"/>
      <c r="D17" s="393"/>
      <c r="E17" s="393"/>
      <c r="F17" s="393"/>
      <c r="G17" s="393"/>
      <c r="H17" s="393"/>
      <c r="I17" s="393"/>
      <c r="J17" s="393"/>
      <c r="K17" s="393"/>
      <c r="L17" s="393"/>
      <c r="M17" s="393"/>
      <c r="N17" s="393"/>
      <c r="O17" s="398"/>
      <c r="P17" s="395"/>
      <c r="Q17" s="395"/>
      <c r="R17" s="504"/>
    </row>
    <row r="18" spans="2:18" x14ac:dyDescent="0.2">
      <c r="B18" s="396"/>
      <c r="C18" s="391" t="s">
        <v>9</v>
      </c>
      <c r="D18" s="67">
        <f>'Breast cancer'!AV24</f>
        <v>0</v>
      </c>
      <c r="E18" s="67">
        <f>'Breast cancer'!AV32</f>
        <v>0</v>
      </c>
      <c r="F18" s="67">
        <f>'Colon cancer'!AV24</f>
        <v>0</v>
      </c>
      <c r="G18" s="67">
        <f>'Colon cancer'!AV32</f>
        <v>0</v>
      </c>
      <c r="H18" s="67">
        <f>CVD!AV24</f>
        <v>-6.9136992628298088E-2</v>
      </c>
      <c r="I18" s="67">
        <f>CVD!AV32</f>
        <v>-8.600831283990118E-2</v>
      </c>
      <c r="J18" s="67">
        <f>Depression!AV24</f>
        <v>0</v>
      </c>
      <c r="K18" s="67">
        <f>Depression!AV32</f>
        <v>0</v>
      </c>
      <c r="L18" s="67">
        <f>Dementia!AV24</f>
        <v>0</v>
      </c>
      <c r="M18" s="67">
        <f>Dementia!AV32</f>
        <v>0</v>
      </c>
      <c r="N18" s="67">
        <f>Diabetes!AV24</f>
        <v>-1.5136912803395575E-2</v>
      </c>
      <c r="O18" s="392">
        <f>Diabetes!AV32</f>
        <v>-2.1614148900736652E-2</v>
      </c>
      <c r="P18" s="64">
        <f t="shared" si="0"/>
        <v>-8.4273905431693663E-2</v>
      </c>
      <c r="Q18" s="64">
        <f t="shared" si="1"/>
        <v>-0.10762246174063783</v>
      </c>
      <c r="R18" s="504"/>
    </row>
    <row r="19" spans="2:18" x14ac:dyDescent="0.2">
      <c r="B19" s="396"/>
      <c r="C19" s="391" t="s">
        <v>86</v>
      </c>
      <c r="D19" s="67">
        <f>'Breast cancer'!AV25</f>
        <v>0</v>
      </c>
      <c r="E19" s="67">
        <f>'Breast cancer'!AV33</f>
        <v>0</v>
      </c>
      <c r="F19" s="67">
        <f>'Colon cancer'!AV25</f>
        <v>0</v>
      </c>
      <c r="G19" s="67">
        <f>'Colon cancer'!AV33</f>
        <v>0</v>
      </c>
      <c r="H19" s="67">
        <f>CVD!AV25</f>
        <v>-4.4177339240832225E-2</v>
      </c>
      <c r="I19" s="67">
        <f>CVD!AV33</f>
        <v>-2.1168039981436237E-2</v>
      </c>
      <c r="J19" s="67">
        <f>Depression!AV25</f>
        <v>0</v>
      </c>
      <c r="K19" s="67">
        <f>Depression!AV33</f>
        <v>0</v>
      </c>
      <c r="L19" s="67">
        <f>Dementia!AV25</f>
        <v>-1.7694980024606011E-2</v>
      </c>
      <c r="M19" s="67">
        <f>Dementia!AV33</f>
        <v>-9.6126404366634333E-3</v>
      </c>
      <c r="N19" s="67">
        <f>Diabetes!AV25</f>
        <v>-1.609839613212749E-2</v>
      </c>
      <c r="O19" s="392">
        <f>Diabetes!AV33</f>
        <v>-1.1856293686696606E-2</v>
      </c>
      <c r="P19" s="64">
        <f t="shared" si="0"/>
        <v>-7.7970715397565726E-2</v>
      </c>
      <c r="Q19" s="64">
        <f t="shared" si="1"/>
        <v>-4.2636974104796277E-2</v>
      </c>
      <c r="R19" s="504"/>
    </row>
    <row r="20" spans="2:18" x14ac:dyDescent="0.2">
      <c r="B20" s="396"/>
      <c r="C20" s="391" t="s">
        <v>61</v>
      </c>
      <c r="D20" s="67">
        <f>'Breast cancer'!AV26</f>
        <v>0</v>
      </c>
      <c r="E20" s="67">
        <f>'Breast cancer'!AV34</f>
        <v>-1.2819001342840863E-2</v>
      </c>
      <c r="F20" s="67">
        <f>'Colon cancer'!AV26</f>
        <v>-3.8652143684345219E-2</v>
      </c>
      <c r="G20" s="67">
        <f>'Colon cancer'!AV34</f>
        <v>-9.4710270195115243E-3</v>
      </c>
      <c r="H20" s="67">
        <f>CVD!AV26</f>
        <v>-0.12959719687884785</v>
      </c>
      <c r="I20" s="67">
        <f>CVD!AV34</f>
        <v>-8.0047135001464653E-2</v>
      </c>
      <c r="J20" s="67">
        <f>Depression!AV26</f>
        <v>0</v>
      </c>
      <c r="K20" s="67">
        <f>Depression!AV34</f>
        <v>0</v>
      </c>
      <c r="L20" s="67">
        <f>Dementia!AV26</f>
        <v>-3.9106020683874476E-3</v>
      </c>
      <c r="M20" s="67">
        <f>Dementia!AV34</f>
        <v>-4.1859143571651991E-3</v>
      </c>
      <c r="N20" s="67">
        <f>Diabetes!AV26</f>
        <v>-6.2535777632973577E-2</v>
      </c>
      <c r="O20" s="392">
        <f>Diabetes!AV34</f>
        <v>-7.2220640000040248E-2</v>
      </c>
      <c r="P20" s="64">
        <f t="shared" si="0"/>
        <v>-0.2346957202645541</v>
      </c>
      <c r="Q20" s="64">
        <f t="shared" si="1"/>
        <v>-0.17874371772102249</v>
      </c>
      <c r="R20" s="504"/>
    </row>
    <row r="21" spans="2:18" x14ac:dyDescent="0.2">
      <c r="B21" s="396"/>
      <c r="C21" s="391" t="s">
        <v>62</v>
      </c>
      <c r="D21" s="67">
        <f>'Breast cancer'!AV27</f>
        <v>0</v>
      </c>
      <c r="E21" s="67">
        <f>'Breast cancer'!AV35</f>
        <v>-7.6961816722928234E-2</v>
      </c>
      <c r="F21" s="67">
        <f>'Colon cancer'!AV27</f>
        <v>-5.8225813261898907E-2</v>
      </c>
      <c r="G21" s="67">
        <f>'Colon cancer'!AV35</f>
        <v>-5.203564683401396E-2</v>
      </c>
      <c r="H21" s="67">
        <f>CVD!AV27</f>
        <v>-0.40030895928208565</v>
      </c>
      <c r="I21" s="67">
        <f>CVD!AV35</f>
        <v>-0.17965201833413857</v>
      </c>
      <c r="J21" s="67">
        <f>Depression!AV27</f>
        <v>0</v>
      </c>
      <c r="K21" s="67">
        <f>Depression!AV35</f>
        <v>0</v>
      </c>
      <c r="L21" s="67">
        <f>Dementia!AV27</f>
        <v>-4.3077490969070098E-3</v>
      </c>
      <c r="M21" s="67">
        <f>Dementia!AV35</f>
        <v>-5.2634930779946743E-3</v>
      </c>
      <c r="N21" s="67">
        <f>Diabetes!AV27</f>
        <v>-0.15059202123725868</v>
      </c>
      <c r="O21" s="392">
        <f>Diabetes!AV35</f>
        <v>-0.37587212841199857</v>
      </c>
      <c r="P21" s="64">
        <f t="shared" si="0"/>
        <v>-0.61343454287815025</v>
      </c>
      <c r="Q21" s="64">
        <f t="shared" si="1"/>
        <v>-0.68978510338107402</v>
      </c>
      <c r="R21" s="504"/>
    </row>
    <row r="22" spans="2:18" x14ac:dyDescent="0.2">
      <c r="B22" s="396"/>
      <c r="C22" s="391" t="s">
        <v>63</v>
      </c>
      <c r="D22" s="67">
        <f>'Breast cancer'!AV28</f>
        <v>0</v>
      </c>
      <c r="E22" s="67">
        <f>'Breast cancer'!AV36</f>
        <v>-0.24070046486883712</v>
      </c>
      <c r="F22" s="67">
        <f>'Colon cancer'!AV28</f>
        <v>-0.28405030127328246</v>
      </c>
      <c r="G22" s="67">
        <f>'Colon cancer'!AV36</f>
        <v>-0.1030110104970845</v>
      </c>
      <c r="H22" s="67">
        <f>CVD!AV28</f>
        <v>-1.8959026301195081</v>
      </c>
      <c r="I22" s="67">
        <f>CVD!AV36</f>
        <v>-0.39577016080835392</v>
      </c>
      <c r="J22" s="67">
        <f>Depression!AV28</f>
        <v>0</v>
      </c>
      <c r="K22" s="67">
        <f>Depression!AV36</f>
        <v>0</v>
      </c>
      <c r="L22" s="67">
        <f>Dementia!AV28</f>
        <v>-2.4881270082602214E-2</v>
      </c>
      <c r="M22" s="67">
        <f>Dementia!AV36</f>
        <v>-2.9128414786264045E-2</v>
      </c>
      <c r="N22" s="67">
        <f>Diabetes!AV28</f>
        <v>-0.34530343526995466</v>
      </c>
      <c r="O22" s="392">
        <f>Diabetes!AV36</f>
        <v>-0.84530450172326255</v>
      </c>
      <c r="P22" s="64">
        <f t="shared" si="0"/>
        <v>-2.5501376367453474</v>
      </c>
      <c r="Q22" s="64">
        <f t="shared" si="1"/>
        <v>-1.6139145526838021</v>
      </c>
      <c r="R22" s="504"/>
    </row>
    <row r="23" spans="2:18" x14ac:dyDescent="0.2">
      <c r="B23" s="396"/>
      <c r="C23" s="391" t="s">
        <v>64</v>
      </c>
      <c r="D23" s="67">
        <f>'Breast cancer'!AV29</f>
        <v>0</v>
      </c>
      <c r="E23" s="67">
        <f>'Breast cancer'!AV37</f>
        <v>-0.22067345738116728</v>
      </c>
      <c r="F23" s="67">
        <f>'Colon cancer'!AV29</f>
        <v>-0.14737939336032468</v>
      </c>
      <c r="G23" s="67">
        <f>'Colon cancer'!AV37</f>
        <v>-7.3619440209000686E-2</v>
      </c>
      <c r="H23" s="67">
        <f>CVD!AV29</f>
        <v>-2.084343792526397</v>
      </c>
      <c r="I23" s="67">
        <f>CVD!AV37</f>
        <v>-1.0450902703466909</v>
      </c>
      <c r="J23" s="67">
        <f>Depression!AV29</f>
        <v>0</v>
      </c>
      <c r="K23" s="67">
        <f>Depression!AV37</f>
        <v>0</v>
      </c>
      <c r="L23" s="67">
        <f>Dementia!AV29</f>
        <v>-7.6134307240536714E-2</v>
      </c>
      <c r="M23" s="67">
        <f>Dementia!AV37</f>
        <v>-0.12722673282243591</v>
      </c>
      <c r="N23" s="67">
        <f>Diabetes!AV29</f>
        <v>-0.36732885193868015</v>
      </c>
      <c r="O23" s="392">
        <f>Diabetes!AV37</f>
        <v>-1.0136838747115462</v>
      </c>
      <c r="P23" s="64">
        <f t="shared" si="0"/>
        <v>-2.6751863450659386</v>
      </c>
      <c r="Q23" s="64">
        <f t="shared" si="1"/>
        <v>-2.480293775470841</v>
      </c>
      <c r="R23" s="504"/>
    </row>
    <row r="24" spans="2:18" x14ac:dyDescent="0.2">
      <c r="B24" s="396"/>
      <c r="C24" s="391" t="s">
        <v>65</v>
      </c>
      <c r="D24" s="67">
        <f>'Breast cancer'!AV30</f>
        <v>0</v>
      </c>
      <c r="E24" s="67">
        <f>'Breast cancer'!AV38</f>
        <v>-6.283901370900935E-2</v>
      </c>
      <c r="F24" s="67">
        <f>'Colon cancer'!AV30</f>
        <v>-0.22223108947650871</v>
      </c>
      <c r="G24" s="67">
        <f>'Colon cancer'!AV38</f>
        <v>-5.1422141865373305E-2</v>
      </c>
      <c r="H24" s="67">
        <f>CVD!AV30</f>
        <v>-1.9407213400149885</v>
      </c>
      <c r="I24" s="67">
        <f>CVD!AV38</f>
        <v>-0.9241012781506015</v>
      </c>
      <c r="J24" s="67">
        <f>Depression!AV30</f>
        <v>0</v>
      </c>
      <c r="K24" s="67">
        <f>Depression!AV38</f>
        <v>0</v>
      </c>
      <c r="L24" s="67">
        <f>Dementia!AV30</f>
        <v>-0.44285373919501581</v>
      </c>
      <c r="M24" s="67">
        <f>Dementia!AV38</f>
        <v>-0.29068809843414556</v>
      </c>
      <c r="N24" s="67">
        <f>Diabetes!AV30</f>
        <v>-0.51641875553809768</v>
      </c>
      <c r="O24" s="392">
        <f>Diabetes!AV38</f>
        <v>-0.52077543479913402</v>
      </c>
      <c r="P24" s="64">
        <f t="shared" si="0"/>
        <v>-3.1222249242246107</v>
      </c>
      <c r="Q24" s="64">
        <f t="shared" si="1"/>
        <v>-1.8498259669582637</v>
      </c>
      <c r="R24" s="504"/>
    </row>
    <row r="25" spans="2:18" x14ac:dyDescent="0.2">
      <c r="B25" s="397"/>
      <c r="C25" s="95" t="s">
        <v>66</v>
      </c>
      <c r="D25" s="393">
        <f>'Breast cancer'!AV31</f>
        <v>0</v>
      </c>
      <c r="E25" s="393">
        <f>'Breast cancer'!AV39</f>
        <v>-6.6148686130162559E-2</v>
      </c>
      <c r="F25" s="393">
        <f>'Colon cancer'!AV31</f>
        <v>-6.9960542446025897E-2</v>
      </c>
      <c r="G25" s="393">
        <f>'Colon cancer'!AV39</f>
        <v>-3.8617402737315842E-2</v>
      </c>
      <c r="H25" s="393">
        <f>CVD!AV31</f>
        <v>-1.6903697832774469</v>
      </c>
      <c r="I25" s="393">
        <f>CVD!AV39</f>
        <v>-1.708512303604266</v>
      </c>
      <c r="J25" s="393">
        <f>Depression!AV31</f>
        <v>0</v>
      </c>
      <c r="K25" s="393">
        <f>Depression!AV39</f>
        <v>0</v>
      </c>
      <c r="L25" s="393">
        <f>Dementia!AV31</f>
        <v>-1.4715791203909703</v>
      </c>
      <c r="M25" s="393">
        <f>Dementia!AV39</f>
        <v>-0.60215532879556122</v>
      </c>
      <c r="N25" s="393">
        <f>Diabetes!AV31</f>
        <v>-0.40159931629352741</v>
      </c>
      <c r="O25" s="398">
        <f>Diabetes!AV39</f>
        <v>-0.20558773599782398</v>
      </c>
      <c r="P25" s="395">
        <f t="shared" si="0"/>
        <v>-3.6335087624079705</v>
      </c>
      <c r="Q25" s="395">
        <f t="shared" si="1"/>
        <v>-2.6210214572651296</v>
      </c>
      <c r="R25" s="504"/>
    </row>
    <row r="26" spans="2:18" x14ac:dyDescent="0.2">
      <c r="B26" s="399"/>
      <c r="C26" s="101" t="s">
        <v>74</v>
      </c>
      <c r="D26" s="400">
        <f>SUM(D18:D25)</f>
        <v>0</v>
      </c>
      <c r="E26" s="400">
        <f t="shared" ref="E26:O26" si="3">SUM(E18:E25)</f>
        <v>-0.6801424401549454</v>
      </c>
      <c r="F26" s="400">
        <f t="shared" si="3"/>
        <v>-0.82049928350238588</v>
      </c>
      <c r="G26" s="400">
        <f t="shared" si="3"/>
        <v>-0.32817666916229982</v>
      </c>
      <c r="H26" s="400">
        <f t="shared" si="3"/>
        <v>-8.2545580339684044</v>
      </c>
      <c r="I26" s="400">
        <f t="shared" si="3"/>
        <v>-4.4403495190668529</v>
      </c>
      <c r="J26" s="400">
        <f t="shared" si="3"/>
        <v>0</v>
      </c>
      <c r="K26" s="400">
        <f t="shared" si="3"/>
        <v>0</v>
      </c>
      <c r="L26" s="400">
        <f t="shared" si="3"/>
        <v>-2.0413617680990255</v>
      </c>
      <c r="M26" s="400">
        <f t="shared" si="3"/>
        <v>-1.06826062271023</v>
      </c>
      <c r="N26" s="400">
        <f t="shared" si="3"/>
        <v>-1.8750134668460152</v>
      </c>
      <c r="O26" s="401">
        <f t="shared" si="3"/>
        <v>-3.0669147582312388</v>
      </c>
      <c r="P26" s="402">
        <f t="shared" si="0"/>
        <v>-12.991432552415832</v>
      </c>
      <c r="Q26" s="402">
        <f t="shared" si="1"/>
        <v>-9.583844009325567</v>
      </c>
      <c r="R26" s="504">
        <f>P26+Q26</f>
        <v>-22.575276561741397</v>
      </c>
    </row>
    <row r="27" spans="2:18" x14ac:dyDescent="0.2">
      <c r="B27" s="396"/>
      <c r="C27" s="391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392"/>
      <c r="P27" s="64"/>
      <c r="Q27" s="507">
        <f>(P26+Q26)/GBDUS!C216</f>
        <v>-1.0029439176394352E-3</v>
      </c>
      <c r="R27" s="504"/>
    </row>
    <row r="28" spans="2:18" x14ac:dyDescent="0.2">
      <c r="B28" s="397" t="s">
        <v>228</v>
      </c>
      <c r="C28" s="95"/>
      <c r="D28" s="393"/>
      <c r="E28" s="393"/>
      <c r="F28" s="393"/>
      <c r="G28" s="393"/>
      <c r="H28" s="393"/>
      <c r="I28" s="393"/>
      <c r="J28" s="393"/>
      <c r="K28" s="393"/>
      <c r="L28" s="393"/>
      <c r="M28" s="393"/>
      <c r="N28" s="393"/>
      <c r="O28" s="398"/>
      <c r="P28" s="395"/>
      <c r="Q28" s="395"/>
      <c r="R28" s="504"/>
    </row>
    <row r="29" spans="2:18" x14ac:dyDescent="0.2">
      <c r="B29" s="396"/>
      <c r="C29" s="391" t="s">
        <v>9</v>
      </c>
      <c r="D29" s="67">
        <f>'Breast cancer'!AW24</f>
        <v>0</v>
      </c>
      <c r="E29" s="67">
        <f>'Breast cancer'!AW32</f>
        <v>0</v>
      </c>
      <c r="F29" s="67">
        <f>'Colon cancer'!AW24</f>
        <v>0</v>
      </c>
      <c r="G29" s="67">
        <f>'Colon cancer'!AW32</f>
        <v>0</v>
      </c>
      <c r="H29" s="67">
        <f>CVD!AW24</f>
        <v>-6.100665584984899E-4</v>
      </c>
      <c r="I29" s="67">
        <f>CVD!AW32</f>
        <v>-3.7829874128161856E-4</v>
      </c>
      <c r="J29" s="67">
        <f>Depression!AW24</f>
        <v>-3.5879877313316211E-4</v>
      </c>
      <c r="K29" s="67">
        <f>Depression!AW32</f>
        <v>-6.5366508990460925E-4</v>
      </c>
      <c r="L29" s="67">
        <f>Dementia!AW24</f>
        <v>0</v>
      </c>
      <c r="M29" s="67">
        <f>Dementia!AW32</f>
        <v>0</v>
      </c>
      <c r="N29" s="67">
        <f>Diabetes!AW24</f>
        <v>-3.578348974625456E-2</v>
      </c>
      <c r="O29" s="392">
        <f>Diabetes!AW32</f>
        <v>-4.7832029067317094E-2</v>
      </c>
      <c r="P29" s="64">
        <f t="shared" si="0"/>
        <v>-3.6752355077886212E-2</v>
      </c>
      <c r="Q29" s="64">
        <f t="shared" si="1"/>
        <v>-4.8863992898503322E-2</v>
      </c>
      <c r="R29" s="504"/>
    </row>
    <row r="30" spans="2:18" x14ac:dyDescent="0.2">
      <c r="B30" s="396"/>
      <c r="C30" s="391" t="s">
        <v>86</v>
      </c>
      <c r="D30" s="67">
        <f>'Breast cancer'!AW25</f>
        <v>0</v>
      </c>
      <c r="E30" s="67">
        <f>'Breast cancer'!AW33</f>
        <v>0</v>
      </c>
      <c r="F30" s="67">
        <f>'Colon cancer'!AW25</f>
        <v>0</v>
      </c>
      <c r="G30" s="67">
        <f>'Colon cancer'!AW33</f>
        <v>0</v>
      </c>
      <c r="H30" s="67">
        <f>CVD!AW25</f>
        <v>-3.2018424233855036E-3</v>
      </c>
      <c r="I30" s="67">
        <f>CVD!AW33</f>
        <v>-1.1428578794883126E-3</v>
      </c>
      <c r="J30" s="67">
        <f>Depression!AW25</f>
        <v>-0.81150221764869457</v>
      </c>
      <c r="K30" s="67">
        <f>Depression!AW33</f>
        <v>-0.61308764067791799</v>
      </c>
      <c r="L30" s="67">
        <f>Dementia!AW25</f>
        <v>0</v>
      </c>
      <c r="M30" s="67">
        <f>Dementia!AW33</f>
        <v>0</v>
      </c>
      <c r="N30" s="67">
        <f>Diabetes!AW25</f>
        <v>-0.10357986709203004</v>
      </c>
      <c r="O30" s="392">
        <f>Diabetes!AW33</f>
        <v>-6.6098203435220881E-2</v>
      </c>
      <c r="P30" s="64">
        <f t="shared" si="0"/>
        <v>-0.91828392716411011</v>
      </c>
      <c r="Q30" s="64">
        <f t="shared" si="1"/>
        <v>-0.68032870199262718</v>
      </c>
      <c r="R30" s="504"/>
    </row>
    <row r="31" spans="2:18" x14ac:dyDescent="0.2">
      <c r="B31" s="396"/>
      <c r="C31" s="391" t="s">
        <v>61</v>
      </c>
      <c r="D31" s="67">
        <f>'Breast cancer'!AW26</f>
        <v>0</v>
      </c>
      <c r="E31" s="67">
        <f>'Breast cancer'!AW34</f>
        <v>-6.7952080561939354E-4</v>
      </c>
      <c r="F31" s="67">
        <f>'Colon cancer'!AW26</f>
        <v>-8.9947481835928045E-4</v>
      </c>
      <c r="G31" s="67">
        <f>'Colon cancer'!AW34</f>
        <v>-2.6669847415144998E-4</v>
      </c>
      <c r="H31" s="67">
        <f>CVD!AW26</f>
        <v>-2.1382869822833328E-2</v>
      </c>
      <c r="I31" s="67">
        <f>CVD!AW34</f>
        <v>-2.1388548140807373E-2</v>
      </c>
      <c r="J31" s="67">
        <f>Depression!AW26</f>
        <v>-0.66967052675840932</v>
      </c>
      <c r="K31" s="67">
        <f>Depression!AW34</f>
        <v>-1.0731690312213686</v>
      </c>
      <c r="L31" s="67">
        <f>Dementia!AW26</f>
        <v>0</v>
      </c>
      <c r="M31" s="67">
        <f>Dementia!AW34</f>
        <v>0</v>
      </c>
      <c r="N31" s="67">
        <f>Diabetes!AW26</f>
        <v>-8.3173815723483813E-2</v>
      </c>
      <c r="O31" s="392">
        <f>Diabetes!AW34</f>
        <v>-0.11472284338996275</v>
      </c>
      <c r="P31" s="64">
        <f t="shared" si="0"/>
        <v>-0.77512668712308574</v>
      </c>
      <c r="Q31" s="64">
        <f t="shared" si="1"/>
        <v>-1.2102266420319097</v>
      </c>
      <c r="R31" s="504"/>
    </row>
    <row r="32" spans="2:18" x14ac:dyDescent="0.2">
      <c r="B32" s="396"/>
      <c r="C32" s="391" t="s">
        <v>62</v>
      </c>
      <c r="D32" s="67">
        <f>'Breast cancer'!AW27</f>
        <v>0</v>
      </c>
      <c r="E32" s="67">
        <f>'Breast cancer'!AW35</f>
        <v>-5.6872711584006197E-3</v>
      </c>
      <c r="F32" s="67">
        <f>'Colon cancer'!AW27</f>
        <v>-2.0084390743182468E-3</v>
      </c>
      <c r="G32" s="67">
        <f>'Colon cancer'!AW35</f>
        <v>-1.9679384841317926E-3</v>
      </c>
      <c r="H32" s="67">
        <f>CVD!AW27</f>
        <v>-4.0789235108128707E-2</v>
      </c>
      <c r="I32" s="67">
        <f>CVD!AW35</f>
        <v>-3.6639554875915081E-2</v>
      </c>
      <c r="J32" s="67">
        <f>Depression!AW27</f>
        <v>-0.5254766487055349</v>
      </c>
      <c r="K32" s="67">
        <f>Depression!AW35</f>
        <v>-0.89033386032269846</v>
      </c>
      <c r="L32" s="67">
        <f>Dementia!AW27</f>
        <v>-6.6482895794228725E-4</v>
      </c>
      <c r="M32" s="67">
        <f>Dementia!AW35</f>
        <v>-1.2006226035177203E-3</v>
      </c>
      <c r="N32" s="67">
        <f>Diabetes!AW27</f>
        <v>-0.17935040327955676</v>
      </c>
      <c r="O32" s="392">
        <f>Diabetes!AW35</f>
        <v>-0.58811899991849259</v>
      </c>
      <c r="P32" s="64">
        <f t="shared" si="0"/>
        <v>-0.7482895551254809</v>
      </c>
      <c r="Q32" s="64">
        <f t="shared" si="1"/>
        <v>-1.5239482473631563</v>
      </c>
      <c r="R32" s="504"/>
    </row>
    <row r="33" spans="2:18" x14ac:dyDescent="0.2">
      <c r="B33" s="396"/>
      <c r="C33" s="391" t="s">
        <v>63</v>
      </c>
      <c r="D33" s="67">
        <f>'Breast cancer'!AW28</f>
        <v>0</v>
      </c>
      <c r="E33" s="67">
        <f>'Breast cancer'!AW36</f>
        <v>-2.8179592636377038E-2</v>
      </c>
      <c r="F33" s="67">
        <f>'Colon cancer'!AW28</f>
        <v>-1.2998979739226257E-2</v>
      </c>
      <c r="G33" s="67">
        <f>'Colon cancer'!AW36</f>
        <v>-5.0024101592889281E-3</v>
      </c>
      <c r="H33" s="67">
        <f>CVD!AW28</f>
        <v>-0.14248716379293569</v>
      </c>
      <c r="I33" s="67">
        <f>CVD!AW36</f>
        <v>-6.3371180680150019E-2</v>
      </c>
      <c r="J33" s="67">
        <f>Depression!AW28</f>
        <v>-0.36601137721129362</v>
      </c>
      <c r="K33" s="67">
        <f>Depression!AW36</f>
        <v>-0.53933234884789272</v>
      </c>
      <c r="L33" s="67">
        <f>Dementia!AW28</f>
        <v>-3.5440252617668477E-2</v>
      </c>
      <c r="M33" s="67">
        <f>Dementia!AW36</f>
        <v>-6.1217298294820921E-2</v>
      </c>
      <c r="N33" s="67">
        <f>Diabetes!AW28</f>
        <v>-0.29471552454299399</v>
      </c>
      <c r="O33" s="392">
        <f>Diabetes!AW36</f>
        <v>-0.96828509877218494</v>
      </c>
      <c r="P33" s="64">
        <f t="shared" si="0"/>
        <v>-0.85165329790411803</v>
      </c>
      <c r="Q33" s="64">
        <f t="shared" si="1"/>
        <v>-1.6653879293907146</v>
      </c>
      <c r="R33" s="504"/>
    </row>
    <row r="34" spans="2:18" x14ac:dyDescent="0.2">
      <c r="B34" s="396"/>
      <c r="C34" s="391" t="s">
        <v>64</v>
      </c>
      <c r="D34" s="67">
        <f>'Breast cancer'!AW29</f>
        <v>0</v>
      </c>
      <c r="E34" s="67">
        <f>'Breast cancer'!AW37</f>
        <v>-3.9392480986435885E-2</v>
      </c>
      <c r="F34" s="67">
        <f>'Colon cancer'!AW29</f>
        <v>-8.3126304801268702E-3</v>
      </c>
      <c r="G34" s="67">
        <f>'Colon cancer'!AW37</f>
        <v>-4.4667692199258369E-3</v>
      </c>
      <c r="H34" s="67">
        <f>CVD!AW29</f>
        <v>-0.17729897508391446</v>
      </c>
      <c r="I34" s="67">
        <f>CVD!AW37</f>
        <v>-0.14055207052601304</v>
      </c>
      <c r="J34" s="67">
        <f>Depression!AW29</f>
        <v>-0.17874329706376102</v>
      </c>
      <c r="K34" s="67">
        <f>Depression!AW37</f>
        <v>-0.30790536941469782</v>
      </c>
      <c r="L34" s="67">
        <f>Dementia!AW29</f>
        <v>-5.6347922213660695E-2</v>
      </c>
      <c r="M34" s="67">
        <f>Dementia!AW37</f>
        <v>-0.13399074799752952</v>
      </c>
      <c r="N34" s="67">
        <f>Diabetes!AW29</f>
        <v>-0.23425880513940456</v>
      </c>
      <c r="O34" s="392">
        <f>Diabetes!AW37</f>
        <v>-0.81928728249556571</v>
      </c>
      <c r="P34" s="64">
        <f t="shared" si="0"/>
        <v>-0.6549616299808676</v>
      </c>
      <c r="Q34" s="64">
        <f t="shared" si="1"/>
        <v>-1.4455947206401678</v>
      </c>
      <c r="R34" s="504"/>
    </row>
    <row r="35" spans="2:18" x14ac:dyDescent="0.2">
      <c r="B35" s="396"/>
      <c r="C35" s="391" t="s">
        <v>65</v>
      </c>
      <c r="D35" s="67">
        <f>'Breast cancer'!AW30</f>
        <v>0</v>
      </c>
      <c r="E35" s="67">
        <f>'Breast cancer'!AW38</f>
        <v>-1.7692198224047218E-2</v>
      </c>
      <c r="F35" s="67">
        <f>'Colon cancer'!AW30</f>
        <v>-1.6947399747262892E-2</v>
      </c>
      <c r="G35" s="67">
        <f>'Colon cancer'!AW38</f>
        <v>-4.1861363324233736E-3</v>
      </c>
      <c r="H35" s="67">
        <f>CVD!AW30</f>
        <v>-0.17293972109987976</v>
      </c>
      <c r="I35" s="67">
        <f>CVD!AW38</f>
        <v>-9.859220869465446E-2</v>
      </c>
      <c r="J35" s="67">
        <f>Depression!AW30</f>
        <v>-0.10050193749387404</v>
      </c>
      <c r="K35" s="67">
        <f>Depression!AW38</f>
        <v>-0.11390407392929092</v>
      </c>
      <c r="L35" s="67">
        <f>Dementia!AW30</f>
        <v>-0.2320093312446545</v>
      </c>
      <c r="M35" s="67">
        <f>Dementia!AW38</f>
        <v>-0.18614051928520325</v>
      </c>
      <c r="N35" s="67">
        <f>Diabetes!AW30</f>
        <v>-0.30061457824052695</v>
      </c>
      <c r="O35" s="392">
        <f>Diabetes!AW38</f>
        <v>-0.36946705493994614</v>
      </c>
      <c r="P35" s="64">
        <f t="shared" si="0"/>
        <v>-0.82301296782619815</v>
      </c>
      <c r="Q35" s="64">
        <f t="shared" si="1"/>
        <v>-0.78998219140556536</v>
      </c>
      <c r="R35" s="504"/>
    </row>
    <row r="36" spans="2:18" x14ac:dyDescent="0.2">
      <c r="B36" s="397"/>
      <c r="C36" s="95" t="s">
        <v>66</v>
      </c>
      <c r="D36" s="393">
        <f>'Breast cancer'!AW31</f>
        <v>0</v>
      </c>
      <c r="E36" s="393">
        <f>'Breast cancer'!AW39</f>
        <v>-3.7721083450591664E-2</v>
      </c>
      <c r="F36" s="393">
        <f>'Colon cancer'!AW31</f>
        <v>-9.096117284794758E-3</v>
      </c>
      <c r="G36" s="393">
        <f>'Colon cancer'!AW39</f>
        <v>-5.7847494899245788E-3</v>
      </c>
      <c r="H36" s="393">
        <f>CVD!AW31</f>
        <v>-0.14096042591509672</v>
      </c>
      <c r="I36" s="393">
        <f>CVD!AW39</f>
        <v>-0.13183106782946652</v>
      </c>
      <c r="J36" s="393">
        <f>Depression!AW31</f>
        <v>-5.8166861527183755E-2</v>
      </c>
      <c r="K36" s="393">
        <f>Depression!AW39</f>
        <v>-0.12456892996829083</v>
      </c>
      <c r="L36" s="393">
        <f>Dementia!AW31</f>
        <v>-1.0220688600542189</v>
      </c>
      <c r="M36" s="393">
        <f>Dementia!AW39</f>
        <v>-0.40008436132239922</v>
      </c>
      <c r="N36" s="393">
        <f>Diabetes!AW31</f>
        <v>-0.24072136126059718</v>
      </c>
      <c r="O36" s="398">
        <f>Diabetes!AW39</f>
        <v>-0.14962349163729982</v>
      </c>
      <c r="P36" s="395">
        <f t="shared" si="0"/>
        <v>-1.4710136260418913</v>
      </c>
      <c r="Q36" s="395">
        <f t="shared" si="1"/>
        <v>-0.84961368369797263</v>
      </c>
      <c r="R36" s="504"/>
    </row>
    <row r="37" spans="2:18" x14ac:dyDescent="0.2">
      <c r="B37" s="399"/>
      <c r="C37" s="101" t="s">
        <v>74</v>
      </c>
      <c r="D37" s="400">
        <f>SUM(D29:D36)</f>
        <v>0</v>
      </c>
      <c r="E37" s="400">
        <f>SUM(E29:E36)</f>
        <v>-0.12935214726147182</v>
      </c>
      <c r="F37" s="400">
        <f t="shared" ref="F37:O37" si="4">SUM(F29:F36)</f>
        <v>-5.0263041144088305E-2</v>
      </c>
      <c r="G37" s="400">
        <f t="shared" si="4"/>
        <v>-2.167470215984596E-2</v>
      </c>
      <c r="H37" s="400">
        <f t="shared" si="4"/>
        <v>-0.69967029980467266</v>
      </c>
      <c r="I37" s="400">
        <f t="shared" si="4"/>
        <v>-0.4938957873677764</v>
      </c>
      <c r="J37" s="400">
        <f t="shared" si="4"/>
        <v>-2.7104316651818845</v>
      </c>
      <c r="K37" s="400">
        <f t="shared" si="4"/>
        <v>-3.6629549194720621</v>
      </c>
      <c r="L37" s="400">
        <f t="shared" si="4"/>
        <v>-1.3465311950881449</v>
      </c>
      <c r="M37" s="400">
        <f t="shared" si="4"/>
        <v>-0.78263354950347064</v>
      </c>
      <c r="N37" s="400">
        <f t="shared" si="4"/>
        <v>-1.4721978450248479</v>
      </c>
      <c r="O37" s="401">
        <f t="shared" si="4"/>
        <v>-3.1234350036559899</v>
      </c>
      <c r="P37" s="402">
        <f t="shared" si="0"/>
        <v>-6.2790940462436389</v>
      </c>
      <c r="Q37" s="402">
        <f t="shared" si="1"/>
        <v>-8.2139461094206165</v>
      </c>
      <c r="R37" s="504">
        <f>P37+Q37</f>
        <v>-14.493040155664255</v>
      </c>
    </row>
    <row r="38" spans="2:18" x14ac:dyDescent="0.2">
      <c r="B38" s="396"/>
      <c r="C38" s="39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392"/>
      <c r="P38" s="64"/>
      <c r="Q38" s="507">
        <f>(P37+Q37)/GBDUS!D216</f>
        <v>-8.2498181280088641E-4</v>
      </c>
      <c r="R38" s="504"/>
    </row>
    <row r="39" spans="2:18" x14ac:dyDescent="0.2">
      <c r="B39" s="397" t="s">
        <v>181</v>
      </c>
      <c r="C39" s="95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8"/>
      <c r="P39" s="395"/>
      <c r="Q39" s="395"/>
      <c r="R39" s="504"/>
    </row>
    <row r="40" spans="2:18" x14ac:dyDescent="0.2">
      <c r="B40" s="396"/>
      <c r="C40" s="391" t="s">
        <v>9</v>
      </c>
      <c r="D40" s="67">
        <f>D18+D29</f>
        <v>0</v>
      </c>
      <c r="E40" s="67">
        <f t="shared" ref="E40:O40" si="5">E18+E29</f>
        <v>0</v>
      </c>
      <c r="F40" s="67">
        <f t="shared" si="5"/>
        <v>0</v>
      </c>
      <c r="G40" s="67">
        <f t="shared" si="5"/>
        <v>0</v>
      </c>
      <c r="H40" s="67">
        <f t="shared" si="5"/>
        <v>-6.9747059186796578E-2</v>
      </c>
      <c r="I40" s="67">
        <f t="shared" si="5"/>
        <v>-8.6386611581182798E-2</v>
      </c>
      <c r="J40" s="67">
        <f t="shared" si="5"/>
        <v>-3.5879877313316211E-4</v>
      </c>
      <c r="K40" s="67">
        <f t="shared" si="5"/>
        <v>-6.5366508990460925E-4</v>
      </c>
      <c r="L40" s="67">
        <f t="shared" si="5"/>
        <v>0</v>
      </c>
      <c r="M40" s="67">
        <f t="shared" si="5"/>
        <v>0</v>
      </c>
      <c r="N40" s="67">
        <f t="shared" si="5"/>
        <v>-5.0920402549650134E-2</v>
      </c>
      <c r="O40" s="392">
        <f t="shared" si="5"/>
        <v>-6.9446177968053746E-2</v>
      </c>
      <c r="P40" s="64">
        <f t="shared" si="0"/>
        <v>-0.12102626050957987</v>
      </c>
      <c r="Q40" s="64">
        <f t="shared" si="1"/>
        <v>-0.15648645463914115</v>
      </c>
      <c r="R40" s="504"/>
    </row>
    <row r="41" spans="2:18" x14ac:dyDescent="0.2">
      <c r="B41" s="396"/>
      <c r="C41" s="391" t="s">
        <v>86</v>
      </c>
      <c r="D41" s="67">
        <f t="shared" ref="D41:O41" si="6">D19+D30</f>
        <v>0</v>
      </c>
      <c r="E41" s="67">
        <f t="shared" si="6"/>
        <v>0</v>
      </c>
      <c r="F41" s="67">
        <f t="shared" si="6"/>
        <v>0</v>
      </c>
      <c r="G41" s="67">
        <f t="shared" si="6"/>
        <v>0</v>
      </c>
      <c r="H41" s="67">
        <f t="shared" si="6"/>
        <v>-4.7379181664217729E-2</v>
      </c>
      <c r="I41" s="67">
        <f t="shared" si="6"/>
        <v>-2.231089786092455E-2</v>
      </c>
      <c r="J41" s="67">
        <f t="shared" si="6"/>
        <v>-0.81150221764869457</v>
      </c>
      <c r="K41" s="67">
        <f t="shared" si="6"/>
        <v>-0.61308764067791799</v>
      </c>
      <c r="L41" s="67">
        <f t="shared" si="6"/>
        <v>-1.7694980024606011E-2</v>
      </c>
      <c r="M41" s="67">
        <f t="shared" si="6"/>
        <v>-9.6126404366634333E-3</v>
      </c>
      <c r="N41" s="67">
        <f t="shared" si="6"/>
        <v>-0.11967826322415753</v>
      </c>
      <c r="O41" s="392">
        <f t="shared" si="6"/>
        <v>-7.7954497121917488E-2</v>
      </c>
      <c r="P41" s="64">
        <f t="shared" si="0"/>
        <v>-0.99625464256167584</v>
      </c>
      <c r="Q41" s="64">
        <f t="shared" si="1"/>
        <v>-0.72296567609742346</v>
      </c>
      <c r="R41" s="504"/>
    </row>
    <row r="42" spans="2:18" x14ac:dyDescent="0.2">
      <c r="B42" s="396"/>
      <c r="C42" s="391" t="s">
        <v>61</v>
      </c>
      <c r="D42" s="67">
        <f t="shared" ref="D42:O42" si="7">D20+D31</f>
        <v>0</v>
      </c>
      <c r="E42" s="67">
        <f t="shared" si="7"/>
        <v>-1.3498522148460257E-2</v>
      </c>
      <c r="F42" s="67">
        <f t="shared" si="7"/>
        <v>-3.95516185027045E-2</v>
      </c>
      <c r="G42" s="67">
        <f t="shared" si="7"/>
        <v>-9.7377254936629742E-3</v>
      </c>
      <c r="H42" s="67">
        <f t="shared" si="7"/>
        <v>-0.15098006670168118</v>
      </c>
      <c r="I42" s="67">
        <f t="shared" si="7"/>
        <v>-0.10143568314227203</v>
      </c>
      <c r="J42" s="67">
        <f t="shared" si="7"/>
        <v>-0.66967052675840932</v>
      </c>
      <c r="K42" s="67">
        <f t="shared" si="7"/>
        <v>-1.0731690312213686</v>
      </c>
      <c r="L42" s="67">
        <f t="shared" si="7"/>
        <v>-3.9106020683874476E-3</v>
      </c>
      <c r="M42" s="67">
        <f t="shared" si="7"/>
        <v>-4.1859143571651991E-3</v>
      </c>
      <c r="N42" s="67">
        <f t="shared" si="7"/>
        <v>-0.14570959335645739</v>
      </c>
      <c r="O42" s="392">
        <f t="shared" si="7"/>
        <v>-0.186943483390003</v>
      </c>
      <c r="P42" s="64">
        <f t="shared" si="0"/>
        <v>-1.0098224073876398</v>
      </c>
      <c r="Q42" s="64">
        <f t="shared" si="1"/>
        <v>-1.3889703597529321</v>
      </c>
      <c r="R42" s="504"/>
    </row>
    <row r="43" spans="2:18" x14ac:dyDescent="0.2">
      <c r="B43" s="396"/>
      <c r="C43" s="391" t="s">
        <v>62</v>
      </c>
      <c r="D43" s="67">
        <f t="shared" ref="D43:O43" si="8">D21+D32</f>
        <v>0</v>
      </c>
      <c r="E43" s="67">
        <f t="shared" si="8"/>
        <v>-8.2649087881328853E-2</v>
      </c>
      <c r="F43" s="67">
        <f t="shared" si="8"/>
        <v>-6.0234252336217153E-2</v>
      </c>
      <c r="G43" s="67">
        <f t="shared" si="8"/>
        <v>-5.4003585318145753E-2</v>
      </c>
      <c r="H43" s="67">
        <f t="shared" si="8"/>
        <v>-0.44109819439021436</v>
      </c>
      <c r="I43" s="67">
        <f t="shared" si="8"/>
        <v>-0.21629157321005366</v>
      </c>
      <c r="J43" s="67">
        <f t="shared" si="8"/>
        <v>-0.5254766487055349</v>
      </c>
      <c r="K43" s="67">
        <f t="shared" si="8"/>
        <v>-0.89033386032269846</v>
      </c>
      <c r="L43" s="67">
        <f t="shared" si="8"/>
        <v>-4.972578054849297E-3</v>
      </c>
      <c r="M43" s="67">
        <f t="shared" si="8"/>
        <v>-6.4641156815123946E-3</v>
      </c>
      <c r="N43" s="67">
        <f t="shared" si="8"/>
        <v>-0.32994242451681544</v>
      </c>
      <c r="O43" s="392">
        <f t="shared" si="8"/>
        <v>-0.96399112833049116</v>
      </c>
      <c r="P43" s="64">
        <f t="shared" si="0"/>
        <v>-1.3617240980036311</v>
      </c>
      <c r="Q43" s="64">
        <f t="shared" si="1"/>
        <v>-2.2137333507442305</v>
      </c>
      <c r="R43" s="504"/>
    </row>
    <row r="44" spans="2:18" x14ac:dyDescent="0.2">
      <c r="B44" s="396"/>
      <c r="C44" s="391" t="s">
        <v>63</v>
      </c>
      <c r="D44" s="67">
        <f t="shared" ref="D44:O44" si="9">D22+D33</f>
        <v>0</v>
      </c>
      <c r="E44" s="67">
        <f t="shared" si="9"/>
        <v>-0.26888005750521415</v>
      </c>
      <c r="F44" s="67">
        <f t="shared" si="9"/>
        <v>-0.29704928101250871</v>
      </c>
      <c r="G44" s="67">
        <f t="shared" si="9"/>
        <v>-0.10801342065637343</v>
      </c>
      <c r="H44" s="67">
        <f t="shared" si="9"/>
        <v>-2.0383897939124438</v>
      </c>
      <c r="I44" s="67">
        <f t="shared" si="9"/>
        <v>-0.45914134148850394</v>
      </c>
      <c r="J44" s="67">
        <f t="shared" si="9"/>
        <v>-0.36601137721129362</v>
      </c>
      <c r="K44" s="67">
        <f t="shared" si="9"/>
        <v>-0.53933234884789272</v>
      </c>
      <c r="L44" s="67">
        <f t="shared" si="9"/>
        <v>-6.0321522700270691E-2</v>
      </c>
      <c r="M44" s="67">
        <f t="shared" si="9"/>
        <v>-9.0345713081084966E-2</v>
      </c>
      <c r="N44" s="67">
        <f t="shared" si="9"/>
        <v>-0.64001895981294865</v>
      </c>
      <c r="O44" s="392">
        <f t="shared" si="9"/>
        <v>-1.8135896004954475</v>
      </c>
      <c r="P44" s="64">
        <f t="shared" si="0"/>
        <v>-3.4017909346494655</v>
      </c>
      <c r="Q44" s="64">
        <f t="shared" si="1"/>
        <v>-3.2793024820745167</v>
      </c>
      <c r="R44" s="504"/>
    </row>
    <row r="45" spans="2:18" x14ac:dyDescent="0.2">
      <c r="B45" s="396"/>
      <c r="C45" s="391" t="s">
        <v>64</v>
      </c>
      <c r="D45" s="67">
        <f t="shared" ref="D45:O45" si="10">D23+D34</f>
        <v>0</v>
      </c>
      <c r="E45" s="67">
        <f t="shared" si="10"/>
        <v>-0.26006593836760317</v>
      </c>
      <c r="F45" s="67">
        <f t="shared" si="10"/>
        <v>-0.15569202384045155</v>
      </c>
      <c r="G45" s="67">
        <f t="shared" si="10"/>
        <v>-7.8086209428926523E-2</v>
      </c>
      <c r="H45" s="67">
        <f t="shared" si="10"/>
        <v>-2.2616427676103115</v>
      </c>
      <c r="I45" s="67">
        <f t="shared" si="10"/>
        <v>-1.1856423408727039</v>
      </c>
      <c r="J45" s="67">
        <f t="shared" si="10"/>
        <v>-0.17874329706376102</v>
      </c>
      <c r="K45" s="67">
        <f t="shared" si="10"/>
        <v>-0.30790536941469782</v>
      </c>
      <c r="L45" s="67">
        <f t="shared" si="10"/>
        <v>-0.13248222945419741</v>
      </c>
      <c r="M45" s="67">
        <f t="shared" si="10"/>
        <v>-0.26121748081996543</v>
      </c>
      <c r="N45" s="67">
        <f t="shared" si="10"/>
        <v>-0.6015876570780847</v>
      </c>
      <c r="O45" s="392">
        <f t="shared" si="10"/>
        <v>-1.8329711572071119</v>
      </c>
      <c r="P45" s="64">
        <f t="shared" si="0"/>
        <v>-3.3301479750468062</v>
      </c>
      <c r="Q45" s="64">
        <f t="shared" si="1"/>
        <v>-3.9258884961110088</v>
      </c>
      <c r="R45" s="504"/>
    </row>
    <row r="46" spans="2:18" x14ac:dyDescent="0.2">
      <c r="B46" s="396"/>
      <c r="C46" s="391" t="s">
        <v>65</v>
      </c>
      <c r="D46" s="67">
        <f t="shared" ref="D46:O46" si="11">D24+D35</f>
        <v>0</v>
      </c>
      <c r="E46" s="67">
        <f t="shared" si="11"/>
        <v>-8.0531211933056568E-2</v>
      </c>
      <c r="F46" s="67">
        <f t="shared" si="11"/>
        <v>-0.23917848922377161</v>
      </c>
      <c r="G46" s="67">
        <f t="shared" si="11"/>
        <v>-5.5608278197796679E-2</v>
      </c>
      <c r="H46" s="67">
        <f t="shared" si="11"/>
        <v>-2.1136610611148683</v>
      </c>
      <c r="I46" s="67">
        <f t="shared" si="11"/>
        <v>-1.022693486845256</v>
      </c>
      <c r="J46" s="67">
        <f t="shared" si="11"/>
        <v>-0.10050193749387404</v>
      </c>
      <c r="K46" s="67">
        <f t="shared" si="11"/>
        <v>-0.11390407392929092</v>
      </c>
      <c r="L46" s="67">
        <f t="shared" si="11"/>
        <v>-0.67486307043967031</v>
      </c>
      <c r="M46" s="67">
        <f t="shared" si="11"/>
        <v>-0.47682861771934881</v>
      </c>
      <c r="N46" s="67">
        <f t="shared" si="11"/>
        <v>-0.81703333377862464</v>
      </c>
      <c r="O46" s="392">
        <f t="shared" si="11"/>
        <v>-0.89024248973908016</v>
      </c>
      <c r="P46" s="64">
        <f t="shared" si="0"/>
        <v>-3.9452378920508089</v>
      </c>
      <c r="Q46" s="64">
        <f t="shared" si="1"/>
        <v>-2.6398081583638291</v>
      </c>
      <c r="R46" s="504"/>
    </row>
    <row r="47" spans="2:18" x14ac:dyDescent="0.2">
      <c r="B47" s="397"/>
      <c r="C47" s="95" t="s">
        <v>66</v>
      </c>
      <c r="D47" s="393">
        <f t="shared" ref="D47:O47" si="12">D25+D36</f>
        <v>0</v>
      </c>
      <c r="E47" s="393">
        <f t="shared" si="12"/>
        <v>-0.10386976958075422</v>
      </c>
      <c r="F47" s="393">
        <f t="shared" si="12"/>
        <v>-7.9056659730820655E-2</v>
      </c>
      <c r="G47" s="393">
        <f t="shared" si="12"/>
        <v>-4.4402152227240421E-2</v>
      </c>
      <c r="H47" s="393">
        <f t="shared" si="12"/>
        <v>-1.8313302091925436</v>
      </c>
      <c r="I47" s="393">
        <f t="shared" si="12"/>
        <v>-1.8403433714337325</v>
      </c>
      <c r="J47" s="393">
        <f t="shared" si="12"/>
        <v>-5.8166861527183755E-2</v>
      </c>
      <c r="K47" s="393">
        <f t="shared" si="12"/>
        <v>-0.12456892996829083</v>
      </c>
      <c r="L47" s="393">
        <f t="shared" si="12"/>
        <v>-2.4936479804451892</v>
      </c>
      <c r="M47" s="393">
        <f t="shared" si="12"/>
        <v>-1.0022396901179604</v>
      </c>
      <c r="N47" s="393">
        <f t="shared" si="12"/>
        <v>-0.64232067755412459</v>
      </c>
      <c r="O47" s="398">
        <f t="shared" si="12"/>
        <v>-0.35521122763512381</v>
      </c>
      <c r="P47" s="395">
        <f t="shared" si="0"/>
        <v>-5.1045223884498618</v>
      </c>
      <c r="Q47" s="395">
        <f t="shared" si="1"/>
        <v>-3.4706351409631022</v>
      </c>
      <c r="R47" s="504"/>
    </row>
    <row r="48" spans="2:18" x14ac:dyDescent="0.2">
      <c r="B48" s="397"/>
      <c r="C48" s="95" t="s">
        <v>74</v>
      </c>
      <c r="D48" s="393">
        <f>SUM(D40:D47)</f>
        <v>0</v>
      </c>
      <c r="E48" s="393">
        <f t="shared" ref="E48:O48" si="13">SUM(E40:E47)</f>
        <v>-0.80949458741641722</v>
      </c>
      <c r="F48" s="393">
        <f t="shared" si="13"/>
        <v>-0.87076232464647418</v>
      </c>
      <c r="G48" s="393">
        <f t="shared" si="13"/>
        <v>-0.34985137132214578</v>
      </c>
      <c r="H48" s="393">
        <f t="shared" si="13"/>
        <v>-8.9542283337730773</v>
      </c>
      <c r="I48" s="393">
        <f t="shared" si="13"/>
        <v>-4.9342453064346294</v>
      </c>
      <c r="J48" s="393">
        <f t="shared" si="13"/>
        <v>-2.7104316651818845</v>
      </c>
      <c r="K48" s="393">
        <f t="shared" si="13"/>
        <v>-3.6629549194720621</v>
      </c>
      <c r="L48" s="393">
        <f t="shared" si="13"/>
        <v>-3.3878929631871704</v>
      </c>
      <c r="M48" s="393">
        <f t="shared" si="13"/>
        <v>-1.8508941722137007</v>
      </c>
      <c r="N48" s="393">
        <f t="shared" si="13"/>
        <v>-3.3472113118708631</v>
      </c>
      <c r="O48" s="393">
        <f t="shared" si="13"/>
        <v>-6.1903497618872283</v>
      </c>
      <c r="P48" s="394">
        <f t="shared" si="0"/>
        <v>-19.270526598659469</v>
      </c>
      <c r="Q48" s="395">
        <f t="shared" si="1"/>
        <v>-17.797790118746185</v>
      </c>
      <c r="R48" s="504">
        <f>P48+Q48</f>
        <v>-37.068316717405651</v>
      </c>
    </row>
    <row r="49" spans="4:17" x14ac:dyDescent="0.2">
      <c r="D49" s="67">
        <f>D48+E48</f>
        <v>-0.80949458741641722</v>
      </c>
      <c r="E49" s="67">
        <f>F48+G48</f>
        <v>-1.22061369596862</v>
      </c>
      <c r="F49" s="67">
        <f>H48+I48</f>
        <v>-13.888473640207707</v>
      </c>
      <c r="G49" s="67">
        <f>J48+K48</f>
        <v>-6.3733865846539466</v>
      </c>
      <c r="H49" s="67">
        <f>L48+M48</f>
        <v>-5.2387871354008713</v>
      </c>
      <c r="I49" s="67">
        <f>N48+O48</f>
        <v>-9.5375610737580914</v>
      </c>
      <c r="Q49" s="507">
        <f>(P48+Q48)/GBDUS!E216</f>
        <v>-9.2493388163623544E-4</v>
      </c>
    </row>
    <row r="50" spans="4:17" x14ac:dyDescent="0.2">
      <c r="E50" s="505">
        <f>(D48+E48)/GBDUS!$N$23</f>
        <v>-4.1419033584592989E-4</v>
      </c>
      <c r="F50" s="505"/>
      <c r="G50" s="505">
        <f>(F48+G48)/GBDUS!$N$23</f>
        <v>-6.245457406762288E-4</v>
      </c>
      <c r="H50" s="505"/>
      <c r="I50" s="505">
        <f>(H48+I48)/GBDUS!$N$23</f>
        <v>-7.1062508024723947E-3</v>
      </c>
      <c r="J50" s="505"/>
      <c r="K50" s="505">
        <f>(J48+K48)/GBDUS!$N$23</f>
        <v>-3.261041112577333E-3</v>
      </c>
      <c r="L50" s="505"/>
      <c r="M50" s="505">
        <f>(L48+M48)/GBDUS!$N$23</f>
        <v>-2.6805058820248977E-3</v>
      </c>
      <c r="N50" s="505"/>
      <c r="O50" s="505">
        <f>(N48+O48)/GBDUS!$N$23</f>
        <v>-4.8800395774095508E-3</v>
      </c>
    </row>
  </sheetData>
  <mergeCells count="7">
    <mergeCell ref="P4:Q4"/>
    <mergeCell ref="D4:E4"/>
    <mergeCell ref="F4:G4"/>
    <mergeCell ref="H4:I4"/>
    <mergeCell ref="J4:K4"/>
    <mergeCell ref="L4:M4"/>
    <mergeCell ref="N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F51"/>
  <sheetViews>
    <sheetView showGridLines="0" zoomScaleNormal="100" workbookViewId="0"/>
  </sheetViews>
  <sheetFormatPr defaultRowHeight="12.75" x14ac:dyDescent="0.2"/>
  <cols>
    <col min="1" max="1" width="4.42578125" style="35" customWidth="1"/>
    <col min="2" max="2" width="8.42578125" style="35" customWidth="1"/>
    <col min="3" max="4" width="5.7109375" style="35" customWidth="1"/>
    <col min="5" max="5" width="6.140625" style="35" customWidth="1"/>
    <col min="6" max="8" width="5.7109375" style="35" customWidth="1"/>
    <col min="9" max="9" width="5.5703125" style="35" customWidth="1"/>
    <col min="10" max="16" width="5.7109375" style="35" customWidth="1"/>
    <col min="17" max="17" width="8.5703125" style="35" customWidth="1"/>
    <col min="18" max="18" width="5.7109375" style="35" customWidth="1"/>
    <col min="19" max="19" width="4.7109375" style="35" customWidth="1"/>
    <col min="20" max="20" width="5.7109375" style="35" customWidth="1"/>
    <col min="21" max="21" width="4.42578125" style="35" customWidth="1"/>
    <col min="22" max="22" width="7.42578125" style="35" customWidth="1"/>
    <col min="23" max="23" width="5.28515625" style="35" customWidth="1"/>
    <col min="24" max="24" width="7.85546875" style="35" customWidth="1"/>
    <col min="25" max="25" width="6.28515625" style="35" customWidth="1"/>
    <col min="26" max="26" width="6.42578125" style="35" customWidth="1"/>
    <col min="27" max="27" width="5.5703125" style="35" customWidth="1"/>
    <col min="28" max="28" width="6.140625" style="35" customWidth="1"/>
    <col min="29" max="29" width="7.7109375" style="35" customWidth="1"/>
    <col min="30" max="30" width="4.5703125" style="35" customWidth="1"/>
    <col min="31" max="31" width="12" style="35" customWidth="1"/>
    <col min="32" max="32" width="12" style="35" bestFit="1" customWidth="1"/>
    <col min="33" max="16384" width="9.140625" style="35"/>
  </cols>
  <sheetData>
    <row r="1" spans="1:32" x14ac:dyDescent="0.2"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32" ht="13.15" customHeight="1" x14ac:dyDescent="0.2">
      <c r="B2" s="151" t="s">
        <v>125</v>
      </c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41"/>
      <c r="Q2" s="151" t="s">
        <v>142</v>
      </c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126"/>
      <c r="AF2" s="108"/>
    </row>
    <row r="3" spans="1:32" ht="12.75" customHeight="1" x14ac:dyDescent="0.2">
      <c r="B3" s="7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41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126"/>
      <c r="AF3" s="108"/>
    </row>
    <row r="4" spans="1:32" ht="12.75" customHeight="1" x14ac:dyDescent="0.2">
      <c r="A4" s="37"/>
      <c r="B4" s="44"/>
      <c r="C4" s="529" t="s">
        <v>25</v>
      </c>
      <c r="D4" s="525" t="s">
        <v>99</v>
      </c>
      <c r="E4" s="525"/>
      <c r="F4" s="525" t="s">
        <v>96</v>
      </c>
      <c r="G4" s="525"/>
      <c r="H4" s="525" t="s">
        <v>97</v>
      </c>
      <c r="I4" s="525"/>
      <c r="J4" s="525" t="s">
        <v>98</v>
      </c>
      <c r="K4" s="525"/>
      <c r="L4" s="525" t="s">
        <v>100</v>
      </c>
      <c r="M4" s="525"/>
      <c r="N4" s="528"/>
      <c r="O4" s="528"/>
      <c r="P4" s="41"/>
      <c r="Q4" s="44"/>
      <c r="R4" s="529" t="s">
        <v>25</v>
      </c>
      <c r="S4" s="525" t="s">
        <v>99</v>
      </c>
      <c r="T4" s="525"/>
      <c r="U4" s="525" t="s">
        <v>96</v>
      </c>
      <c r="V4" s="525"/>
      <c r="W4" s="525" t="s">
        <v>97</v>
      </c>
      <c r="X4" s="525"/>
      <c r="Y4" s="525" t="s">
        <v>98</v>
      </c>
      <c r="Z4" s="525"/>
      <c r="AA4" s="525" t="s">
        <v>100</v>
      </c>
      <c r="AB4" s="525"/>
      <c r="AC4" s="528"/>
      <c r="AD4" s="528"/>
      <c r="AE4" s="126"/>
      <c r="AF4" s="123"/>
    </row>
    <row r="5" spans="1:32" x14ac:dyDescent="0.2">
      <c r="A5" s="37"/>
      <c r="B5" s="110"/>
      <c r="C5" s="530"/>
      <c r="D5" s="110" t="s">
        <v>72</v>
      </c>
      <c r="E5" s="110" t="s">
        <v>73</v>
      </c>
      <c r="F5" s="110" t="s">
        <v>72</v>
      </c>
      <c r="G5" s="110" t="s">
        <v>73</v>
      </c>
      <c r="H5" s="110" t="s">
        <v>72</v>
      </c>
      <c r="I5" s="110" t="s">
        <v>73</v>
      </c>
      <c r="J5" s="110" t="s">
        <v>72</v>
      </c>
      <c r="K5" s="110" t="s">
        <v>73</v>
      </c>
      <c r="L5" s="110" t="s">
        <v>72</v>
      </c>
      <c r="M5" s="110" t="s">
        <v>73</v>
      </c>
      <c r="N5" s="342"/>
      <c r="O5" s="342"/>
      <c r="P5" s="41"/>
      <c r="Q5" s="110"/>
      <c r="R5" s="530"/>
      <c r="S5" s="110" t="s">
        <v>72</v>
      </c>
      <c r="T5" s="110" t="s">
        <v>73</v>
      </c>
      <c r="U5" s="110" t="s">
        <v>72</v>
      </c>
      <c r="V5" s="110" t="s">
        <v>73</v>
      </c>
      <c r="W5" s="110" t="s">
        <v>72</v>
      </c>
      <c r="X5" s="110" t="s">
        <v>73</v>
      </c>
      <c r="Y5" s="110" t="s">
        <v>72</v>
      </c>
      <c r="Z5" s="110" t="s">
        <v>73</v>
      </c>
      <c r="AA5" s="110" t="s">
        <v>72</v>
      </c>
      <c r="AB5" s="110" t="s">
        <v>73</v>
      </c>
      <c r="AC5" s="342"/>
      <c r="AD5" s="342"/>
      <c r="AF5" s="125"/>
    </row>
    <row r="6" spans="1:32" ht="12.75" customHeight="1" x14ac:dyDescent="0.2">
      <c r="B6" s="523" t="s">
        <v>94</v>
      </c>
      <c r="C6" s="115" t="s">
        <v>9</v>
      </c>
      <c r="D6" s="107">
        <f>'CHTS 2013'!Y86</f>
        <v>7.2267112971170979</v>
      </c>
      <c r="E6" s="107">
        <f>'CHTS 2013'!Z86</f>
        <v>6.8815525313275998</v>
      </c>
      <c r="F6" s="118"/>
      <c r="G6" s="118"/>
      <c r="H6" s="311"/>
      <c r="I6" s="311"/>
      <c r="J6" s="118"/>
      <c r="K6" s="118"/>
      <c r="L6" s="118"/>
      <c r="M6" s="118"/>
      <c r="N6" s="58"/>
      <c r="O6" s="58"/>
      <c r="P6" s="41"/>
      <c r="Q6" s="523" t="s">
        <v>275</v>
      </c>
      <c r="R6" s="115" t="s">
        <v>9</v>
      </c>
      <c r="S6" s="107">
        <f>'CHTS 2013'!U86</f>
        <v>0.20213812337076595</v>
      </c>
      <c r="T6" s="107">
        <f>'CHTS 2013'!V86</f>
        <v>0.38289660687380034</v>
      </c>
      <c r="U6" s="118"/>
      <c r="V6" s="118"/>
      <c r="W6" s="311"/>
      <c r="X6" s="311"/>
      <c r="Y6" s="118"/>
      <c r="Z6" s="118"/>
      <c r="AA6" s="118"/>
      <c r="AB6" s="118"/>
      <c r="AC6" s="58"/>
      <c r="AD6" s="58"/>
      <c r="AF6" s="124"/>
    </row>
    <row r="7" spans="1:32" x14ac:dyDescent="0.2">
      <c r="B7" s="523"/>
      <c r="C7" s="115" t="s">
        <v>86</v>
      </c>
      <c r="D7" s="107">
        <f>'CHTS 2013'!Y87</f>
        <v>6.0790237000408212</v>
      </c>
      <c r="E7" s="107">
        <f>'CHTS 2013'!Z87</f>
        <v>6.1747449519417437</v>
      </c>
      <c r="F7" s="118"/>
      <c r="G7" s="118"/>
      <c r="H7" s="311"/>
      <c r="I7" s="311"/>
      <c r="J7" s="118"/>
      <c r="K7" s="118"/>
      <c r="L7" s="118"/>
      <c r="M7" s="118"/>
      <c r="N7" s="58"/>
      <c r="O7" s="58"/>
      <c r="P7" s="41"/>
      <c r="Q7" s="523"/>
      <c r="R7" s="115" t="s">
        <v>86</v>
      </c>
      <c r="S7" s="107">
        <f>'CHTS 2013'!U87</f>
        <v>0.29618173030803552</v>
      </c>
      <c r="T7" s="107">
        <f>'CHTS 2013'!V87</f>
        <v>0.23173086408974611</v>
      </c>
      <c r="U7" s="118"/>
      <c r="V7" s="118"/>
      <c r="W7" s="311"/>
      <c r="X7" s="311"/>
      <c r="Y7" s="118"/>
      <c r="Z7" s="118"/>
      <c r="AA7" s="118"/>
      <c r="AB7" s="118"/>
      <c r="AC7" s="58"/>
      <c r="AD7" s="58"/>
      <c r="AF7" s="124"/>
    </row>
    <row r="8" spans="1:32" x14ac:dyDescent="0.2">
      <c r="B8" s="523"/>
      <c r="C8" s="115" t="s">
        <v>61</v>
      </c>
      <c r="D8" s="107">
        <f>'CHTS 2013'!Y88</f>
        <v>4.2712083747837823</v>
      </c>
      <c r="E8" s="107">
        <f>'CHTS 2013'!Z88</f>
        <v>5.8080342352289529</v>
      </c>
      <c r="F8" s="118"/>
      <c r="G8" s="118"/>
      <c r="H8" s="311"/>
      <c r="I8" s="311"/>
      <c r="J8" s="118"/>
      <c r="K8" s="118"/>
      <c r="L8" s="312"/>
      <c r="M8" s="312"/>
      <c r="N8" s="58"/>
      <c r="O8" s="58"/>
      <c r="P8" s="41"/>
      <c r="Q8" s="523"/>
      <c r="R8" s="115" t="s">
        <v>61</v>
      </c>
      <c r="S8" s="107">
        <f>'CHTS 2013'!U88</f>
        <v>0.19525716155139169</v>
      </c>
      <c r="T8" s="107">
        <f>'CHTS 2013'!V88</f>
        <v>0.27996487510175527</v>
      </c>
      <c r="U8" s="118"/>
      <c r="V8" s="118"/>
      <c r="W8" s="311"/>
      <c r="X8" s="311"/>
      <c r="Y8" s="118"/>
      <c r="Z8" s="118"/>
      <c r="AA8" s="312"/>
      <c r="AB8" s="312"/>
      <c r="AC8" s="58"/>
      <c r="AD8" s="58"/>
      <c r="AF8" s="124"/>
    </row>
    <row r="9" spans="1:32" x14ac:dyDescent="0.2">
      <c r="B9" s="523"/>
      <c r="C9" s="115" t="s">
        <v>62</v>
      </c>
      <c r="D9" s="107">
        <f>'CHTS 2013'!Y89</f>
        <v>3.6759149191860732</v>
      </c>
      <c r="E9" s="107">
        <f>'CHTS 2013'!Z89</f>
        <v>6.350705857867621</v>
      </c>
      <c r="F9" s="118"/>
      <c r="G9" s="118"/>
      <c r="H9" s="311"/>
      <c r="I9" s="311"/>
      <c r="J9" s="118"/>
      <c r="K9" s="118"/>
      <c r="L9" s="118"/>
      <c r="M9" s="118"/>
      <c r="N9" s="58"/>
      <c r="O9" s="58"/>
      <c r="P9" s="41"/>
      <c r="Q9" s="523"/>
      <c r="R9" s="115" t="s">
        <v>62</v>
      </c>
      <c r="S9" s="107">
        <f>'CHTS 2013'!U89</f>
        <v>0.17083679744682839</v>
      </c>
      <c r="T9" s="107">
        <f>'CHTS 2013'!V89</f>
        <v>0.23749181629552468</v>
      </c>
      <c r="U9" s="118"/>
      <c r="V9" s="118"/>
      <c r="W9" s="311"/>
      <c r="X9" s="311"/>
      <c r="Y9" s="118"/>
      <c r="Z9" s="118"/>
      <c r="AA9" s="118"/>
      <c r="AB9" s="118"/>
      <c r="AC9" s="58"/>
      <c r="AD9" s="58"/>
      <c r="AF9" s="124"/>
    </row>
    <row r="10" spans="1:32" x14ac:dyDescent="0.2">
      <c r="B10" s="523"/>
      <c r="C10" s="115" t="s">
        <v>63</v>
      </c>
      <c r="D10" s="107">
        <f>'CHTS 2013'!Y90</f>
        <v>2.5160850967161474</v>
      </c>
      <c r="E10" s="107">
        <f>'CHTS 2013'!Z90</f>
        <v>3.651188249682312</v>
      </c>
      <c r="F10" s="118"/>
      <c r="G10" s="118"/>
      <c r="H10" s="311"/>
      <c r="I10" s="311"/>
      <c r="J10" s="118"/>
      <c r="K10" s="118"/>
      <c r="L10" s="118"/>
      <c r="M10" s="118"/>
      <c r="N10" s="58"/>
      <c r="O10" s="58"/>
      <c r="P10" s="41"/>
      <c r="Q10" s="523"/>
      <c r="R10" s="115" t="s">
        <v>63</v>
      </c>
      <c r="S10" s="107">
        <f>'CHTS 2013'!U90</f>
        <v>9.7056333286420354E-2</v>
      </c>
      <c r="T10" s="107">
        <f>'CHTS 2013'!V90</f>
        <v>0.12936493308899177</v>
      </c>
      <c r="U10" s="118"/>
      <c r="V10" s="118"/>
      <c r="W10" s="311"/>
      <c r="X10" s="311"/>
      <c r="Y10" s="118"/>
      <c r="Z10" s="118"/>
      <c r="AA10" s="118"/>
      <c r="AB10" s="118"/>
      <c r="AC10" s="58"/>
      <c r="AD10" s="58"/>
      <c r="AF10" s="124"/>
    </row>
    <row r="11" spans="1:32" x14ac:dyDescent="0.2">
      <c r="B11" s="523"/>
      <c r="C11" s="115" t="s">
        <v>64</v>
      </c>
      <c r="D11" s="107">
        <f>'CHTS 2013'!Y91</f>
        <v>3.207681588367612</v>
      </c>
      <c r="E11" s="107">
        <f>'CHTS 2013'!Z91</f>
        <v>3.5973827765089164</v>
      </c>
      <c r="F11" s="118"/>
      <c r="G11" s="118"/>
      <c r="H11" s="311"/>
      <c r="I11" s="311"/>
      <c r="J11" s="118"/>
      <c r="K11" s="118"/>
      <c r="L11" s="118"/>
      <c r="M11" s="118"/>
      <c r="N11" s="58"/>
      <c r="O11" s="58"/>
      <c r="P11" s="41"/>
      <c r="Q11" s="523"/>
      <c r="R11" s="115" t="s">
        <v>64</v>
      </c>
      <c r="S11" s="107">
        <f>'CHTS 2013'!U91</f>
        <v>0.1049930067404265</v>
      </c>
      <c r="T11" s="107">
        <f>'CHTS 2013'!V91</f>
        <v>0.11226676603832736</v>
      </c>
      <c r="U11" s="118"/>
      <c r="V11" s="118"/>
      <c r="W11" s="311"/>
      <c r="X11" s="311"/>
      <c r="Y11" s="118"/>
      <c r="Z11" s="118"/>
      <c r="AA11" s="118"/>
      <c r="AB11" s="118"/>
      <c r="AC11" s="58"/>
      <c r="AD11" s="58"/>
      <c r="AF11" s="124"/>
    </row>
    <row r="12" spans="1:32" x14ac:dyDescent="0.2">
      <c r="B12" s="523"/>
      <c r="C12" s="115" t="s">
        <v>65</v>
      </c>
      <c r="D12" s="107">
        <f>'CHTS 2013'!Y92</f>
        <v>1.7661435236883687</v>
      </c>
      <c r="E12" s="107">
        <f>'CHTS 2013'!Z92</f>
        <v>2.5983922910275181</v>
      </c>
      <c r="F12" s="118"/>
      <c r="G12" s="118"/>
      <c r="H12" s="311"/>
      <c r="I12" s="311"/>
      <c r="J12" s="118"/>
      <c r="K12" s="118"/>
      <c r="L12" s="118"/>
      <c r="M12" s="118"/>
      <c r="N12" s="58"/>
      <c r="O12" s="58"/>
      <c r="P12" s="41"/>
      <c r="Q12" s="523"/>
      <c r="R12" s="115" t="s">
        <v>65</v>
      </c>
      <c r="S12" s="107">
        <f>'CHTS 2013'!U92</f>
        <v>5.6061497818028924E-2</v>
      </c>
      <c r="T12" s="107">
        <f>'CHTS 2013'!V92</f>
        <v>6.6701012938230275E-2</v>
      </c>
      <c r="U12" s="118"/>
      <c r="V12" s="118"/>
      <c r="W12" s="311"/>
      <c r="X12" s="311"/>
      <c r="Y12" s="118"/>
      <c r="Z12" s="118"/>
      <c r="AA12" s="118"/>
      <c r="AB12" s="118"/>
      <c r="AC12" s="58"/>
      <c r="AD12" s="58"/>
      <c r="AF12" s="124"/>
    </row>
    <row r="13" spans="1:32" x14ac:dyDescent="0.2">
      <c r="B13" s="523"/>
      <c r="C13" s="115" t="s">
        <v>66</v>
      </c>
      <c r="D13" s="107">
        <f>'CHTS 2013'!Y93</f>
        <v>3.5660957221289635</v>
      </c>
      <c r="E13" s="107">
        <f>'CHTS 2013'!Z93</f>
        <v>3.0515007016442572</v>
      </c>
      <c r="F13" s="118"/>
      <c r="G13" s="118"/>
      <c r="H13" s="311"/>
      <c r="I13" s="311"/>
      <c r="J13" s="118"/>
      <c r="K13" s="118"/>
      <c r="L13" s="118"/>
      <c r="M13" s="118"/>
      <c r="N13" s="58"/>
      <c r="O13" s="58"/>
      <c r="P13" s="41"/>
      <c r="Q13" s="523"/>
      <c r="R13" s="115" t="s">
        <v>66</v>
      </c>
      <c r="S13" s="107">
        <f>'CHTS 2013'!U93</f>
        <v>8.0369540255227037E-2</v>
      </c>
      <c r="T13" s="107">
        <f>'CHTS 2013'!V93</f>
        <v>0.10749705632948571</v>
      </c>
      <c r="U13" s="118"/>
      <c r="V13" s="118"/>
      <c r="W13" s="311"/>
      <c r="X13" s="311"/>
      <c r="Y13" s="118"/>
      <c r="Z13" s="118"/>
      <c r="AA13" s="118"/>
      <c r="AB13" s="118"/>
      <c r="AC13" s="58"/>
      <c r="AD13" s="58"/>
      <c r="AF13" s="124"/>
    </row>
    <row r="14" spans="1:32" x14ac:dyDescent="0.2">
      <c r="B14" s="111"/>
      <c r="C14" s="115"/>
      <c r="D14" s="107"/>
      <c r="E14" s="107"/>
      <c r="F14" s="118"/>
      <c r="G14" s="118"/>
      <c r="H14" s="118"/>
      <c r="I14" s="118"/>
      <c r="J14" s="118"/>
      <c r="K14" s="118"/>
      <c r="L14" s="118"/>
      <c r="M14" s="118"/>
      <c r="N14" s="58"/>
      <c r="O14" s="58"/>
      <c r="P14" s="41"/>
      <c r="Q14" s="111"/>
      <c r="R14" s="115"/>
      <c r="S14" s="107"/>
      <c r="T14" s="107"/>
      <c r="U14" s="118"/>
      <c r="V14" s="118"/>
      <c r="W14" s="118"/>
      <c r="X14" s="118"/>
      <c r="Y14" s="118"/>
      <c r="Z14" s="118"/>
      <c r="AA14" s="118"/>
      <c r="AB14" s="118"/>
      <c r="AC14" s="58"/>
      <c r="AD14" s="58"/>
      <c r="AF14" s="59"/>
    </row>
    <row r="15" spans="1:32" ht="12.75" customHeight="1" x14ac:dyDescent="0.2">
      <c r="B15" s="523" t="s">
        <v>95</v>
      </c>
      <c r="C15" s="115" t="s">
        <v>9</v>
      </c>
      <c r="D15" s="47">
        <f>'CHTS 2013'!Y22</f>
        <v>5.4122050896675378E-2</v>
      </c>
      <c r="E15" s="47">
        <f>'CHTS 2013'!Z22</f>
        <v>0.34912141385177436</v>
      </c>
      <c r="F15" s="313"/>
      <c r="G15" s="313"/>
      <c r="H15" s="313"/>
      <c r="I15" s="313"/>
      <c r="J15" s="313"/>
      <c r="K15" s="313"/>
      <c r="L15" s="313"/>
      <c r="M15" s="313"/>
      <c r="N15" s="58"/>
      <c r="O15" s="58"/>
      <c r="P15" s="41"/>
      <c r="Q15" s="523" t="s">
        <v>276</v>
      </c>
      <c r="R15" s="115" t="s">
        <v>9</v>
      </c>
      <c r="S15" s="51">
        <f>'CHTS 2013'!U22</f>
        <v>3.132904201925709E-3</v>
      </c>
      <c r="T15" s="51">
        <f>'CHTS 2013'!V22</f>
        <v>1.9531892613573E-2</v>
      </c>
      <c r="U15" s="313"/>
      <c r="V15" s="313"/>
      <c r="W15" s="313"/>
      <c r="X15" s="313"/>
      <c r="Y15" s="313"/>
      <c r="Z15" s="313"/>
      <c r="AA15" s="313"/>
      <c r="AB15" s="313"/>
      <c r="AC15" s="58"/>
      <c r="AD15" s="58"/>
      <c r="AF15" s="124"/>
    </row>
    <row r="16" spans="1:32" x14ac:dyDescent="0.2">
      <c r="B16" s="523"/>
      <c r="C16" s="115" t="s">
        <v>86</v>
      </c>
      <c r="D16" s="47">
        <f>'CHTS 2013'!Y23</f>
        <v>1.0405120335636218</v>
      </c>
      <c r="E16" s="47">
        <f>'CHTS 2013'!Z23</f>
        <v>0.48772367632008679</v>
      </c>
      <c r="F16" s="313"/>
      <c r="G16" s="313"/>
      <c r="H16" s="313"/>
      <c r="I16" s="313"/>
      <c r="J16" s="313"/>
      <c r="K16" s="313"/>
      <c r="L16" s="313"/>
      <c r="M16" s="313"/>
      <c r="N16" s="58"/>
      <c r="O16" s="58"/>
      <c r="P16" s="41"/>
      <c r="Q16" s="523"/>
      <c r="R16" s="115" t="s">
        <v>86</v>
      </c>
      <c r="S16" s="51">
        <f>'CHTS 2013'!U23</f>
        <v>9.0029248618766475E-2</v>
      </c>
      <c r="T16" s="51">
        <f>'CHTS 2013'!V23</f>
        <v>1.3797208372859884E-2</v>
      </c>
      <c r="U16" s="313"/>
      <c r="V16" s="313"/>
      <c r="W16" s="313"/>
      <c r="X16" s="313"/>
      <c r="Y16" s="313"/>
      <c r="Z16" s="313"/>
      <c r="AA16" s="313"/>
      <c r="AB16" s="313"/>
      <c r="AC16" s="58"/>
      <c r="AD16" s="58"/>
      <c r="AF16" s="124"/>
    </row>
    <row r="17" spans="1:32" x14ac:dyDescent="0.2">
      <c r="B17" s="523"/>
      <c r="C17" s="115" t="s">
        <v>61</v>
      </c>
      <c r="D17" s="47">
        <f>'CHTS 2013'!Y24</f>
        <v>0.95673193911115129</v>
      </c>
      <c r="E17" s="47">
        <f>'CHTS 2013'!Z24</f>
        <v>0.22473176141912585</v>
      </c>
      <c r="F17" s="313"/>
      <c r="G17" s="312"/>
      <c r="H17" s="313"/>
      <c r="I17" s="312"/>
      <c r="J17" s="313"/>
      <c r="K17" s="312"/>
      <c r="L17" s="312"/>
      <c r="M17" s="312"/>
      <c r="N17" s="58"/>
      <c r="O17" s="58"/>
      <c r="P17" s="41"/>
      <c r="Q17" s="523"/>
      <c r="R17" s="115" t="s">
        <v>61</v>
      </c>
      <c r="S17" s="51">
        <f>'CHTS 2013'!U24</f>
        <v>8.759139966998776E-2</v>
      </c>
      <c r="T17" s="51">
        <f>'CHTS 2013'!V24</f>
        <v>2.1927997382788843E-2</v>
      </c>
      <c r="U17" s="313"/>
      <c r="V17" s="312"/>
      <c r="W17" s="313"/>
      <c r="X17" s="312"/>
      <c r="Y17" s="313"/>
      <c r="Z17" s="312"/>
      <c r="AA17" s="312"/>
      <c r="AB17" s="312"/>
      <c r="AC17" s="58"/>
      <c r="AD17" s="58"/>
      <c r="AF17" s="124"/>
    </row>
    <row r="18" spans="1:32" x14ac:dyDescent="0.2">
      <c r="B18" s="523"/>
      <c r="C18" s="115" t="s">
        <v>62</v>
      </c>
      <c r="D18" s="47">
        <f>'CHTS 2013'!Y25</f>
        <v>0.81336377673369187</v>
      </c>
      <c r="E18" s="47">
        <f>'CHTS 2013'!Z25</f>
        <v>0.17479652463494147</v>
      </c>
      <c r="F18" s="313"/>
      <c r="G18" s="313"/>
      <c r="H18" s="313"/>
      <c r="I18" s="313"/>
      <c r="J18" s="313"/>
      <c r="K18" s="313"/>
      <c r="L18" s="313"/>
      <c r="M18" s="313"/>
      <c r="N18" s="58"/>
      <c r="O18" s="58"/>
      <c r="P18" s="41"/>
      <c r="Q18" s="523"/>
      <c r="R18" s="115" t="s">
        <v>62</v>
      </c>
      <c r="S18" s="51">
        <f>'CHTS 2013'!U25</f>
        <v>7.615850294046897E-2</v>
      </c>
      <c r="T18" s="51">
        <f>'CHTS 2013'!V25</f>
        <v>1.473873296746803E-2</v>
      </c>
      <c r="U18" s="313"/>
      <c r="V18" s="313"/>
      <c r="W18" s="313"/>
      <c r="X18" s="313"/>
      <c r="Y18" s="313"/>
      <c r="Z18" s="313"/>
      <c r="AA18" s="313"/>
      <c r="AB18" s="313"/>
      <c r="AC18" s="58"/>
      <c r="AD18" s="58"/>
      <c r="AF18" s="124"/>
    </row>
    <row r="19" spans="1:32" x14ac:dyDescent="0.2">
      <c r="B19" s="523"/>
      <c r="C19" s="115" t="s">
        <v>63</v>
      </c>
      <c r="D19" s="47">
        <f>'CHTS 2013'!Y26</f>
        <v>0.90646149470989523</v>
      </c>
      <c r="E19" s="47">
        <f>'CHTS 2013'!Z26</f>
        <v>0.35318606830895288</v>
      </c>
      <c r="F19" s="313"/>
      <c r="G19" s="313"/>
      <c r="H19" s="313"/>
      <c r="I19" s="313"/>
      <c r="J19" s="313"/>
      <c r="K19" s="313"/>
      <c r="L19" s="313"/>
      <c r="M19" s="313"/>
      <c r="N19" s="58"/>
      <c r="O19" s="58"/>
      <c r="P19" s="41"/>
      <c r="Q19" s="523"/>
      <c r="R19" s="115" t="s">
        <v>63</v>
      </c>
      <c r="S19" s="51">
        <f>'CHTS 2013'!U26</f>
        <v>8.7839732677623364E-2</v>
      </c>
      <c r="T19" s="51">
        <f>'CHTS 2013'!V26</f>
        <v>3.3989969492235705E-2</v>
      </c>
      <c r="U19" s="313"/>
      <c r="V19" s="313"/>
      <c r="W19" s="313"/>
      <c r="X19" s="313"/>
      <c r="Y19" s="313"/>
      <c r="Z19" s="313"/>
      <c r="AA19" s="313"/>
      <c r="AB19" s="313"/>
      <c r="AC19" s="58"/>
      <c r="AD19" s="58"/>
      <c r="AF19" s="124"/>
    </row>
    <row r="20" spans="1:32" x14ac:dyDescent="0.2">
      <c r="B20" s="523"/>
      <c r="C20" s="115" t="s">
        <v>64</v>
      </c>
      <c r="D20" s="47">
        <f>'CHTS 2013'!Y27</f>
        <v>0.60685386788730611</v>
      </c>
      <c r="E20" s="47">
        <f>'CHTS 2013'!Z27</f>
        <v>7.8197552105625026E-2</v>
      </c>
      <c r="F20" s="313"/>
      <c r="G20" s="313"/>
      <c r="H20" s="313"/>
      <c r="I20" s="313"/>
      <c r="J20" s="313"/>
      <c r="K20" s="313"/>
      <c r="L20" s="313"/>
      <c r="M20" s="313"/>
      <c r="N20" s="58"/>
      <c r="O20" s="58"/>
      <c r="P20" s="41"/>
      <c r="Q20" s="523"/>
      <c r="R20" s="115" t="s">
        <v>64</v>
      </c>
      <c r="S20" s="51">
        <f>'CHTS 2013'!U27</f>
        <v>9.1344684695008102E-2</v>
      </c>
      <c r="T20" s="51">
        <f>'CHTS 2013'!V27</f>
        <v>1.2434196995115075E-2</v>
      </c>
      <c r="U20" s="313"/>
      <c r="V20" s="313"/>
      <c r="W20" s="313"/>
      <c r="X20" s="313"/>
      <c r="Y20" s="313"/>
      <c r="Z20" s="313"/>
      <c r="AA20" s="313"/>
      <c r="AB20" s="313"/>
      <c r="AC20" s="58"/>
      <c r="AD20" s="58"/>
      <c r="AF20" s="124"/>
    </row>
    <row r="21" spans="1:32" x14ac:dyDescent="0.2">
      <c r="B21" s="523"/>
      <c r="C21" s="115" t="s">
        <v>65</v>
      </c>
      <c r="D21" s="47">
        <f>'CHTS 2013'!Y28</f>
        <v>0.36426917744187065</v>
      </c>
      <c r="E21" s="47">
        <f>'CHTS 2013'!Z28</f>
        <v>0</v>
      </c>
      <c r="F21" s="314"/>
      <c r="G21" s="314"/>
      <c r="H21" s="314"/>
      <c r="I21" s="314"/>
      <c r="J21" s="314"/>
      <c r="K21" s="314"/>
      <c r="L21" s="314"/>
      <c r="M21" s="314"/>
      <c r="N21" s="58"/>
      <c r="O21" s="58"/>
      <c r="P21" s="41"/>
      <c r="Q21" s="523"/>
      <c r="R21" s="115" t="s">
        <v>65</v>
      </c>
      <c r="S21" s="51">
        <f>'CHTS 2013'!U28</f>
        <v>4.9335563933484872E-2</v>
      </c>
      <c r="T21" s="51">
        <f>'CHTS 2013'!V28</f>
        <v>0</v>
      </c>
      <c r="U21" s="314"/>
      <c r="V21" s="314"/>
      <c r="W21" s="314"/>
      <c r="X21" s="314"/>
      <c r="Y21" s="314"/>
      <c r="Z21" s="314"/>
      <c r="AA21" s="314"/>
      <c r="AB21" s="314"/>
      <c r="AC21" s="58"/>
      <c r="AD21" s="58"/>
      <c r="AF21" s="124"/>
    </row>
    <row r="22" spans="1:32" x14ac:dyDescent="0.2">
      <c r="B22" s="524"/>
      <c r="C22" s="116" t="s">
        <v>66</v>
      </c>
      <c r="D22" s="112">
        <f>'CHTS 2013'!Y29</f>
        <v>4.473562623988573E-2</v>
      </c>
      <c r="E22" s="112">
        <f>'CHTS 2013'!Z29</f>
        <v>0</v>
      </c>
      <c r="F22" s="315"/>
      <c r="G22" s="315"/>
      <c r="H22" s="315"/>
      <c r="I22" s="315"/>
      <c r="J22" s="315"/>
      <c r="K22" s="315"/>
      <c r="L22" s="315"/>
      <c r="M22" s="315"/>
      <c r="N22" s="340"/>
      <c r="O22" s="340"/>
      <c r="P22" s="41"/>
      <c r="Q22" s="524"/>
      <c r="R22" s="116" t="s">
        <v>66</v>
      </c>
      <c r="S22" s="149">
        <f>'CHTS 2013'!U29</f>
        <v>3.0127699583139683E-3</v>
      </c>
      <c r="T22" s="113">
        <f>'CHTS 2013'!V29</f>
        <v>0</v>
      </c>
      <c r="U22" s="315"/>
      <c r="V22" s="315"/>
      <c r="W22" s="315"/>
      <c r="X22" s="315"/>
      <c r="Y22" s="315"/>
      <c r="Z22" s="315"/>
      <c r="AA22" s="315"/>
      <c r="AB22" s="315"/>
      <c r="AC22" s="340"/>
      <c r="AD22" s="340"/>
      <c r="AE22" s="37"/>
      <c r="AF22" s="124"/>
    </row>
    <row r="23" spans="1:32" x14ac:dyDescent="0.2">
      <c r="B23" s="56"/>
      <c r="C23" s="57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8"/>
      <c r="O23" s="58"/>
      <c r="P23" s="38"/>
      <c r="Q23" s="108"/>
      <c r="R23" s="57"/>
      <c r="S23" s="51"/>
      <c r="T23" s="51"/>
      <c r="U23" s="51"/>
      <c r="V23" s="51"/>
      <c r="W23" s="51"/>
      <c r="X23" s="51"/>
      <c r="Y23" s="51"/>
      <c r="Z23" s="51"/>
      <c r="AA23" s="51"/>
      <c r="AF23" s="59"/>
    </row>
    <row r="24" spans="1:32" x14ac:dyDescent="0.2"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32" ht="12.75" customHeight="1" x14ac:dyDescent="0.2">
      <c r="B25" s="151" t="s">
        <v>92</v>
      </c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41"/>
      <c r="Q25" s="151" t="s">
        <v>143</v>
      </c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26"/>
      <c r="AF25" s="108"/>
    </row>
    <row r="26" spans="1:32" ht="12.75" customHeight="1" x14ac:dyDescent="0.2">
      <c r="A26" s="37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41"/>
      <c r="Q26" s="70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26"/>
      <c r="AF26" s="108"/>
    </row>
    <row r="27" spans="1:32" ht="12.75" customHeight="1" x14ac:dyDescent="0.2">
      <c r="B27" s="43"/>
      <c r="C27" s="526" t="s">
        <v>25</v>
      </c>
      <c r="D27" s="525" t="s">
        <v>99</v>
      </c>
      <c r="E27" s="525"/>
      <c r="F27" s="525" t="s">
        <v>96</v>
      </c>
      <c r="G27" s="525"/>
      <c r="H27" s="525" t="s">
        <v>97</v>
      </c>
      <c r="I27" s="525"/>
      <c r="J27" s="525" t="s">
        <v>98</v>
      </c>
      <c r="K27" s="525"/>
      <c r="L27" s="525" t="s">
        <v>100</v>
      </c>
      <c r="M27" s="531"/>
      <c r="N27" s="528" t="s">
        <v>70</v>
      </c>
      <c r="O27" s="528"/>
      <c r="P27" s="41"/>
      <c r="Q27" s="121"/>
      <c r="R27" s="526" t="s">
        <v>25</v>
      </c>
      <c r="S27" s="525" t="s">
        <v>99</v>
      </c>
      <c r="T27" s="525"/>
      <c r="U27" s="525" t="s">
        <v>96</v>
      </c>
      <c r="V27" s="525"/>
      <c r="W27" s="525" t="s">
        <v>97</v>
      </c>
      <c r="X27" s="525"/>
      <c r="Y27" s="525" t="s">
        <v>98</v>
      </c>
      <c r="Z27" s="525"/>
      <c r="AA27" s="525" t="s">
        <v>100</v>
      </c>
      <c r="AB27" s="531"/>
      <c r="AC27" s="528" t="s">
        <v>70</v>
      </c>
      <c r="AD27" s="528"/>
      <c r="AE27" s="126"/>
      <c r="AF27" s="123"/>
    </row>
    <row r="28" spans="1:32" x14ac:dyDescent="0.2">
      <c r="B28" s="69"/>
      <c r="C28" s="527"/>
      <c r="D28" s="110" t="s">
        <v>72</v>
      </c>
      <c r="E28" s="110" t="s">
        <v>73</v>
      </c>
      <c r="F28" s="110" t="s">
        <v>72</v>
      </c>
      <c r="G28" s="110" t="s">
        <v>73</v>
      </c>
      <c r="H28" s="110" t="s">
        <v>72</v>
      </c>
      <c r="I28" s="110" t="s">
        <v>73</v>
      </c>
      <c r="J28" s="110" t="s">
        <v>72</v>
      </c>
      <c r="K28" s="110" t="s">
        <v>73</v>
      </c>
      <c r="L28" s="110" t="s">
        <v>72</v>
      </c>
      <c r="M28" s="343" t="s">
        <v>73</v>
      </c>
      <c r="N28" s="110" t="s">
        <v>72</v>
      </c>
      <c r="O28" s="110" t="s">
        <v>73</v>
      </c>
      <c r="P28" s="41"/>
      <c r="Q28" s="69"/>
      <c r="R28" s="527"/>
      <c r="S28" s="110" t="s">
        <v>72</v>
      </c>
      <c r="T28" s="110" t="s">
        <v>73</v>
      </c>
      <c r="U28" s="110" t="s">
        <v>72</v>
      </c>
      <c r="V28" s="110" t="s">
        <v>73</v>
      </c>
      <c r="W28" s="110" t="s">
        <v>72</v>
      </c>
      <c r="X28" s="110" t="s">
        <v>73</v>
      </c>
      <c r="Y28" s="110" t="s">
        <v>72</v>
      </c>
      <c r="Z28" s="110" t="s">
        <v>73</v>
      </c>
      <c r="AA28" s="110" t="s">
        <v>72</v>
      </c>
      <c r="AB28" s="343" t="s">
        <v>73</v>
      </c>
      <c r="AC28" s="110" t="s">
        <v>72</v>
      </c>
      <c r="AD28" s="110" t="s">
        <v>73</v>
      </c>
      <c r="AF28" s="125"/>
    </row>
    <row r="29" spans="1:32" ht="12.75" customHeight="1" x14ac:dyDescent="0.2">
      <c r="B29" s="523" t="s">
        <v>94</v>
      </c>
      <c r="C29" s="115" t="s">
        <v>9</v>
      </c>
      <c r="D29" s="107">
        <f t="shared" ref="D29:E36" si="0">D6/$E$8</f>
        <v>1.2442611397300452</v>
      </c>
      <c r="E29" s="107">
        <f t="shared" si="0"/>
        <v>1.1848333278731662</v>
      </c>
      <c r="F29" s="107">
        <v>1.2442611397300452</v>
      </c>
      <c r="G29" s="107">
        <v>1.1848333278731662</v>
      </c>
      <c r="H29" s="107">
        <v>1.2442611397300452</v>
      </c>
      <c r="I29" s="107">
        <v>1.1848333278731662</v>
      </c>
      <c r="J29" s="107">
        <v>1.2442611397300452</v>
      </c>
      <c r="K29" s="107">
        <v>1.1848333278731662</v>
      </c>
      <c r="L29" s="107">
        <v>1.2442611397300452</v>
      </c>
      <c r="M29" s="444">
        <v>1.1848333278731662</v>
      </c>
      <c r="N29" s="58">
        <f>IF(Inputs!$I$5="Baseline",D29,IF(Inputs!$I$5="A",F29,IF(Inputs!$I$5="B",H29,IF(Inputs!$I$5="C",J29,IF(Inputs!$I$5="D",L29,"")))))</f>
        <v>1.2442611397300452</v>
      </c>
      <c r="O29" s="58">
        <f>IF(Inputs!$I$5="Baseline",E29,IF(Inputs!$I$5="A",G29,IF(Inputs!$I$5="B",I29,IF(Inputs!$I$5="C",K29,IF(Inputs!$I$5="D",M29,"")))))</f>
        <v>1.1848333278731662</v>
      </c>
      <c r="P29" s="41"/>
      <c r="Q29" s="523" t="s">
        <v>275</v>
      </c>
      <c r="R29" s="115" t="s">
        <v>9</v>
      </c>
      <c r="S29" s="107">
        <f t="shared" ref="S29:T36" si="1">S6/$T$8</f>
        <v>0.72201244280125276</v>
      </c>
      <c r="T29" s="107">
        <f t="shared" si="1"/>
        <v>1.3676594491885232</v>
      </c>
      <c r="U29" s="107">
        <v>0.72201244280125276</v>
      </c>
      <c r="V29" s="107">
        <v>1.3676594491885232</v>
      </c>
      <c r="W29" s="107">
        <v>0.72201244280125276</v>
      </c>
      <c r="X29" s="107">
        <v>1.3676594491885232</v>
      </c>
      <c r="Y29" s="107">
        <v>0.72201244280125276</v>
      </c>
      <c r="Z29" s="107">
        <v>1.3676594491885232</v>
      </c>
      <c r="AA29" s="107">
        <v>0.72201244280125276</v>
      </c>
      <c r="AB29" s="436">
        <v>1.3676594491885232</v>
      </c>
      <c r="AC29" s="58">
        <f>IF(Inputs!$I$5="Baseline",S29,IF(Inputs!$I$5="A",U29,IF(Inputs!$I$5="B",W29,IF(Inputs!$I$5="C",Y29,IF(Inputs!$I$5="D",AA29,"")))))</f>
        <v>0.72201244280125276</v>
      </c>
      <c r="AD29" s="58">
        <f>IF(Inputs!$I$5="Baseline",T29,IF(Inputs!$I$5="A",V29,IF(Inputs!$I$5="B",X29,IF(Inputs!$I$5="C",Z29,IF(Inputs!$I$5="D",AB29,"")))))</f>
        <v>1.3676594491885232</v>
      </c>
      <c r="AF29" s="124"/>
    </row>
    <row r="30" spans="1:32" x14ac:dyDescent="0.2">
      <c r="B30" s="523"/>
      <c r="C30" s="115" t="s">
        <v>86</v>
      </c>
      <c r="D30" s="107">
        <f t="shared" si="0"/>
        <v>1.0466576906809824</v>
      </c>
      <c r="E30" s="107">
        <f t="shared" si="0"/>
        <v>1.0631385253359023</v>
      </c>
      <c r="F30" s="107">
        <v>1.0466576906809824</v>
      </c>
      <c r="G30" s="107">
        <v>1.0631385253359023</v>
      </c>
      <c r="H30" s="107">
        <v>1.0466576906809824</v>
      </c>
      <c r="I30" s="107">
        <v>1.0631385253359023</v>
      </c>
      <c r="J30" s="107">
        <v>1.0466576906809824</v>
      </c>
      <c r="K30" s="107">
        <v>1.0631385253359023</v>
      </c>
      <c r="L30" s="107">
        <v>1.0466576906809824</v>
      </c>
      <c r="M30" s="436">
        <v>1.0631385253359023</v>
      </c>
      <c r="N30" s="58">
        <f>IF(Inputs!$I$5="Baseline",D30,IF(Inputs!$I$5="A",F30,IF(Inputs!$I$5="B",H30,IF(Inputs!$I$5="C",J30,IF(Inputs!$I$5="D",L30,"")))))</f>
        <v>1.0466576906809824</v>
      </c>
      <c r="O30" s="58">
        <f>IF(Inputs!$I$5="Baseline",E30,IF(Inputs!$I$5="A",G30,IF(Inputs!$I$5="B",I30,IF(Inputs!$I$5="C",K30,IF(Inputs!$I$5="D",M30,"")))))</f>
        <v>1.0631385253359023</v>
      </c>
      <c r="P30" s="41"/>
      <c r="Q30" s="523"/>
      <c r="R30" s="115" t="s">
        <v>86</v>
      </c>
      <c r="S30" s="107">
        <f t="shared" si="1"/>
        <v>1.0579246064363828</v>
      </c>
      <c r="T30" s="107">
        <f t="shared" si="1"/>
        <v>0.82771406236415135</v>
      </c>
      <c r="U30" s="107">
        <v>1.0579246064363828</v>
      </c>
      <c r="V30" s="107">
        <v>0.82771406236415135</v>
      </c>
      <c r="W30" s="107">
        <v>1.0579246064363828</v>
      </c>
      <c r="X30" s="107">
        <v>0.82771406236415135</v>
      </c>
      <c r="Y30" s="107">
        <v>1.0579246064363828</v>
      </c>
      <c r="Z30" s="107">
        <v>0.82771406236415135</v>
      </c>
      <c r="AA30" s="107">
        <v>1.0579246064363828</v>
      </c>
      <c r="AB30" s="436">
        <v>0.82771406236415135</v>
      </c>
      <c r="AC30" s="58">
        <f>IF(Inputs!$I$5="Baseline",S30,IF(Inputs!$I$5="A",U30,IF(Inputs!$I$5="B",W30,IF(Inputs!$I$5="C",Y30,IF(Inputs!$I$5="D",AA30,"")))))</f>
        <v>1.0579246064363828</v>
      </c>
      <c r="AD30" s="58">
        <f>IF(Inputs!$I$5="Baseline",T30,IF(Inputs!$I$5="A",V30,IF(Inputs!$I$5="B",X30,IF(Inputs!$I$5="C",Z30,IF(Inputs!$I$5="D",AB30,"")))))</f>
        <v>0.82771406236415135</v>
      </c>
      <c r="AF30" s="124"/>
    </row>
    <row r="31" spans="1:32" x14ac:dyDescent="0.2">
      <c r="B31" s="523"/>
      <c r="C31" s="115" t="s">
        <v>61</v>
      </c>
      <c r="D31" s="107">
        <f t="shared" si="0"/>
        <v>0.73539655618359334</v>
      </c>
      <c r="E31" s="118">
        <f t="shared" si="0"/>
        <v>1</v>
      </c>
      <c r="F31" s="107">
        <v>0.73539655618359334</v>
      </c>
      <c r="G31" s="118">
        <v>1</v>
      </c>
      <c r="H31" s="107">
        <v>0.73539655618359334</v>
      </c>
      <c r="I31" s="107">
        <v>1</v>
      </c>
      <c r="J31" s="107">
        <v>0.73539655618359334</v>
      </c>
      <c r="K31" s="107">
        <v>1</v>
      </c>
      <c r="L31" s="107">
        <v>0.73539655618359334</v>
      </c>
      <c r="M31" s="436">
        <v>1</v>
      </c>
      <c r="N31" s="58">
        <f>IF(Inputs!$I$5="Baseline",D31,IF(Inputs!$I$5="A",F31,IF(Inputs!$I$5="B",H31,IF(Inputs!$I$5="C",J31,IF(Inputs!$I$5="D",L31,"")))))</f>
        <v>0.73539655618359334</v>
      </c>
      <c r="O31" s="366">
        <f>IF(Inputs!$I$5="Baseline",E31,IF(Inputs!$I$5="A",G31,IF(Inputs!$I$5="B",I31,IF(Inputs!$I$5="C",K31,IF(Inputs!$I$5="D",M31,"")))))</f>
        <v>1</v>
      </c>
      <c r="P31" s="41"/>
      <c r="Q31" s="523"/>
      <c r="R31" s="115" t="s">
        <v>61</v>
      </c>
      <c r="S31" s="107">
        <f t="shared" si="1"/>
        <v>0.69743449595390872</v>
      </c>
      <c r="T31" s="118">
        <f t="shared" si="1"/>
        <v>1</v>
      </c>
      <c r="U31" s="107">
        <v>0.69743449595390872</v>
      </c>
      <c r="V31" s="118">
        <v>1</v>
      </c>
      <c r="W31" s="107">
        <v>0.69743449595390872</v>
      </c>
      <c r="X31" s="118">
        <v>1</v>
      </c>
      <c r="Y31" s="107">
        <v>0.69743449595390872</v>
      </c>
      <c r="Z31" s="118">
        <v>1</v>
      </c>
      <c r="AA31" s="107">
        <v>0.69743449595390872</v>
      </c>
      <c r="AB31" s="437">
        <v>1</v>
      </c>
      <c r="AC31" s="58">
        <f>IF(Inputs!$I$5="Baseline",S31,IF(Inputs!$I$5="A",U31,IF(Inputs!$I$5="B",W31,IF(Inputs!$I$5="C",Y31,IF(Inputs!$I$5="D",AA31,"")))))</f>
        <v>0.69743449595390872</v>
      </c>
      <c r="AD31" s="58">
        <f>IF(Inputs!$I$5="Baseline",T31,IF(Inputs!$I$5="A",V31,IF(Inputs!$I$5="B",X31,IF(Inputs!$I$5="C",Z31,IF(Inputs!$I$5="D",AB31,"")))))</f>
        <v>1</v>
      </c>
      <c r="AF31" s="124"/>
    </row>
    <row r="32" spans="1:32" x14ac:dyDescent="0.2">
      <c r="B32" s="523"/>
      <c r="C32" s="115" t="s">
        <v>62</v>
      </c>
      <c r="D32" s="107">
        <f t="shared" si="0"/>
        <v>0.63290173065606392</v>
      </c>
      <c r="E32" s="107">
        <f t="shared" si="0"/>
        <v>1.0934346459852222</v>
      </c>
      <c r="F32" s="107">
        <v>0.63290173065606392</v>
      </c>
      <c r="G32" s="107">
        <v>1.0934346459852222</v>
      </c>
      <c r="H32" s="107">
        <v>0.63290173065606392</v>
      </c>
      <c r="I32" s="107">
        <v>1.0934346459852222</v>
      </c>
      <c r="J32" s="107">
        <v>0.63290173065606392</v>
      </c>
      <c r="K32" s="107">
        <v>1.0934346459852222</v>
      </c>
      <c r="L32" s="107">
        <v>0.63290173065606392</v>
      </c>
      <c r="M32" s="436">
        <v>1.0934346459852222</v>
      </c>
      <c r="N32" s="58">
        <f>IF(Inputs!$I$5="Baseline",D32,IF(Inputs!$I$5="A",F32,IF(Inputs!$I$5="B",H32,IF(Inputs!$I$5="C",J32,IF(Inputs!$I$5="D",L32,"")))))</f>
        <v>0.63290173065606392</v>
      </c>
      <c r="O32" s="58">
        <f>IF(Inputs!$I$5="Baseline",E32,IF(Inputs!$I$5="A",G32,IF(Inputs!$I$5="B",I32,IF(Inputs!$I$5="C",K32,IF(Inputs!$I$5="D",M32,"")))))</f>
        <v>1.0934346459852222</v>
      </c>
      <c r="P32" s="41"/>
      <c r="Q32" s="523"/>
      <c r="R32" s="115" t="s">
        <v>62</v>
      </c>
      <c r="S32" s="107">
        <f t="shared" si="1"/>
        <v>0.61020796764142826</v>
      </c>
      <c r="T32" s="107">
        <f t="shared" si="1"/>
        <v>0.84829147302570207</v>
      </c>
      <c r="U32" s="107">
        <v>0.61020796764142826</v>
      </c>
      <c r="V32" s="107">
        <v>0.84829147302570207</v>
      </c>
      <c r="W32" s="107">
        <v>0.61020796764142826</v>
      </c>
      <c r="X32" s="107">
        <v>0.84829147302570207</v>
      </c>
      <c r="Y32" s="107">
        <v>0.61020796764142826</v>
      </c>
      <c r="Z32" s="107">
        <v>0.84829147302570207</v>
      </c>
      <c r="AA32" s="107">
        <v>0.61020796764142826</v>
      </c>
      <c r="AB32" s="436">
        <v>0.84829147302570207</v>
      </c>
      <c r="AC32" s="58">
        <f>IF(Inputs!$I$5="Baseline",S32,IF(Inputs!$I$5="A",U32,IF(Inputs!$I$5="B",W32,IF(Inputs!$I$5="C",Y32,IF(Inputs!$I$5="D",AA32,"")))))</f>
        <v>0.61020796764142826</v>
      </c>
      <c r="AD32" s="58">
        <f>IF(Inputs!$I$5="Baseline",T32,IF(Inputs!$I$5="A",V32,IF(Inputs!$I$5="B",X32,IF(Inputs!$I$5="C",Z32,IF(Inputs!$I$5="D",AB32,"")))))</f>
        <v>0.84829147302570207</v>
      </c>
      <c r="AF32" s="124"/>
    </row>
    <row r="33" spans="2:32" x14ac:dyDescent="0.2">
      <c r="B33" s="523"/>
      <c r="C33" s="115" t="s">
        <v>63</v>
      </c>
      <c r="D33" s="107">
        <f t="shared" si="0"/>
        <v>0.43320769038424295</v>
      </c>
      <c r="E33" s="107">
        <f t="shared" si="0"/>
        <v>0.62864440907318142</v>
      </c>
      <c r="F33" s="107">
        <v>0.43320769038424295</v>
      </c>
      <c r="G33" s="107">
        <v>0.62864440907318142</v>
      </c>
      <c r="H33" s="107">
        <v>0.43320769038424295</v>
      </c>
      <c r="I33" s="107">
        <v>0.62864440907318142</v>
      </c>
      <c r="J33" s="107">
        <v>0.43320769038424295</v>
      </c>
      <c r="K33" s="107">
        <v>0.62864440907318142</v>
      </c>
      <c r="L33" s="107">
        <v>0.43320769038424295</v>
      </c>
      <c r="M33" s="436">
        <v>0.62864440907318142</v>
      </c>
      <c r="N33" s="58">
        <f>IF(Inputs!$I$5="Baseline",D33,IF(Inputs!$I$5="A",F33,IF(Inputs!$I$5="B",H33,IF(Inputs!$I$5="C",J33,IF(Inputs!$I$5="D",L33,"")))))</f>
        <v>0.43320769038424295</v>
      </c>
      <c r="O33" s="58">
        <f>IF(Inputs!$I$5="Baseline",E33,IF(Inputs!$I$5="A",G33,IF(Inputs!$I$5="B",I33,IF(Inputs!$I$5="C",K33,IF(Inputs!$I$5="D",M33,"")))))</f>
        <v>0.62864440907318142</v>
      </c>
      <c r="P33" s="41"/>
      <c r="Q33" s="523"/>
      <c r="R33" s="115" t="s">
        <v>63</v>
      </c>
      <c r="S33" s="107">
        <f t="shared" si="1"/>
        <v>0.34667325053239095</v>
      </c>
      <c r="T33" s="107">
        <f t="shared" si="1"/>
        <v>0.46207558373875701</v>
      </c>
      <c r="U33" s="107">
        <v>0.34667325053239095</v>
      </c>
      <c r="V33" s="107">
        <v>0.46207558373875701</v>
      </c>
      <c r="W33" s="107">
        <v>0.34667325053239095</v>
      </c>
      <c r="X33" s="107">
        <v>0.46207558373875701</v>
      </c>
      <c r="Y33" s="107">
        <v>0.34667325053239095</v>
      </c>
      <c r="Z33" s="107">
        <v>0.46207558373875701</v>
      </c>
      <c r="AA33" s="107">
        <v>0.34667325053239095</v>
      </c>
      <c r="AB33" s="436">
        <v>0.46207558373875701</v>
      </c>
      <c r="AC33" s="58">
        <f>IF(Inputs!$I$5="Baseline",S33,IF(Inputs!$I$5="A",U33,IF(Inputs!$I$5="B",W33,IF(Inputs!$I$5="C",Y33,IF(Inputs!$I$5="D",AA33,"")))))</f>
        <v>0.34667325053239095</v>
      </c>
      <c r="AD33" s="58">
        <f>IF(Inputs!$I$5="Baseline",T33,IF(Inputs!$I$5="A",V33,IF(Inputs!$I$5="B",X33,IF(Inputs!$I$5="C",Z33,IF(Inputs!$I$5="D",AB33,"")))))</f>
        <v>0.46207558373875701</v>
      </c>
      <c r="AF33" s="124"/>
    </row>
    <row r="34" spans="2:32" x14ac:dyDescent="0.2">
      <c r="B34" s="523"/>
      <c r="C34" s="115" t="s">
        <v>64</v>
      </c>
      <c r="D34" s="107">
        <f t="shared" si="0"/>
        <v>0.55228351942404919</v>
      </c>
      <c r="E34" s="107">
        <f t="shared" si="0"/>
        <v>0.61938043592938763</v>
      </c>
      <c r="F34" s="107">
        <v>0.55228351942404919</v>
      </c>
      <c r="G34" s="107">
        <v>0.61938043592938763</v>
      </c>
      <c r="H34" s="107">
        <v>0.55228351942404919</v>
      </c>
      <c r="I34" s="107">
        <v>0.61938043592938763</v>
      </c>
      <c r="J34" s="107">
        <v>0.55228351942404919</v>
      </c>
      <c r="K34" s="107">
        <v>0.61938043592938763</v>
      </c>
      <c r="L34" s="107">
        <v>0.55228351942404919</v>
      </c>
      <c r="M34" s="436">
        <v>0.61938043592938763</v>
      </c>
      <c r="N34" s="58">
        <f>IF(Inputs!$I$5="Baseline",D34,IF(Inputs!$I$5="A",F34,IF(Inputs!$I$5="B",H34,IF(Inputs!$I$5="C",J34,IF(Inputs!$I$5="D",L34,"")))))</f>
        <v>0.55228351942404919</v>
      </c>
      <c r="O34" s="58">
        <f>IF(Inputs!$I$5="Baseline",E34,IF(Inputs!$I$5="A",G34,IF(Inputs!$I$5="B",I34,IF(Inputs!$I$5="C",K34,IF(Inputs!$I$5="D",M34,"")))))</f>
        <v>0.61938043592938763</v>
      </c>
      <c r="P34" s="41"/>
      <c r="Q34" s="523"/>
      <c r="R34" s="115" t="s">
        <v>64</v>
      </c>
      <c r="S34" s="107">
        <f t="shared" si="1"/>
        <v>0.37502206911587044</v>
      </c>
      <c r="T34" s="107">
        <f t="shared" si="1"/>
        <v>0.40100304010466736</v>
      </c>
      <c r="U34" s="107">
        <v>0.37502206911587044</v>
      </c>
      <c r="V34" s="107">
        <v>0.40100304010466736</v>
      </c>
      <c r="W34" s="107">
        <v>0.37502206911587044</v>
      </c>
      <c r="X34" s="107">
        <v>0.40100304010466736</v>
      </c>
      <c r="Y34" s="107">
        <v>0.37502206911587044</v>
      </c>
      <c r="Z34" s="107">
        <v>0.40100304010466736</v>
      </c>
      <c r="AA34" s="107">
        <v>0.37502206911587044</v>
      </c>
      <c r="AB34" s="436">
        <v>0.40100304010466736</v>
      </c>
      <c r="AC34" s="58">
        <f>IF(Inputs!$I$5="Baseline",S34,IF(Inputs!$I$5="A",U34,IF(Inputs!$I$5="B",W34,IF(Inputs!$I$5="C",Y34,IF(Inputs!$I$5="D",AA34,"")))))</f>
        <v>0.37502206911587044</v>
      </c>
      <c r="AD34" s="58">
        <f>IF(Inputs!$I$5="Baseline",T34,IF(Inputs!$I$5="A",V34,IF(Inputs!$I$5="B",X34,IF(Inputs!$I$5="C",Z34,IF(Inputs!$I$5="D",AB34,"")))))</f>
        <v>0.40100304010466736</v>
      </c>
      <c r="AF34" s="124"/>
    </row>
    <row r="35" spans="2:32" x14ac:dyDescent="0.2">
      <c r="B35" s="523"/>
      <c r="C35" s="115" t="s">
        <v>65</v>
      </c>
      <c r="D35" s="107">
        <f t="shared" si="0"/>
        <v>0.30408627982523373</v>
      </c>
      <c r="E35" s="107">
        <f t="shared" si="0"/>
        <v>0.44737895573459707</v>
      </c>
      <c r="F35" s="107">
        <v>0.30408627982523373</v>
      </c>
      <c r="G35" s="107">
        <v>0.44737895573459707</v>
      </c>
      <c r="H35" s="107">
        <v>0.30408627982523373</v>
      </c>
      <c r="I35" s="107">
        <v>0.44737895573459707</v>
      </c>
      <c r="J35" s="107">
        <v>0.30408627982523373</v>
      </c>
      <c r="K35" s="107">
        <v>0.44737895573459707</v>
      </c>
      <c r="L35" s="107">
        <v>0.30408627982523373</v>
      </c>
      <c r="M35" s="436">
        <v>0.44737895573459707</v>
      </c>
      <c r="N35" s="58">
        <f>IF(Inputs!$I$5="Baseline",D35,IF(Inputs!$I$5="A",F35,IF(Inputs!$I$5="B",H35,IF(Inputs!$I$5="C",J35,IF(Inputs!$I$5="D",L35,"")))))</f>
        <v>0.30408627982523373</v>
      </c>
      <c r="O35" s="58">
        <f>IF(Inputs!$I$5="Baseline",E35,IF(Inputs!$I$5="A",G35,IF(Inputs!$I$5="B",I35,IF(Inputs!$I$5="C",K35,IF(Inputs!$I$5="D",M35,"")))))</f>
        <v>0.44737895573459707</v>
      </c>
      <c r="P35" s="41"/>
      <c r="Q35" s="523"/>
      <c r="R35" s="115" t="s">
        <v>65</v>
      </c>
      <c r="S35" s="107">
        <f t="shared" si="1"/>
        <v>0.20024475498097025</v>
      </c>
      <c r="T35" s="107">
        <f t="shared" si="1"/>
        <v>0.238247790598686</v>
      </c>
      <c r="U35" s="107">
        <v>0.20024475498097025</v>
      </c>
      <c r="V35" s="107">
        <v>0.238247790598686</v>
      </c>
      <c r="W35" s="107">
        <v>0.20024475498097025</v>
      </c>
      <c r="X35" s="107">
        <v>0.238247790598686</v>
      </c>
      <c r="Y35" s="107">
        <v>0.20024475498097025</v>
      </c>
      <c r="Z35" s="107">
        <v>0.238247790598686</v>
      </c>
      <c r="AA35" s="107">
        <v>0.20024475498097025</v>
      </c>
      <c r="AB35" s="436">
        <v>0.238247790598686</v>
      </c>
      <c r="AC35" s="58">
        <f>IF(Inputs!$I$5="Baseline",S35,IF(Inputs!$I$5="A",U35,IF(Inputs!$I$5="B",W35,IF(Inputs!$I$5="C",Y35,IF(Inputs!$I$5="D",AA35,"")))))</f>
        <v>0.20024475498097025</v>
      </c>
      <c r="AD35" s="58">
        <f>IF(Inputs!$I$5="Baseline",T35,IF(Inputs!$I$5="A",V35,IF(Inputs!$I$5="B",X35,IF(Inputs!$I$5="C",Z35,IF(Inputs!$I$5="D",AB35,"")))))</f>
        <v>0.238247790598686</v>
      </c>
      <c r="AF35" s="124"/>
    </row>
    <row r="36" spans="2:32" x14ac:dyDescent="0.2">
      <c r="B36" s="523"/>
      <c r="C36" s="115" t="s">
        <v>66</v>
      </c>
      <c r="D36" s="107">
        <f t="shared" si="0"/>
        <v>0.61399357815396693</v>
      </c>
      <c r="E36" s="107">
        <f t="shared" si="0"/>
        <v>0.52539302938939492</v>
      </c>
      <c r="F36" s="107">
        <v>0.61399357815396693</v>
      </c>
      <c r="G36" s="107">
        <v>0.52539302938939492</v>
      </c>
      <c r="H36" s="107">
        <v>0.61399357815396693</v>
      </c>
      <c r="I36" s="107">
        <v>0.52539302938939492</v>
      </c>
      <c r="J36" s="107">
        <v>0.61399357815396693</v>
      </c>
      <c r="K36" s="107">
        <v>0.52539302938939492</v>
      </c>
      <c r="L36" s="107">
        <v>0.61399357815396693</v>
      </c>
      <c r="M36" s="436">
        <v>0.52539302938939492</v>
      </c>
      <c r="N36" s="58">
        <f>IF(Inputs!$I$5="Baseline",D36,IF(Inputs!$I$5="A",F36,IF(Inputs!$I$5="B",H36,IF(Inputs!$I$5="C",J36,IF(Inputs!$I$5="D",L36,"")))))</f>
        <v>0.61399357815396693</v>
      </c>
      <c r="O36" s="58">
        <f>IF(Inputs!$I$5="Baseline",E36,IF(Inputs!$I$5="A",G36,IF(Inputs!$I$5="B",I36,IF(Inputs!$I$5="C",K36,IF(Inputs!$I$5="D",M36,"")))))</f>
        <v>0.52539302938939492</v>
      </c>
      <c r="P36" s="41"/>
      <c r="Q36" s="523"/>
      <c r="R36" s="115" t="s">
        <v>66</v>
      </c>
      <c r="S36" s="107">
        <f t="shared" si="1"/>
        <v>0.28707008415257856</v>
      </c>
      <c r="T36" s="107">
        <f t="shared" si="1"/>
        <v>0.38396622537171893</v>
      </c>
      <c r="U36" s="107">
        <v>0.28707008415257856</v>
      </c>
      <c r="V36" s="107">
        <v>0.38396622537171893</v>
      </c>
      <c r="W36" s="107">
        <v>0.28707008415257856</v>
      </c>
      <c r="X36" s="107">
        <v>0.38396622537171893</v>
      </c>
      <c r="Y36" s="107">
        <v>0.28707008415257856</v>
      </c>
      <c r="Z36" s="107">
        <v>0.38396622537171893</v>
      </c>
      <c r="AA36" s="107">
        <v>0.28707008415257856</v>
      </c>
      <c r="AB36" s="436">
        <v>0.38396622537171893</v>
      </c>
      <c r="AC36" s="58">
        <f>IF(Inputs!$I$5="Baseline",S36,IF(Inputs!$I$5="A",U36,IF(Inputs!$I$5="B",W36,IF(Inputs!$I$5="C",Y36,IF(Inputs!$I$5="D",AA36,"")))))</f>
        <v>0.28707008415257856</v>
      </c>
      <c r="AD36" s="58">
        <f>IF(Inputs!$I$5="Baseline",T36,IF(Inputs!$I$5="A",V36,IF(Inputs!$I$5="B",X36,IF(Inputs!$I$5="C",Z36,IF(Inputs!$I$5="D",AB36,"")))))</f>
        <v>0.38396622537171893</v>
      </c>
      <c r="AF36" s="124"/>
    </row>
    <row r="37" spans="2:32" x14ac:dyDescent="0.2">
      <c r="B37" s="434"/>
      <c r="C37" s="431"/>
      <c r="D37" s="435"/>
      <c r="E37" s="435"/>
      <c r="F37" s="435"/>
      <c r="G37" s="435"/>
      <c r="H37" s="435"/>
      <c r="I37" s="435"/>
      <c r="J37" s="435"/>
      <c r="K37" s="435"/>
      <c r="L37" s="435"/>
      <c r="M37" s="438"/>
      <c r="N37" s="432"/>
      <c r="O37" s="433"/>
      <c r="P37" s="41"/>
      <c r="Q37" s="111"/>
      <c r="R37" s="115"/>
      <c r="S37" s="107"/>
      <c r="T37" s="107"/>
      <c r="U37" s="107"/>
      <c r="V37" s="107"/>
      <c r="W37" s="107"/>
      <c r="X37" s="107"/>
      <c r="Y37" s="107"/>
      <c r="Z37" s="107"/>
      <c r="AA37" s="107"/>
      <c r="AB37" s="436"/>
      <c r="AC37" s="58"/>
      <c r="AD37" s="58"/>
      <c r="AF37" s="59"/>
    </row>
    <row r="38" spans="2:32" ht="12.75" customHeight="1" x14ac:dyDescent="0.2">
      <c r="B38" s="523" t="s">
        <v>95</v>
      </c>
      <c r="C38" s="115" t="s">
        <v>9</v>
      </c>
      <c r="D38" s="109">
        <f t="shared" ref="D38:E45" si="2">D15/$E$17</f>
        <v>0.24082955855864754</v>
      </c>
      <c r="E38" s="109">
        <f t="shared" si="2"/>
        <v>1.5535027699118202</v>
      </c>
      <c r="F38" s="109">
        <v>0.24082955855864754</v>
      </c>
      <c r="G38" s="109">
        <v>1.5535027699118202</v>
      </c>
      <c r="H38" s="109">
        <v>0.24082955855864754</v>
      </c>
      <c r="I38" s="109">
        <v>1.5535027699118202</v>
      </c>
      <c r="J38" s="109">
        <v>0.24082955855864754</v>
      </c>
      <c r="K38" s="109">
        <v>1.5535027699118202</v>
      </c>
      <c r="L38" s="109">
        <v>0.24082955855864754</v>
      </c>
      <c r="M38" s="439">
        <v>1.5535027699118202</v>
      </c>
      <c r="N38" s="58">
        <f>IF(Inputs!$I$5="Baseline",D38,IF(Inputs!$I$5="A",F38,IF(Inputs!$I$5="B",H38,IF(Inputs!$I$5="C",J38,IF(Inputs!$I$5="D",L38,"")))))</f>
        <v>0.24082955855864754</v>
      </c>
      <c r="O38" s="58">
        <f>IF(Inputs!$I$5="Baseline",E38,IF(Inputs!$I$5="A",G38,IF(Inputs!$I$5="B",I38,IF(Inputs!$I$5="C",K38,IF(Inputs!$I$5="D",M38,"")))))</f>
        <v>1.5535027699118202</v>
      </c>
      <c r="P38" s="41"/>
      <c r="Q38" s="523" t="s">
        <v>276</v>
      </c>
      <c r="R38" s="115" t="s">
        <v>9</v>
      </c>
      <c r="S38" s="109">
        <f t="shared" ref="S38:T45" si="3">S15/$T$17</f>
        <v>0.14287233563721177</v>
      </c>
      <c r="T38" s="109">
        <f t="shared" si="3"/>
        <v>0.89072851809547682</v>
      </c>
      <c r="U38" s="109">
        <v>0.14287233563721177</v>
      </c>
      <c r="V38" s="109">
        <v>0.89072851809547682</v>
      </c>
      <c r="W38" s="109">
        <v>0.14287233563721177</v>
      </c>
      <c r="X38" s="109">
        <v>0.89072851809547682</v>
      </c>
      <c r="Y38" s="109">
        <v>0.14287233563721177</v>
      </c>
      <c r="Z38" s="109">
        <v>0.89072851809547682</v>
      </c>
      <c r="AA38" s="109">
        <v>0.14287233563721177</v>
      </c>
      <c r="AB38" s="439">
        <v>0.89072851809547682</v>
      </c>
      <c r="AC38" s="58">
        <f>IF(Inputs!$I$5="Baseline",S38,IF(Inputs!$I$5="A",U38,IF(Inputs!$I$5="B",W38,IF(Inputs!$I$5="C",Y38,IF(Inputs!$I$5="D",AA38,"")))))</f>
        <v>0.14287233563721177</v>
      </c>
      <c r="AD38" s="58">
        <f>IF(('[2]user page'!$U$1=0),T38,IF(('[2]user page'!$U$1=1),V38,IF(('[2]user page'!$U$1=2),X38,IF(('[2]user page'!$U$1=3),Z38,IF(('[2]user page'!$U$1=4),#REF!,IF(('[2]user page'!$U$1=5),V38,""))))))</f>
        <v>0.89072851809547682</v>
      </c>
      <c r="AF38" s="124"/>
    </row>
    <row r="39" spans="2:32" x14ac:dyDescent="0.2">
      <c r="B39" s="523"/>
      <c r="C39" s="115" t="s">
        <v>86</v>
      </c>
      <c r="D39" s="109">
        <f t="shared" si="2"/>
        <v>4.6300177019618589</v>
      </c>
      <c r="E39" s="109">
        <f t="shared" si="2"/>
        <v>2.1702480915035403</v>
      </c>
      <c r="F39" s="109">
        <v>4.6300177019618589</v>
      </c>
      <c r="G39" s="109">
        <v>2.1702480915035403</v>
      </c>
      <c r="H39" s="109">
        <v>4.6300177019618589</v>
      </c>
      <c r="I39" s="109">
        <v>2.1702480915035403</v>
      </c>
      <c r="J39" s="109">
        <v>4.6300177019618589</v>
      </c>
      <c r="K39" s="109">
        <v>2.1702480915035403</v>
      </c>
      <c r="L39" s="109">
        <v>4.6300177019618589</v>
      </c>
      <c r="M39" s="439">
        <v>2.1702480915035403</v>
      </c>
      <c r="N39" s="58">
        <f>IF(Inputs!$I$5="Baseline",D39,IF(Inputs!$I$5="A",F39,IF(Inputs!$I$5="B",H39,IF(Inputs!$I$5="C",J39,IF(Inputs!$I$5="D",L39,"")))))</f>
        <v>4.6300177019618589</v>
      </c>
      <c r="O39" s="58">
        <f>IF(Inputs!$I$5="Baseline",E39,IF(Inputs!$I$5="A",G39,IF(Inputs!$I$5="B",I39,IF(Inputs!$I$5="C",K39,IF(Inputs!$I$5="D",M39,"")))))</f>
        <v>2.1702480915035403</v>
      </c>
      <c r="P39" s="41"/>
      <c r="Q39" s="523"/>
      <c r="R39" s="115" t="s">
        <v>86</v>
      </c>
      <c r="S39" s="109">
        <f t="shared" si="3"/>
        <v>4.1056758192350893</v>
      </c>
      <c r="T39" s="109">
        <f t="shared" si="3"/>
        <v>0.62920512676133533</v>
      </c>
      <c r="U39" s="109">
        <v>4.1056758192350893</v>
      </c>
      <c r="V39" s="109">
        <v>0.62920512676133533</v>
      </c>
      <c r="W39" s="109">
        <v>4.1056758192350893</v>
      </c>
      <c r="X39" s="109">
        <v>0.62920512676133533</v>
      </c>
      <c r="Y39" s="109">
        <v>4.1056758192350893</v>
      </c>
      <c r="Z39" s="109">
        <v>0.62920512676133533</v>
      </c>
      <c r="AA39" s="109">
        <v>4.1056758192350893</v>
      </c>
      <c r="AB39" s="439">
        <v>0.62920512676133533</v>
      </c>
      <c r="AC39" s="58">
        <f>IF(Inputs!$I$5="Baseline",S39,IF(Inputs!$I$5="A",U39,IF(Inputs!$I$5="B",W39,IF(Inputs!$I$5="C",Y39,IF(Inputs!$I$5="D",AA39,"")))))</f>
        <v>4.1056758192350893</v>
      </c>
      <c r="AD39" s="58">
        <f>IF(('[2]user page'!$U$1=0),T39,IF(('[2]user page'!$U$1=1),V39,IF(('[2]user page'!$U$1=2),X39,IF(('[2]user page'!$U$1=3),Z39,IF(('[2]user page'!$U$1=4),#REF!,IF(('[2]user page'!$U$1=5),V39,""))))))</f>
        <v>0.62920512676133533</v>
      </c>
      <c r="AF39" s="124"/>
    </row>
    <row r="40" spans="2:32" x14ac:dyDescent="0.2">
      <c r="B40" s="523"/>
      <c r="C40" s="115" t="s">
        <v>61</v>
      </c>
      <c r="D40" s="109">
        <f t="shared" si="2"/>
        <v>4.2572172845957521</v>
      </c>
      <c r="E40" s="119">
        <f t="shared" si="2"/>
        <v>1</v>
      </c>
      <c r="F40" s="109">
        <v>4.2572172845957521</v>
      </c>
      <c r="G40" s="119">
        <v>1</v>
      </c>
      <c r="H40" s="109">
        <v>4.2572172845957521</v>
      </c>
      <c r="I40" s="119">
        <v>1</v>
      </c>
      <c r="J40" s="109">
        <v>4.2572172845957521</v>
      </c>
      <c r="K40" s="119">
        <v>1</v>
      </c>
      <c r="L40" s="109">
        <v>4.2572172845957521</v>
      </c>
      <c r="M40" s="440">
        <v>1</v>
      </c>
      <c r="N40" s="58">
        <f>IF(Inputs!$I$5="Baseline",D40,IF(Inputs!$I$5="A",F40,IF(Inputs!$I$5="B",H40,IF(Inputs!$I$5="C",J40,IF(Inputs!$I$5="D",L40,"")))))</f>
        <v>4.2572172845957521</v>
      </c>
      <c r="O40" s="366">
        <f>IF(Inputs!$I$5="Baseline",E40,IF(Inputs!$I$5="A",G40,IF(Inputs!$I$5="B",I40,IF(Inputs!$I$5="C",K40,IF(Inputs!$I$5="D",M40,"")))))</f>
        <v>1</v>
      </c>
      <c r="P40" s="41"/>
      <c r="Q40" s="523"/>
      <c r="R40" s="115" t="s">
        <v>61</v>
      </c>
      <c r="S40" s="109">
        <f t="shared" si="3"/>
        <v>3.9945006441280286</v>
      </c>
      <c r="T40" s="119">
        <f t="shared" si="3"/>
        <v>1</v>
      </c>
      <c r="U40" s="109">
        <v>3.9945006441280286</v>
      </c>
      <c r="V40" s="119">
        <v>1</v>
      </c>
      <c r="W40" s="109">
        <v>3.9945006441280286</v>
      </c>
      <c r="X40" s="119">
        <v>1</v>
      </c>
      <c r="Y40" s="109">
        <v>3.9945006441280286</v>
      </c>
      <c r="Z40" s="119">
        <v>1</v>
      </c>
      <c r="AA40" s="109">
        <v>3.9945006441280286</v>
      </c>
      <c r="AB40" s="440">
        <v>1</v>
      </c>
      <c r="AC40" s="58">
        <f>IF(Inputs!$I$5="Baseline",S40,IF(Inputs!$I$5="A",U40,IF(Inputs!$I$5="B",W40,IF(Inputs!$I$5="C",Y40,IF(Inputs!$I$5="D",AA40,"")))))</f>
        <v>3.9945006441280286</v>
      </c>
      <c r="AD40" s="58">
        <f>IF(('[2]user page'!$U$1=0),T40,IF(('[2]user page'!$U$1=1),V40,IF(('[2]user page'!$U$1=2),X40,IF(('[2]user page'!$U$1=3),Z40,IF(('[2]user page'!$U$1=4),#REF!,IF(('[2]user page'!$U$1=5),V40,""))))))</f>
        <v>1</v>
      </c>
      <c r="AF40" s="124"/>
    </row>
    <row r="41" spans="2:32" x14ac:dyDescent="0.2">
      <c r="B41" s="523"/>
      <c r="C41" s="115" t="s">
        <v>62</v>
      </c>
      <c r="D41" s="109">
        <f t="shared" si="2"/>
        <v>3.619264903178347</v>
      </c>
      <c r="E41" s="109">
        <f t="shared" si="2"/>
        <v>0.77780071464373512</v>
      </c>
      <c r="F41" s="109">
        <v>3.619264903178347</v>
      </c>
      <c r="G41" s="109">
        <v>0.77780071464373512</v>
      </c>
      <c r="H41" s="109">
        <v>3.619264903178347</v>
      </c>
      <c r="I41" s="109">
        <v>0.77780071464373512</v>
      </c>
      <c r="J41" s="109">
        <v>3.619264903178347</v>
      </c>
      <c r="K41" s="109">
        <v>0.77780071464373512</v>
      </c>
      <c r="L41" s="109">
        <v>3.619264903178347</v>
      </c>
      <c r="M41" s="439">
        <v>0.77780071464373512</v>
      </c>
      <c r="N41" s="58">
        <f>IF(Inputs!$I$5="Baseline",D41,IF(Inputs!$I$5="A",F41,IF(Inputs!$I$5="B",H41,IF(Inputs!$I$5="C",J41,IF(Inputs!$I$5="D",L41,"")))))</f>
        <v>3.619264903178347</v>
      </c>
      <c r="O41" s="58">
        <f>IF(Inputs!$I$5="Baseline",E41,IF(Inputs!$I$5="A",G41,IF(Inputs!$I$5="B",I41,IF(Inputs!$I$5="C",K41,IF(Inputs!$I$5="D",M41,"")))))</f>
        <v>0.77780071464373512</v>
      </c>
      <c r="P41" s="41"/>
      <c r="Q41" s="523"/>
      <c r="R41" s="115" t="s">
        <v>62</v>
      </c>
      <c r="S41" s="109">
        <f t="shared" si="3"/>
        <v>3.4731171119276643</v>
      </c>
      <c r="T41" s="109">
        <f t="shared" si="3"/>
        <v>0.67214222576642479</v>
      </c>
      <c r="U41" s="109">
        <v>3.4731171119276643</v>
      </c>
      <c r="V41" s="109">
        <v>0.67214222576642479</v>
      </c>
      <c r="W41" s="109">
        <v>3.4731171119276643</v>
      </c>
      <c r="X41" s="109">
        <v>0.67214222576642479</v>
      </c>
      <c r="Y41" s="109">
        <v>3.4731171119276643</v>
      </c>
      <c r="Z41" s="109">
        <v>0.67214222576642479</v>
      </c>
      <c r="AA41" s="109">
        <v>3.4731171119276643</v>
      </c>
      <c r="AB41" s="439">
        <v>0.67214222576642479</v>
      </c>
      <c r="AC41" s="58">
        <f>IF(Inputs!$I$5="Baseline",S41,IF(Inputs!$I$5="A",U41,IF(Inputs!$I$5="B",W41,IF(Inputs!$I$5="C",Y41,IF(Inputs!$I$5="D",AA41,"")))))</f>
        <v>3.4731171119276643</v>
      </c>
      <c r="AD41" s="58">
        <f>IF(('[2]user page'!$U$1=0),T41,IF(('[2]user page'!$U$1=1),V41,IF(('[2]user page'!$U$1=2),X41,IF(('[2]user page'!$U$1=3),Z41,IF(('[2]user page'!$U$1=4),#REF!,IF(('[2]user page'!$U$1=5),V41,""))))))</f>
        <v>0.67214222576642479</v>
      </c>
      <c r="AF41" s="124"/>
    </row>
    <row r="42" spans="2:32" x14ac:dyDescent="0.2">
      <c r="B42" s="523"/>
      <c r="C42" s="115" t="s">
        <v>63</v>
      </c>
      <c r="D42" s="109">
        <f t="shared" si="2"/>
        <v>4.0335264093771777</v>
      </c>
      <c r="E42" s="109">
        <f t="shared" si="2"/>
        <v>1.571589463272435</v>
      </c>
      <c r="F42" s="109">
        <v>4.0335264093771777</v>
      </c>
      <c r="G42" s="109">
        <v>1.571589463272435</v>
      </c>
      <c r="H42" s="109">
        <v>4.0335264093771777</v>
      </c>
      <c r="I42" s="109">
        <v>1.571589463272435</v>
      </c>
      <c r="J42" s="109">
        <v>4.0335264093771777</v>
      </c>
      <c r="K42" s="109">
        <v>1.571589463272435</v>
      </c>
      <c r="L42" s="109">
        <v>4.0335264093771777</v>
      </c>
      <c r="M42" s="439">
        <v>1.571589463272435</v>
      </c>
      <c r="N42" s="58">
        <f>IF(Inputs!$I$5="Baseline",D42,IF(Inputs!$I$5="A",F42,IF(Inputs!$I$5="B",H42,IF(Inputs!$I$5="C",J42,IF(Inputs!$I$5="D",L42,"")))))</f>
        <v>4.0335264093771777</v>
      </c>
      <c r="O42" s="58">
        <f>IF(Inputs!$I$5="Baseline",E42,IF(Inputs!$I$5="A",G42,IF(Inputs!$I$5="B",I42,IF(Inputs!$I$5="C",K42,IF(Inputs!$I$5="D",M42,"")))))</f>
        <v>1.571589463272435</v>
      </c>
      <c r="P42" s="41"/>
      <c r="Q42" s="523"/>
      <c r="R42" s="115" t="s">
        <v>63</v>
      </c>
      <c r="S42" s="109">
        <f t="shared" si="3"/>
        <v>4.0058255728618546</v>
      </c>
      <c r="T42" s="109">
        <f t="shared" si="3"/>
        <v>1.5500717598094129</v>
      </c>
      <c r="U42" s="109">
        <v>4.0058255728618546</v>
      </c>
      <c r="V42" s="109">
        <v>1.5500717598094129</v>
      </c>
      <c r="W42" s="109">
        <v>4.0058255728618546</v>
      </c>
      <c r="X42" s="109">
        <v>1.5500717598094129</v>
      </c>
      <c r="Y42" s="109">
        <v>4.0058255728618546</v>
      </c>
      <c r="Z42" s="109">
        <v>1.5500717598094129</v>
      </c>
      <c r="AA42" s="109">
        <v>4.0058255728618546</v>
      </c>
      <c r="AB42" s="439">
        <v>1.5500717598094129</v>
      </c>
      <c r="AC42" s="58">
        <f>IF(Inputs!$I$5="Baseline",S42,IF(Inputs!$I$5="A",U42,IF(Inputs!$I$5="B",W42,IF(Inputs!$I$5="C",Y42,IF(Inputs!$I$5="D",AA42,"")))))</f>
        <v>4.0058255728618546</v>
      </c>
      <c r="AD42" s="58">
        <f>IF(('[2]user page'!$U$1=0),T42,IF(('[2]user page'!$U$1=1),V42,IF(('[2]user page'!$U$1=2),X42,IF(('[2]user page'!$U$1=3),Z42,IF(('[2]user page'!$U$1=4),#REF!,IF(('[2]user page'!$U$1=5),V42,""))))))</f>
        <v>1.5500717598094129</v>
      </c>
      <c r="AF42" s="124"/>
    </row>
    <row r="43" spans="2:32" x14ac:dyDescent="0.2">
      <c r="B43" s="523"/>
      <c r="C43" s="115" t="s">
        <v>64</v>
      </c>
      <c r="D43" s="109">
        <f t="shared" si="2"/>
        <v>2.7003475790656961</v>
      </c>
      <c r="E43" s="109">
        <f t="shared" si="2"/>
        <v>0.34795950341788229</v>
      </c>
      <c r="F43" s="109">
        <v>2.7003475790656961</v>
      </c>
      <c r="G43" s="109">
        <v>0.34795950341788229</v>
      </c>
      <c r="H43" s="109">
        <v>2.7003475790656961</v>
      </c>
      <c r="I43" s="109">
        <v>0.34795950341788229</v>
      </c>
      <c r="J43" s="109">
        <v>2.7003475790656961</v>
      </c>
      <c r="K43" s="109">
        <v>0.34795950341788229</v>
      </c>
      <c r="L43" s="109">
        <v>2.7003475790656961</v>
      </c>
      <c r="M43" s="439">
        <v>0.34795950341788229</v>
      </c>
      <c r="N43" s="58">
        <f>IF(Inputs!$I$5="Baseline",D43,IF(Inputs!$I$5="A",F43,IF(Inputs!$I$5="B",H43,IF(Inputs!$I$5="C",J43,IF(Inputs!$I$5="D",L43,"")))))</f>
        <v>2.7003475790656961</v>
      </c>
      <c r="O43" s="58">
        <f>IF(Inputs!$I$5="Baseline",E43,IF(Inputs!$I$5="A",G43,IF(Inputs!$I$5="B",I43,IF(Inputs!$I$5="C",K43,IF(Inputs!$I$5="D",M43,"")))))</f>
        <v>0.34795950341788229</v>
      </c>
      <c r="P43" s="41"/>
      <c r="Q43" s="523"/>
      <c r="R43" s="115" t="s">
        <v>64</v>
      </c>
      <c r="S43" s="109">
        <f t="shared" si="3"/>
        <v>4.1656647025461622</v>
      </c>
      <c r="T43" s="109">
        <f t="shared" si="3"/>
        <v>0.56704662893085733</v>
      </c>
      <c r="U43" s="109">
        <v>4.1656647025461622</v>
      </c>
      <c r="V43" s="109">
        <v>0.56704662893085733</v>
      </c>
      <c r="W43" s="109">
        <v>4.1656647025461622</v>
      </c>
      <c r="X43" s="109">
        <v>0.56704662893085733</v>
      </c>
      <c r="Y43" s="109">
        <v>4.1656647025461622</v>
      </c>
      <c r="Z43" s="109">
        <v>0.56704662893085733</v>
      </c>
      <c r="AA43" s="109">
        <v>4.1656647025461622</v>
      </c>
      <c r="AB43" s="439">
        <v>0.56704662893085733</v>
      </c>
      <c r="AC43" s="58">
        <f>IF(Inputs!$I$5="Baseline",S43,IF(Inputs!$I$5="A",U43,IF(Inputs!$I$5="B",W43,IF(Inputs!$I$5="C",Y43,IF(Inputs!$I$5="D",AA43,"")))))</f>
        <v>4.1656647025461622</v>
      </c>
      <c r="AD43" s="58">
        <f>IF(('[2]user page'!$U$1=0),T43,IF(('[2]user page'!$U$1=1),V43,IF(('[2]user page'!$U$1=2),X43,IF(('[2]user page'!$U$1=3),Z43,IF(('[2]user page'!$U$1=4),#REF!,IF(('[2]user page'!$U$1=5),V43,""))))))</f>
        <v>0.56704662893085733</v>
      </c>
      <c r="AF43" s="124"/>
    </row>
    <row r="44" spans="2:32" x14ac:dyDescent="0.2">
      <c r="B44" s="523"/>
      <c r="C44" s="115" t="s">
        <v>65</v>
      </c>
      <c r="D44" s="109">
        <f t="shared" si="2"/>
        <v>1.6209065204740101</v>
      </c>
      <c r="E44" s="109">
        <f t="shared" si="2"/>
        <v>0</v>
      </c>
      <c r="F44" s="109">
        <v>1.6209065204740101</v>
      </c>
      <c r="G44" s="109">
        <v>0</v>
      </c>
      <c r="H44" s="109">
        <v>1.6209065204740101</v>
      </c>
      <c r="I44" s="109">
        <v>0</v>
      </c>
      <c r="J44" s="109">
        <v>1.6209065204740101</v>
      </c>
      <c r="K44" s="109">
        <v>0</v>
      </c>
      <c r="L44" s="109">
        <v>1.6209065204740101</v>
      </c>
      <c r="M44" s="439">
        <v>0</v>
      </c>
      <c r="N44" s="58">
        <f>IF(Inputs!$I$5="Baseline",D44,IF(Inputs!$I$5="A",F44,IF(Inputs!$I$5="B",H44,IF(Inputs!$I$5="C",J44,IF(Inputs!$I$5="D",L44,"")))))</f>
        <v>1.6209065204740101</v>
      </c>
      <c r="O44" s="58">
        <f>IF(Inputs!$I$5="Baseline",E44,IF(Inputs!$I$5="A",G44,IF(Inputs!$I$5="B",I44,IF(Inputs!$I$5="C",K44,IF(Inputs!$I$5="D",M44,"")))))</f>
        <v>0</v>
      </c>
      <c r="P44" s="41"/>
      <c r="Q44" s="523"/>
      <c r="R44" s="115" t="s">
        <v>65</v>
      </c>
      <c r="S44" s="109">
        <f t="shared" si="3"/>
        <v>2.2498891746588798</v>
      </c>
      <c r="T44" s="109">
        <f t="shared" si="3"/>
        <v>0</v>
      </c>
      <c r="U44" s="109">
        <v>2.2498891746588798</v>
      </c>
      <c r="V44" s="109">
        <v>0</v>
      </c>
      <c r="W44" s="109">
        <v>2.2498891746588798</v>
      </c>
      <c r="X44" s="109">
        <v>0</v>
      </c>
      <c r="Y44" s="109">
        <v>2.2498891746588798</v>
      </c>
      <c r="Z44" s="109">
        <v>0</v>
      </c>
      <c r="AA44" s="109">
        <v>2.2498891746588798</v>
      </c>
      <c r="AB44" s="439">
        <v>0</v>
      </c>
      <c r="AC44" s="58">
        <f>IF(Inputs!$I$5="Baseline",S44,IF(Inputs!$I$5="A",U44,IF(Inputs!$I$5="B",W44,IF(Inputs!$I$5="C",Y44,IF(Inputs!$I$5="D",AA44,"")))))</f>
        <v>2.2498891746588798</v>
      </c>
      <c r="AD44" s="58">
        <f>IF(('[2]user page'!$U$1=0),T44,IF(('[2]user page'!$U$1=1),V44,IF(('[2]user page'!$U$1=2),X44,IF(('[2]user page'!$U$1=3),Z44,IF(('[2]user page'!$U$1=4),#REF!,IF(('[2]user page'!$U$1=5),V44,""))))))</f>
        <v>0</v>
      </c>
      <c r="AF44" s="124"/>
    </row>
    <row r="45" spans="2:32" x14ac:dyDescent="0.2">
      <c r="B45" s="524"/>
      <c r="C45" s="116" t="s">
        <v>66</v>
      </c>
      <c r="D45" s="117">
        <f t="shared" si="2"/>
        <v>0.19906232193167198</v>
      </c>
      <c r="E45" s="117">
        <f t="shared" si="2"/>
        <v>0</v>
      </c>
      <c r="F45" s="117">
        <v>0.19906232193167198</v>
      </c>
      <c r="G45" s="117">
        <v>0</v>
      </c>
      <c r="H45" s="117">
        <v>0.19906232193167198</v>
      </c>
      <c r="I45" s="117">
        <v>0</v>
      </c>
      <c r="J45" s="117">
        <v>0.19906232193167198</v>
      </c>
      <c r="K45" s="117">
        <v>0</v>
      </c>
      <c r="L45" s="117">
        <v>0.19906232193167198</v>
      </c>
      <c r="M45" s="441">
        <v>0</v>
      </c>
      <c r="N45" s="341">
        <f>IF(Inputs!$I$5="Baseline",D45,IF(Inputs!$I$5="A",F45,IF(Inputs!$I$5="B",H45,IF(Inputs!$I$5="C",J45,IF(Inputs!$I$5="D",L45,"")))))</f>
        <v>0.19906232193167198</v>
      </c>
      <c r="O45" s="114">
        <f>IF(Inputs!$I$5="Baseline",E45,IF(Inputs!$I$5="A",G45,IF(Inputs!$I$5="B",I45,IF(Inputs!$I$5="C",K45,IF(Inputs!$I$5="D",M45,"")))))</f>
        <v>0</v>
      </c>
      <c r="P45" s="41"/>
      <c r="Q45" s="524"/>
      <c r="R45" s="116" t="s">
        <v>66</v>
      </c>
      <c r="S45" s="127">
        <f t="shared" si="3"/>
        <v>0.1373937576569885</v>
      </c>
      <c r="T45" s="117">
        <f t="shared" si="3"/>
        <v>0</v>
      </c>
      <c r="U45" s="117">
        <v>0.1373937576569885</v>
      </c>
      <c r="V45" s="117">
        <v>0</v>
      </c>
      <c r="W45" s="117">
        <v>0.1373937576569885</v>
      </c>
      <c r="X45" s="117">
        <v>0</v>
      </c>
      <c r="Y45" s="117">
        <v>0.1373937576569885</v>
      </c>
      <c r="Z45" s="117">
        <v>0</v>
      </c>
      <c r="AA45" s="117">
        <v>0.1373937576569885</v>
      </c>
      <c r="AB45" s="441">
        <v>0</v>
      </c>
      <c r="AC45" s="114">
        <f>IF(Inputs!$I$5="Baseline",S45,IF(Inputs!$I$5="A",U45,IF(Inputs!$I$5="B",W45,IF(Inputs!$I$5="C",Y45,IF(Inputs!$I$5="D",AA45,"")))))</f>
        <v>0.1373937576569885</v>
      </c>
      <c r="AD45" s="114">
        <f>IF(('[2]user page'!$U$1=0),T45,IF(('[2]user page'!$U$1=1),V45,IF(('[2]user page'!$U$1=2),X45,IF(('[2]user page'!$U$1=3),Z45,IF(('[2]user page'!$U$1=4),#REF!,IF(('[2]user page'!$U$1=5),V45,""))))))</f>
        <v>0</v>
      </c>
      <c r="AF45" s="124"/>
    </row>
    <row r="51" spans="4:5" x14ac:dyDescent="0.2">
      <c r="D51" s="40"/>
      <c r="E51" s="40"/>
    </row>
  </sheetData>
  <mergeCells count="36">
    <mergeCell ref="B6:B13"/>
    <mergeCell ref="B15:B22"/>
    <mergeCell ref="B29:B36"/>
    <mergeCell ref="B38:B45"/>
    <mergeCell ref="D27:E27"/>
    <mergeCell ref="F27:G27"/>
    <mergeCell ref="H27:I27"/>
    <mergeCell ref="J27:K27"/>
    <mergeCell ref="L27:M27"/>
    <mergeCell ref="N27:O27"/>
    <mergeCell ref="AA27:AB27"/>
    <mergeCell ref="AC27:AD27"/>
    <mergeCell ref="N4:O4"/>
    <mergeCell ref="C4:C5"/>
    <mergeCell ref="C27:C28"/>
    <mergeCell ref="R4:R5"/>
    <mergeCell ref="S4:T4"/>
    <mergeCell ref="D4:E4"/>
    <mergeCell ref="F4:G4"/>
    <mergeCell ref="H4:I4"/>
    <mergeCell ref="J4:K4"/>
    <mergeCell ref="L4:M4"/>
    <mergeCell ref="Q29:Q36"/>
    <mergeCell ref="Q38:Q45"/>
    <mergeCell ref="Y4:Z4"/>
    <mergeCell ref="Q6:Q13"/>
    <mergeCell ref="Q15:Q22"/>
    <mergeCell ref="R27:R28"/>
    <mergeCell ref="S27:T27"/>
    <mergeCell ref="U27:V27"/>
    <mergeCell ref="W27:X27"/>
    <mergeCell ref="Y27:Z27"/>
    <mergeCell ref="AA4:AB4"/>
    <mergeCell ref="AC4:AD4"/>
    <mergeCell ref="W4:X4"/>
    <mergeCell ref="U4:V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2:AT65"/>
  <sheetViews>
    <sheetView showGridLines="0" zoomScaleNormal="100" workbookViewId="0"/>
  </sheetViews>
  <sheetFormatPr defaultColWidth="9.140625" defaultRowHeight="12.75" x14ac:dyDescent="0.2"/>
  <cols>
    <col min="1" max="1" width="3.42578125" style="45" customWidth="1"/>
    <col min="2" max="2" width="11" style="45" customWidth="1"/>
    <col min="3" max="3" width="9.85546875" style="45" customWidth="1"/>
    <col min="4" max="4" width="7.140625" style="45" customWidth="1"/>
    <col min="5" max="5" width="7.42578125" style="128" customWidth="1"/>
    <col min="6" max="6" width="8.7109375" style="128" customWidth="1"/>
    <col min="7" max="7" width="5.28515625" style="128" customWidth="1"/>
    <col min="8" max="8" width="6" style="128" customWidth="1"/>
    <col min="9" max="9" width="7.140625" style="44" customWidth="1"/>
    <col min="10" max="11" width="6.85546875" style="128" customWidth="1"/>
    <col min="12" max="12" width="6.28515625" style="128" customWidth="1"/>
    <col min="13" max="13" width="6.7109375" style="128" customWidth="1"/>
    <col min="14" max="14" width="6.7109375" style="45" customWidth="1"/>
    <col min="15" max="16" width="8.7109375" style="45" customWidth="1"/>
    <col min="17" max="17" width="7.42578125" style="45" customWidth="1"/>
    <col min="18" max="18" width="7.140625" style="45" customWidth="1"/>
    <col min="19" max="19" width="6.7109375" style="45" customWidth="1"/>
    <col min="20" max="22" width="7.7109375" style="45" customWidth="1"/>
    <col min="23" max="23" width="6.140625" style="45" customWidth="1"/>
    <col min="24" max="24" width="5.42578125" style="45" customWidth="1"/>
    <col min="25" max="25" width="6.7109375" style="45" customWidth="1"/>
    <col min="26" max="27" width="7.5703125" style="45" customWidth="1"/>
    <col min="28" max="28" width="5.28515625" style="45" customWidth="1"/>
    <col min="29" max="29" width="5.85546875" style="45" customWidth="1"/>
    <col min="30" max="30" width="7.28515625" style="45" customWidth="1"/>
    <col min="31" max="31" width="5.28515625" style="45" customWidth="1"/>
    <col min="32" max="32" width="7.85546875" style="45" customWidth="1"/>
    <col min="33" max="33" width="5.28515625" style="45" customWidth="1"/>
    <col min="34" max="35" width="7.28515625" style="45" customWidth="1"/>
    <col min="36" max="36" width="6.42578125" style="45" customWidth="1"/>
    <col min="37" max="37" width="7" style="45" customWidth="1"/>
    <col min="38" max="39" width="6.5703125" style="45" customWidth="1"/>
    <col min="40" max="40" width="9" style="45" customWidth="1"/>
    <col min="41" max="41" width="6.28515625" style="45" customWidth="1"/>
    <col min="42" max="50" width="5.28515625" style="45" customWidth="1"/>
    <col min="51" max="16384" width="9.140625" style="45"/>
  </cols>
  <sheetData>
    <row r="2" spans="2:46" x14ac:dyDescent="0.2">
      <c r="B2" s="129" t="s">
        <v>157</v>
      </c>
    </row>
    <row r="3" spans="2:46" x14ac:dyDescent="0.2">
      <c r="B3" s="129"/>
    </row>
    <row r="4" spans="2:46" x14ac:dyDescent="0.2">
      <c r="B4" s="132" t="s">
        <v>146</v>
      </c>
    </row>
    <row r="5" spans="2:46" x14ac:dyDescent="0.2">
      <c r="B5" s="130" t="s">
        <v>147</v>
      </c>
      <c r="G5" s="170">
        <f>Inputs!D6*7</f>
        <v>49.154273184050027</v>
      </c>
    </row>
    <row r="6" spans="2:46" x14ac:dyDescent="0.2">
      <c r="B6" s="130" t="s">
        <v>148</v>
      </c>
      <c r="G6" s="170">
        <f>Inputs!D7*7</f>
        <v>15.001043807076785</v>
      </c>
    </row>
    <row r="7" spans="2:46" x14ac:dyDescent="0.2">
      <c r="B7" s="130" t="s">
        <v>149</v>
      </c>
      <c r="G7" s="170">
        <f>G5+G6</f>
        <v>64.15531699112681</v>
      </c>
    </row>
    <row r="8" spans="2:46" x14ac:dyDescent="0.2">
      <c r="B8" s="130" t="s">
        <v>150</v>
      </c>
      <c r="G8" s="171">
        <f>Inputs!D12</f>
        <v>1.8492175109279758</v>
      </c>
    </row>
    <row r="9" spans="2:46" x14ac:dyDescent="0.2">
      <c r="B9" s="130" t="s">
        <v>151</v>
      </c>
      <c r="G9" s="171">
        <f>Inputs!D10*7</f>
        <v>2.016</v>
      </c>
    </row>
    <row r="10" spans="2:46" x14ac:dyDescent="0.2">
      <c r="B10" s="130" t="s">
        <v>152</v>
      </c>
      <c r="G10" s="171">
        <f>Inputs!D11*7</f>
        <v>1.3720000000000001</v>
      </c>
    </row>
    <row r="11" spans="2:46" x14ac:dyDescent="0.2">
      <c r="B11" s="130" t="s">
        <v>153</v>
      </c>
      <c r="G11" s="171">
        <f>G9+G10</f>
        <v>3.3879999999999999</v>
      </c>
    </row>
    <row r="12" spans="2:46" x14ac:dyDescent="0.2">
      <c r="B12" s="155"/>
      <c r="C12" s="131"/>
      <c r="D12" s="131"/>
      <c r="AQ12" s="131"/>
      <c r="AR12" s="131"/>
      <c r="AS12" s="131"/>
      <c r="AT12" s="131"/>
    </row>
    <row r="13" spans="2:46" x14ac:dyDescent="0.2">
      <c r="B13" s="555"/>
      <c r="C13" s="555"/>
      <c r="D13" s="555"/>
      <c r="E13" s="547" t="s">
        <v>166</v>
      </c>
      <c r="F13" s="548"/>
      <c r="G13" s="548"/>
      <c r="H13" s="548"/>
      <c r="I13" s="548"/>
      <c r="J13" s="548"/>
      <c r="K13" s="548"/>
      <c r="L13" s="548"/>
      <c r="M13" s="548"/>
      <c r="N13" s="548"/>
      <c r="O13" s="548"/>
      <c r="P13" s="548"/>
      <c r="Q13" s="548"/>
      <c r="R13" s="548"/>
      <c r="S13" s="547" t="s">
        <v>167</v>
      </c>
      <c r="T13" s="548"/>
      <c r="U13" s="548"/>
      <c r="V13" s="548"/>
      <c r="W13" s="548"/>
      <c r="X13" s="548"/>
      <c r="Y13" s="548"/>
      <c r="Z13" s="548"/>
      <c r="AA13" s="548"/>
      <c r="AB13" s="548"/>
      <c r="AC13" s="548"/>
      <c r="AD13" s="549"/>
      <c r="AE13" s="561" t="s">
        <v>168</v>
      </c>
      <c r="AF13" s="561"/>
      <c r="AG13" s="561"/>
      <c r="AH13" s="562"/>
      <c r="AI13" s="548" t="s">
        <v>277</v>
      </c>
      <c r="AJ13" s="548"/>
      <c r="AK13" s="548"/>
      <c r="AL13" s="549"/>
      <c r="AM13" s="555"/>
      <c r="AN13" s="555"/>
      <c r="AO13" s="555"/>
      <c r="AP13" s="555"/>
    </row>
    <row r="14" spans="2:46" s="136" customFormat="1" ht="13.15" customHeight="1" x14ac:dyDescent="0.2">
      <c r="B14" s="181"/>
      <c r="C14" s="181"/>
      <c r="D14" s="182"/>
      <c r="E14" s="550" t="s">
        <v>75</v>
      </c>
      <c r="F14" s="550"/>
      <c r="G14" s="550"/>
      <c r="H14" s="550"/>
      <c r="I14" s="550"/>
      <c r="J14" s="551"/>
      <c r="K14" s="545" t="s">
        <v>76</v>
      </c>
      <c r="L14" s="545"/>
      <c r="M14" s="545"/>
      <c r="N14" s="545"/>
      <c r="O14" s="545"/>
      <c r="P14" s="545"/>
      <c r="Q14" s="545"/>
      <c r="R14" s="546"/>
      <c r="S14" s="552" t="s">
        <v>158</v>
      </c>
      <c r="T14" s="553"/>
      <c r="U14" s="553"/>
      <c r="V14" s="553"/>
      <c r="W14" s="553"/>
      <c r="X14" s="554"/>
      <c r="Y14" s="532" t="s">
        <v>76</v>
      </c>
      <c r="Z14" s="532"/>
      <c r="AA14" s="532"/>
      <c r="AB14" s="532"/>
      <c r="AC14" s="532"/>
      <c r="AD14" s="544"/>
      <c r="AE14" s="558" t="s">
        <v>158</v>
      </c>
      <c r="AF14" s="558"/>
      <c r="AG14" s="559" t="s">
        <v>76</v>
      </c>
      <c r="AH14" s="560"/>
      <c r="AI14" s="46" t="s">
        <v>77</v>
      </c>
      <c r="AJ14" s="161"/>
      <c r="AK14" s="46" t="s">
        <v>77</v>
      </c>
      <c r="AL14" s="159">
        <v>6</v>
      </c>
      <c r="AM14" s="57"/>
      <c r="AN14" s="57"/>
      <c r="AO14" s="57"/>
      <c r="AP14" s="57"/>
    </row>
    <row r="15" spans="2:46" ht="13.15" customHeight="1" x14ac:dyDescent="0.2">
      <c r="B15" s="545"/>
      <c r="C15" s="545"/>
      <c r="D15" s="546"/>
      <c r="E15" s="532" t="s">
        <v>78</v>
      </c>
      <c r="F15" s="532"/>
      <c r="G15" s="532" t="s">
        <v>79</v>
      </c>
      <c r="H15" s="532"/>
      <c r="I15" s="532" t="s">
        <v>80</v>
      </c>
      <c r="J15" s="544"/>
      <c r="K15" s="532" t="s">
        <v>81</v>
      </c>
      <c r="L15" s="532"/>
      <c r="M15" s="532" t="s">
        <v>79</v>
      </c>
      <c r="N15" s="532"/>
      <c r="O15" s="532" t="s">
        <v>82</v>
      </c>
      <c r="P15" s="532"/>
      <c r="Q15" s="532" t="s">
        <v>83</v>
      </c>
      <c r="R15" s="544"/>
      <c r="S15" s="532" t="s">
        <v>144</v>
      </c>
      <c r="T15" s="532"/>
      <c r="U15" s="532" t="s">
        <v>79</v>
      </c>
      <c r="V15" s="532"/>
      <c r="W15" s="532" t="s">
        <v>82</v>
      </c>
      <c r="X15" s="544" t="s">
        <v>84</v>
      </c>
      <c r="Y15" s="532" t="s">
        <v>145</v>
      </c>
      <c r="Z15" s="532"/>
      <c r="AA15" s="532" t="s">
        <v>85</v>
      </c>
      <c r="AB15" s="532"/>
      <c r="AC15" s="532" t="s">
        <v>82</v>
      </c>
      <c r="AD15" s="544"/>
      <c r="AH15" s="158"/>
      <c r="AI15" s="532" t="s">
        <v>75</v>
      </c>
      <c r="AJ15" s="532"/>
      <c r="AK15" s="532" t="s">
        <v>76</v>
      </c>
      <c r="AL15" s="544"/>
      <c r="AM15" s="532"/>
      <c r="AN15" s="532"/>
      <c r="AO15" s="532"/>
      <c r="AP15" s="532"/>
    </row>
    <row r="16" spans="2:46" ht="13.15" customHeight="1" x14ac:dyDescent="0.2">
      <c r="B16" s="44" t="s">
        <v>0</v>
      </c>
      <c r="C16" s="44" t="s">
        <v>72</v>
      </c>
      <c r="D16" s="121" t="s">
        <v>73</v>
      </c>
      <c r="E16" s="46" t="s">
        <v>72</v>
      </c>
      <c r="F16" s="46" t="s">
        <v>73</v>
      </c>
      <c r="G16" s="46" t="s">
        <v>72</v>
      </c>
      <c r="H16" s="46" t="s">
        <v>73</v>
      </c>
      <c r="I16" s="46" t="s">
        <v>72</v>
      </c>
      <c r="J16" s="147" t="s">
        <v>73</v>
      </c>
      <c r="K16" s="46" t="s">
        <v>72</v>
      </c>
      <c r="L16" s="46" t="s">
        <v>73</v>
      </c>
      <c r="M16" s="46" t="s">
        <v>72</v>
      </c>
      <c r="N16" s="46" t="s">
        <v>73</v>
      </c>
      <c r="O16" s="46" t="s">
        <v>72</v>
      </c>
      <c r="P16" s="46" t="s">
        <v>73</v>
      </c>
      <c r="Q16" s="46" t="s">
        <v>72</v>
      </c>
      <c r="R16" s="147" t="s">
        <v>73</v>
      </c>
      <c r="S16" s="46" t="s">
        <v>72</v>
      </c>
      <c r="T16" s="46" t="s">
        <v>73</v>
      </c>
      <c r="U16" s="46" t="s">
        <v>72</v>
      </c>
      <c r="V16" s="46" t="s">
        <v>73</v>
      </c>
      <c r="W16" s="46" t="s">
        <v>72</v>
      </c>
      <c r="X16" s="147" t="s">
        <v>73</v>
      </c>
      <c r="Y16" s="46" t="s">
        <v>72</v>
      </c>
      <c r="Z16" s="46" t="s">
        <v>73</v>
      </c>
      <c r="AA16" s="46" t="s">
        <v>72</v>
      </c>
      <c r="AB16" s="46" t="s">
        <v>73</v>
      </c>
      <c r="AC16" s="46" t="s">
        <v>72</v>
      </c>
      <c r="AD16" s="147" t="s">
        <v>73</v>
      </c>
      <c r="AE16" s="62" t="s">
        <v>72</v>
      </c>
      <c r="AF16" s="156" t="s">
        <v>73</v>
      </c>
      <c r="AG16" s="156" t="s">
        <v>72</v>
      </c>
      <c r="AH16" s="157" t="s">
        <v>73</v>
      </c>
      <c r="AI16" s="46" t="s">
        <v>72</v>
      </c>
      <c r="AJ16" s="46" t="s">
        <v>73</v>
      </c>
      <c r="AK16" s="46" t="s">
        <v>72</v>
      </c>
      <c r="AL16" s="147" t="s">
        <v>73</v>
      </c>
      <c r="AM16" s="46"/>
      <c r="AN16" s="46"/>
      <c r="AO16" s="46"/>
      <c r="AP16" s="46"/>
    </row>
    <row r="17" spans="1:44" ht="13.15" customHeight="1" x14ac:dyDescent="0.2">
      <c r="B17" s="44" t="s">
        <v>9</v>
      </c>
      <c r="C17" s="357">
        <v>2.9383563982166468E-2</v>
      </c>
      <c r="D17" s="358">
        <v>3.1341912418392813E-2</v>
      </c>
      <c r="E17" s="170">
        <f>'Active transport'!D29</f>
        <v>1.2442611397300452</v>
      </c>
      <c r="F17" s="170">
        <f>'Active transport'!E29</f>
        <v>1.1848333278731662</v>
      </c>
      <c r="G17" s="51">
        <f t="shared" ref="G17:H24" si="0">E17*C17</f>
        <v>3.6560826809781156E-2</v>
      </c>
      <c r="H17" s="51">
        <f t="shared" si="0"/>
        <v>3.713494239259367E-2</v>
      </c>
      <c r="I17" s="47">
        <f t="shared" ref="I17:J24" si="1">G17/($G$25+$H$25)*$G$5/C17</f>
        <v>78.394728300585456</v>
      </c>
      <c r="J17" s="139">
        <f t="shared" si="1"/>
        <v>74.650476378493664</v>
      </c>
      <c r="K17" s="170">
        <f>'Active transport'!D38</f>
        <v>0.24082955855864754</v>
      </c>
      <c r="L17" s="170">
        <f>'Active transport'!E38</f>
        <v>1.5535027699118202</v>
      </c>
      <c r="M17" s="51">
        <f t="shared" ref="M17:N24" si="2">K17*C17</f>
        <v>7.0764307427049261E-3</v>
      </c>
      <c r="N17" s="51">
        <f t="shared" si="2"/>
        <v>4.8689747756306911E-2</v>
      </c>
      <c r="O17" s="51">
        <f t="shared" ref="O17:P24" si="3">M17/($M$25+$N$25)*$G$6/C17</f>
        <v>1.606829765160612</v>
      </c>
      <c r="P17" s="51">
        <f t="shared" si="3"/>
        <v>10.365066920744635</v>
      </c>
      <c r="Q17" s="169">
        <f t="shared" ref="Q17:R24" si="4">O17/(I17+O17)</f>
        <v>2.0084980892998403E-2</v>
      </c>
      <c r="R17" s="172">
        <f t="shared" si="4"/>
        <v>0.12191966925696869</v>
      </c>
      <c r="S17" s="170">
        <f>'Active transport'!S29</f>
        <v>0.72201244280125276</v>
      </c>
      <c r="T17" s="170">
        <f>'Active transport'!T29</f>
        <v>1.3676594491885232</v>
      </c>
      <c r="U17" s="133">
        <f t="shared" ref="U17:V24" si="5">S17*C17</f>
        <v>2.1215298808970919E-2</v>
      </c>
      <c r="V17" s="133">
        <f t="shared" si="5"/>
        <v>4.286506267465405E-2</v>
      </c>
      <c r="W17" s="160">
        <f>U17/($U$25+$V$25)*$G$9/C17</f>
        <v>2.1958537055503582</v>
      </c>
      <c r="X17" s="163">
        <f>V17/($U$25+$V$25)*$G$9/D17</f>
        <v>4.1594574987930795</v>
      </c>
      <c r="Y17" s="170">
        <f>'Active transport'!S38</f>
        <v>0.14287233563721177</v>
      </c>
      <c r="Z17" s="170">
        <f>'Active transport'!T38</f>
        <v>0.89072851809547682</v>
      </c>
      <c r="AA17" s="133">
        <f t="shared" ref="AA17:AB24" si="6">Y17*C17</f>
        <v>4.1980984154775742E-3</v>
      </c>
      <c r="AB17" s="133">
        <f t="shared" si="6"/>
        <v>2.7917135202713252E-2</v>
      </c>
      <c r="AC17" s="133">
        <f>AA17/($AA$25+$AB$25)*$G$10/C17</f>
        <v>9.1451590880128164E-2</v>
      </c>
      <c r="AD17" s="162">
        <f>AB17/($AA$25+$AB$25)*$G$10/D17</f>
        <v>0.57014914510093684</v>
      </c>
      <c r="AE17" s="316">
        <f>W17/(I17/60)</f>
        <v>1.6806132910857676</v>
      </c>
      <c r="AF17" s="316">
        <f>X17/(J17/60)</f>
        <v>3.3431461128556657</v>
      </c>
      <c r="AG17" s="316">
        <f t="shared" ref="AG17:AH24" si="7">AC17/(O17/60)</f>
        <v>3.4148579841992301</v>
      </c>
      <c r="AH17" s="317">
        <f t="shared" si="7"/>
        <v>3.3004078958323415</v>
      </c>
      <c r="AI17" s="47">
        <f>MAX(2.5,1.2216*AE17+0.0838)</f>
        <v>2.5</v>
      </c>
      <c r="AJ17" s="47">
        <f>MAX(2.5,1.2216*AF17+0.0838)</f>
        <v>4.1677872914644816</v>
      </c>
      <c r="AK17" s="46">
        <f t="shared" ref="AK17:AL24" si="8">$AL$14</f>
        <v>6</v>
      </c>
      <c r="AL17" s="147">
        <f t="shared" si="8"/>
        <v>6</v>
      </c>
      <c r="AM17" s="51"/>
      <c r="AN17" s="51"/>
      <c r="AO17" s="51"/>
      <c r="AP17" s="51"/>
    </row>
    <row r="18" spans="1:44" ht="13.15" customHeight="1" x14ac:dyDescent="0.2">
      <c r="B18" s="44" t="s">
        <v>86</v>
      </c>
      <c r="C18" s="357">
        <v>7.6838798206393985E-2</v>
      </c>
      <c r="D18" s="358">
        <v>6.5167292474270819E-2</v>
      </c>
      <c r="E18" s="170">
        <f>'Active transport'!D30</f>
        <v>1.0466576906809824</v>
      </c>
      <c r="F18" s="170">
        <f>'Active transport'!E30</f>
        <v>1.0631385253359023</v>
      </c>
      <c r="G18" s="51">
        <f t="shared" si="0"/>
        <v>8.0423919085406331E-2</v>
      </c>
      <c r="H18" s="51">
        <f t="shared" si="0"/>
        <v>6.9281859221229716E-2</v>
      </c>
      <c r="I18" s="47">
        <f t="shared" si="1"/>
        <v>65.944714228120887</v>
      </c>
      <c r="J18" s="139">
        <f t="shared" si="1"/>
        <v>66.983089946597175</v>
      </c>
      <c r="K18" s="170">
        <f>'Active transport'!D39</f>
        <v>4.6300177019618589</v>
      </c>
      <c r="L18" s="170">
        <f>'Active transport'!E39</f>
        <v>2.1702480915035403</v>
      </c>
      <c r="M18" s="51">
        <f t="shared" si="2"/>
        <v>0.35576499589307931</v>
      </c>
      <c r="N18" s="51">
        <f t="shared" si="2"/>
        <v>0.14142919212073926</v>
      </c>
      <c r="O18" s="51">
        <f t="shared" si="3"/>
        <v>30.891765534342099</v>
      </c>
      <c r="P18" s="51">
        <f t="shared" si="3"/>
        <v>14.480029993335231</v>
      </c>
      <c r="Q18" s="169">
        <f t="shared" si="4"/>
        <v>0.31900958822665471</v>
      </c>
      <c r="R18" s="172">
        <f t="shared" si="4"/>
        <v>0.17774951418521923</v>
      </c>
      <c r="S18" s="170">
        <f>'Active transport'!S30</f>
        <v>1.0579246064363828</v>
      </c>
      <c r="T18" s="170">
        <f>'Active transport'!T30</f>
        <v>0.82771406236415135</v>
      </c>
      <c r="U18" s="133">
        <f t="shared" si="5"/>
        <v>8.1289655351543991E-2</v>
      </c>
      <c r="V18" s="133">
        <f t="shared" si="5"/>
        <v>5.3939884387151485E-2</v>
      </c>
      <c r="W18" s="160">
        <f t="shared" ref="W18:W24" si="9">U18/($U$25+$V$25)*$G$9/C18</f>
        <v>3.2174620955607232</v>
      </c>
      <c r="X18" s="163">
        <f t="shared" ref="X18:X24" si="10">V18/($U$25+$V$25)*$G$9/D18</f>
        <v>2.5173236404719037</v>
      </c>
      <c r="Y18" s="170">
        <f>'Active transport'!S39</f>
        <v>4.1056758192350893</v>
      </c>
      <c r="Z18" s="170">
        <f>'Active transport'!T39</f>
        <v>0.62920512676133533</v>
      </c>
      <c r="AA18" s="133">
        <f t="shared" si="6"/>
        <v>0.31547519577507632</v>
      </c>
      <c r="AB18" s="133">
        <f t="shared" si="6"/>
        <v>4.1003594521966585E-2</v>
      </c>
      <c r="AC18" s="133">
        <f t="shared" ref="AC18:AC24" si="11">AA18/($AA$25+$AB$25)*$G$10/C18</f>
        <v>2.6280146092140271</v>
      </c>
      <c r="AD18" s="162">
        <f t="shared" ref="AD18:AD24" si="12">AB18/($AA$25+$AB$25)*$G$10/D18</f>
        <v>0.4027498365979662</v>
      </c>
      <c r="AE18" s="316">
        <f t="shared" ref="AE18:AE24" si="13">W18/(I18/60)</f>
        <v>2.9274177315537111</v>
      </c>
      <c r="AF18" s="316">
        <f t="shared" ref="AF18:AF24" si="14">X18/(J18/60)</f>
        <v>2.2548887868375682</v>
      </c>
      <c r="AG18" s="316">
        <f t="shared" si="7"/>
        <v>5.1043012215520411</v>
      </c>
      <c r="AH18" s="317">
        <f t="shared" si="7"/>
        <v>1.6688494572870682</v>
      </c>
      <c r="AI18" s="483">
        <f t="shared" ref="AI18:AI24" si="15">MAX(2.5,1.2216*AE18+0.0838)</f>
        <v>3.6599335008660137</v>
      </c>
      <c r="AJ18" s="483">
        <f t="shared" ref="AJ18:AJ24" si="16">MAX(2.5,1.2216*AF18+0.0838)</f>
        <v>2.8383721420007735</v>
      </c>
      <c r="AK18" s="46">
        <f t="shared" si="8"/>
        <v>6</v>
      </c>
      <c r="AL18" s="147">
        <f t="shared" si="8"/>
        <v>6</v>
      </c>
      <c r="AM18" s="51"/>
      <c r="AN18" s="51"/>
      <c r="AO18" s="51"/>
      <c r="AP18" s="51"/>
    </row>
    <row r="19" spans="1:44" ht="13.15" customHeight="1" x14ac:dyDescent="0.2">
      <c r="B19" s="44" t="s">
        <v>61</v>
      </c>
      <c r="C19" s="357">
        <v>0.11471305960133134</v>
      </c>
      <c r="D19" s="358">
        <v>0.1086156688511476</v>
      </c>
      <c r="E19" s="170">
        <f>'Active transport'!D31</f>
        <v>0.73539655618359334</v>
      </c>
      <c r="F19" s="170">
        <f>'Active transport'!E31</f>
        <v>1</v>
      </c>
      <c r="G19" s="51">
        <f t="shared" si="0"/>
        <v>8.435958898010236E-2</v>
      </c>
      <c r="H19" s="51">
        <f t="shared" si="0"/>
        <v>0.1086156688511476</v>
      </c>
      <c r="I19" s="47">
        <f t="shared" si="1"/>
        <v>46.333692642452078</v>
      </c>
      <c r="J19" s="139">
        <f t="shared" si="1"/>
        <v>63.005044357162802</v>
      </c>
      <c r="K19" s="170">
        <f>'Active transport'!D40</f>
        <v>4.2572172845957521</v>
      </c>
      <c r="L19" s="170">
        <f>'Active transport'!E40</f>
        <v>1</v>
      </c>
      <c r="M19" s="51">
        <f t="shared" si="2"/>
        <v>0.48835842010365049</v>
      </c>
      <c r="N19" s="51">
        <f t="shared" si="2"/>
        <v>0.1086156688511476</v>
      </c>
      <c r="O19" s="51">
        <f t="shared" si="3"/>
        <v>28.404418006599641</v>
      </c>
      <c r="P19" s="51">
        <f t="shared" si="3"/>
        <v>6.6720620789964702</v>
      </c>
      <c r="Q19" s="169">
        <f t="shared" si="4"/>
        <v>0.38005266335910565</v>
      </c>
      <c r="R19" s="172">
        <f t="shared" si="4"/>
        <v>9.5756876544660446E-2</v>
      </c>
      <c r="S19" s="170">
        <f>'Active transport'!S31</f>
        <v>0.69743449595390872</v>
      </c>
      <c r="T19" s="170">
        <f>'Active transport'!T31</f>
        <v>1</v>
      </c>
      <c r="U19" s="133">
        <f t="shared" si="5"/>
        <v>8.0004844902385214E-2</v>
      </c>
      <c r="V19" s="133">
        <f t="shared" si="5"/>
        <v>0.1086156688511476</v>
      </c>
      <c r="W19" s="160">
        <f t="shared" si="9"/>
        <v>2.121104888964636</v>
      </c>
      <c r="X19" s="163">
        <f t="shared" si="10"/>
        <v>3.0412962095651963</v>
      </c>
      <c r="Y19" s="170">
        <f>'Active transport'!S40</f>
        <v>3.9945006441280286</v>
      </c>
      <c r="Z19" s="170">
        <f>'Active transport'!T40</f>
        <v>1</v>
      </c>
      <c r="AA19" s="133">
        <f t="shared" si="6"/>
        <v>0.45822139046741495</v>
      </c>
      <c r="AB19" s="133">
        <f t="shared" si="6"/>
        <v>0.1086156688511476</v>
      </c>
      <c r="AC19" s="133">
        <f t="shared" si="11"/>
        <v>2.5568521508936537</v>
      </c>
      <c r="AD19" s="162">
        <f t="shared" si="12"/>
        <v>0.64009306260903021</v>
      </c>
      <c r="AE19" s="316">
        <f t="shared" si="13"/>
        <v>2.7467332319046296</v>
      </c>
      <c r="AF19" s="316">
        <f t="shared" si="14"/>
        <v>2.8962406809759917</v>
      </c>
      <c r="AG19" s="316">
        <f t="shared" si="7"/>
        <v>5.4009601259203706</v>
      </c>
      <c r="AH19" s="317">
        <f t="shared" si="7"/>
        <v>5.7561790195930413</v>
      </c>
      <c r="AI19" s="483">
        <f t="shared" si="15"/>
        <v>3.4392093160946957</v>
      </c>
      <c r="AJ19" s="483">
        <f t="shared" si="16"/>
        <v>3.6218476158802715</v>
      </c>
      <c r="AK19" s="46">
        <f t="shared" si="8"/>
        <v>6</v>
      </c>
      <c r="AL19" s="147">
        <f t="shared" si="8"/>
        <v>6</v>
      </c>
      <c r="AM19" s="51"/>
      <c r="AN19" s="51"/>
      <c r="AO19" s="51"/>
      <c r="AP19" s="51"/>
    </row>
    <row r="20" spans="1:44" ht="13.15" customHeight="1" x14ac:dyDescent="0.2">
      <c r="B20" s="44" t="s">
        <v>62</v>
      </c>
      <c r="C20" s="357">
        <v>9.1061802847374265E-2</v>
      </c>
      <c r="D20" s="358">
        <v>8.8435488816605956E-2</v>
      </c>
      <c r="E20" s="170">
        <f>'Active transport'!D32</f>
        <v>0.63290173065606392</v>
      </c>
      <c r="F20" s="170">
        <f>'Active transport'!E32</f>
        <v>1.0934346459852222</v>
      </c>
      <c r="G20" s="51">
        <f t="shared" si="0"/>
        <v>5.763317261876446E-2</v>
      </c>
      <c r="H20" s="51">
        <f t="shared" si="0"/>
        <v>9.6698427406715609E-2</v>
      </c>
      <c r="I20" s="47">
        <f t="shared" si="1"/>
        <v>39.876001613710422</v>
      </c>
      <c r="J20" s="139">
        <f t="shared" si="1"/>
        <v>68.891898371957538</v>
      </c>
      <c r="K20" s="170">
        <f>'Active transport'!D41</f>
        <v>3.619264903178347</v>
      </c>
      <c r="L20" s="170">
        <f>'Active transport'!E41</f>
        <v>0.77780071464373512</v>
      </c>
      <c r="M20" s="51">
        <f t="shared" si="2"/>
        <v>0.32957678706564775</v>
      </c>
      <c r="N20" s="51">
        <f t="shared" si="2"/>
        <v>6.8785186401424156E-2</v>
      </c>
      <c r="O20" s="51">
        <f t="shared" si="3"/>
        <v>24.147960114339082</v>
      </c>
      <c r="P20" s="51">
        <f t="shared" si="3"/>
        <v>5.1895346531908189</v>
      </c>
      <c r="Q20" s="169">
        <f t="shared" si="4"/>
        <v>0.37717066333556226</v>
      </c>
      <c r="R20" s="172">
        <f t="shared" si="4"/>
        <v>7.0051758467322464E-2</v>
      </c>
      <c r="S20" s="170">
        <f>'Active transport'!S32</f>
        <v>0.61020796764142826</v>
      </c>
      <c r="T20" s="170">
        <f>'Active transport'!T32</f>
        <v>0.84829147302570207</v>
      </c>
      <c r="U20" s="133">
        <f t="shared" si="5"/>
        <v>5.5566637645260673E-2</v>
      </c>
      <c r="V20" s="133">
        <f t="shared" si="5"/>
        <v>7.5019071075986668E-2</v>
      </c>
      <c r="W20" s="160">
        <f t="shared" si="9"/>
        <v>1.8558231790343578</v>
      </c>
      <c r="X20" s="163">
        <f t="shared" si="10"/>
        <v>2.5799056415195447</v>
      </c>
      <c r="Y20" s="170">
        <f>'Active transport'!S41</f>
        <v>3.4731171119276643</v>
      </c>
      <c r="Z20" s="170">
        <f>'Active transport'!T41</f>
        <v>0.67214222576642479</v>
      </c>
      <c r="AA20" s="133">
        <f t="shared" si="6"/>
        <v>0.31626830571219888</v>
      </c>
      <c r="AB20" s="133">
        <f t="shared" si="6"/>
        <v>5.9441226289935298E-2</v>
      </c>
      <c r="AC20" s="133">
        <f t="shared" si="11"/>
        <v>2.2231181689736088</v>
      </c>
      <c r="AD20" s="162">
        <f t="shared" si="12"/>
        <v>0.43023357579968108</v>
      </c>
      <c r="AE20" s="316">
        <f t="shared" si="13"/>
        <v>2.792391068210224</v>
      </c>
      <c r="AF20" s="316">
        <f t="shared" si="14"/>
        <v>2.2469164321095523</v>
      </c>
      <c r="AG20" s="316">
        <f t="shared" si="7"/>
        <v>5.5237415295882961</v>
      </c>
      <c r="AH20" s="317">
        <f t="shared" si="7"/>
        <v>4.9742445658608236</v>
      </c>
      <c r="AI20" s="483">
        <f t="shared" si="15"/>
        <v>3.4949849289256099</v>
      </c>
      <c r="AJ20" s="483">
        <f t="shared" si="16"/>
        <v>2.8286331134650293</v>
      </c>
      <c r="AK20" s="46">
        <f t="shared" si="8"/>
        <v>6</v>
      </c>
      <c r="AL20" s="147">
        <f t="shared" si="8"/>
        <v>6</v>
      </c>
      <c r="AM20" s="51"/>
      <c r="AN20" s="51"/>
      <c r="AO20" s="51"/>
      <c r="AP20" s="51"/>
    </row>
    <row r="21" spans="1:44" ht="13.15" customHeight="1" x14ac:dyDescent="0.2">
      <c r="B21" s="44" t="s">
        <v>63</v>
      </c>
      <c r="C21" s="357">
        <v>8.0048461346236666E-2</v>
      </c>
      <c r="D21" s="358">
        <v>9.4551259708900437E-2</v>
      </c>
      <c r="E21" s="170">
        <f>'Active transport'!D33</f>
        <v>0.43320769038424295</v>
      </c>
      <c r="F21" s="170">
        <f>'Active transport'!E33</f>
        <v>0.62864440907318142</v>
      </c>
      <c r="G21" s="51">
        <f t="shared" si="0"/>
        <v>3.4677609058615534E-2</v>
      </c>
      <c r="H21" s="51">
        <f t="shared" si="0"/>
        <v>5.9439120786826623E-2</v>
      </c>
      <c r="I21" s="47">
        <f t="shared" si="1"/>
        <v>27.294269748523277</v>
      </c>
      <c r="J21" s="139">
        <f t="shared" si="1"/>
        <v>39.607768878538202</v>
      </c>
      <c r="K21" s="170">
        <f>'Active transport'!D42</f>
        <v>4.0335264093771777</v>
      </c>
      <c r="L21" s="170">
        <f>'Active transport'!E42</f>
        <v>1.571589463272435</v>
      </c>
      <c r="M21" s="51">
        <f t="shared" si="2"/>
        <v>0.32287758287005375</v>
      </c>
      <c r="N21" s="51">
        <f t="shared" si="2"/>
        <v>0.14859576349764345</v>
      </c>
      <c r="O21" s="51">
        <f t="shared" si="3"/>
        <v>26.911938600636258</v>
      </c>
      <c r="P21" s="51">
        <f t="shared" si="3"/>
        <v>10.485742461650428</v>
      </c>
      <c r="Q21" s="169">
        <f t="shared" si="4"/>
        <v>0.49647336384954005</v>
      </c>
      <c r="R21" s="172">
        <f t="shared" si="4"/>
        <v>0.20932336706127466</v>
      </c>
      <c r="S21" s="170">
        <f>'Active transport'!S33</f>
        <v>0.34667325053239095</v>
      </c>
      <c r="T21" s="170">
        <f>'Active transport'!T33</f>
        <v>0.46207558373875701</v>
      </c>
      <c r="U21" s="133">
        <f t="shared" si="5"/>
        <v>2.7750660295016317E-2</v>
      </c>
      <c r="V21" s="133">
        <f t="shared" si="5"/>
        <v>4.3689828523224984E-2</v>
      </c>
      <c r="W21" s="160">
        <f t="shared" si="9"/>
        <v>1.0543360428018063</v>
      </c>
      <c r="X21" s="163">
        <f t="shared" si="10"/>
        <v>1.4053087213573072</v>
      </c>
      <c r="Y21" s="170">
        <f>'Active transport'!S42</f>
        <v>4.0058255728618546</v>
      </c>
      <c r="Z21" s="170">
        <f>'Active transport'!T42</f>
        <v>1.5500717598094129</v>
      </c>
      <c r="AA21" s="133">
        <f t="shared" si="6"/>
        <v>0.3206601735289985</v>
      </c>
      <c r="AB21" s="133">
        <f t="shared" si="6"/>
        <v>0.14656123752917213</v>
      </c>
      <c r="AC21" s="133">
        <f t="shared" si="11"/>
        <v>2.564101159210717</v>
      </c>
      <c r="AD21" s="162">
        <f t="shared" si="12"/>
        <v>0.992190180000176</v>
      </c>
      <c r="AE21" s="316">
        <f t="shared" si="13"/>
        <v>2.3177085575455263</v>
      </c>
      <c r="AF21" s="316">
        <f t="shared" si="14"/>
        <v>2.1288379948896115</v>
      </c>
      <c r="AG21" s="316">
        <f t="shared" si="7"/>
        <v>5.7166476126326238</v>
      </c>
      <c r="AH21" s="317">
        <f t="shared" si="7"/>
        <v>5.677367245832631</v>
      </c>
      <c r="AI21" s="483">
        <f t="shared" si="15"/>
        <v>2.915112773897615</v>
      </c>
      <c r="AJ21" s="483">
        <f t="shared" si="16"/>
        <v>2.6843884945571497</v>
      </c>
      <c r="AK21" s="46">
        <f t="shared" si="8"/>
        <v>6</v>
      </c>
      <c r="AL21" s="147">
        <f t="shared" si="8"/>
        <v>6</v>
      </c>
      <c r="AM21" s="51"/>
      <c r="AN21" s="51"/>
      <c r="AO21" s="51"/>
      <c r="AP21" s="51"/>
    </row>
    <row r="22" spans="1:44" ht="13.15" customHeight="1" x14ac:dyDescent="0.2">
      <c r="B22" s="44" t="s">
        <v>64</v>
      </c>
      <c r="C22" s="357">
        <v>5.9797707019128878E-2</v>
      </c>
      <c r="D22" s="358">
        <v>6.0255602320657707E-2</v>
      </c>
      <c r="E22" s="170">
        <f>'Active transport'!D34</f>
        <v>0.55228351942404919</v>
      </c>
      <c r="F22" s="170">
        <f>'Active transport'!E34</f>
        <v>0.61938043592938763</v>
      </c>
      <c r="G22" s="51">
        <f t="shared" si="0"/>
        <v>3.3025288086012669E-2</v>
      </c>
      <c r="H22" s="51">
        <f t="shared" si="0"/>
        <v>3.7321141232556788E-2</v>
      </c>
      <c r="I22" s="47">
        <f t="shared" si="1"/>
        <v>34.796647639042206</v>
      </c>
      <c r="J22" s="139">
        <f t="shared" si="1"/>
        <v>39.024091839689909</v>
      </c>
      <c r="K22" s="170">
        <f>'Active transport'!D43</f>
        <v>2.7003475790656961</v>
      </c>
      <c r="L22" s="170">
        <f>'Active transport'!E43</f>
        <v>0.34795950341788229</v>
      </c>
      <c r="M22" s="51">
        <f t="shared" si="2"/>
        <v>0.16147459338278444</v>
      </c>
      <c r="N22" s="51">
        <f t="shared" si="2"/>
        <v>2.0966509461641452E-2</v>
      </c>
      <c r="O22" s="51">
        <f t="shared" si="3"/>
        <v>18.016886682394151</v>
      </c>
      <c r="P22" s="51">
        <f t="shared" si="3"/>
        <v>2.321607407780895</v>
      </c>
      <c r="Q22" s="169">
        <f t="shared" si="4"/>
        <v>0.34114146901699249</v>
      </c>
      <c r="R22" s="172">
        <f t="shared" si="4"/>
        <v>5.6151122124822019E-2</v>
      </c>
      <c r="S22" s="170">
        <f>'Active transport'!S34</f>
        <v>0.37502206911587044</v>
      </c>
      <c r="T22" s="170">
        <f>'Active transport'!T34</f>
        <v>0.40100304010466736</v>
      </c>
      <c r="U22" s="133">
        <f t="shared" si="5"/>
        <v>2.2425459814698321E-2</v>
      </c>
      <c r="V22" s="133">
        <f t="shared" si="5"/>
        <v>2.4162679713921591E-2</v>
      </c>
      <c r="W22" s="160">
        <f t="shared" si="9"/>
        <v>1.1405531973053937</v>
      </c>
      <c r="X22" s="163">
        <f t="shared" si="10"/>
        <v>1.2195690258944454</v>
      </c>
      <c r="Y22" s="170">
        <f>'Active transport'!S43</f>
        <v>4.1656647025461622</v>
      </c>
      <c r="Z22" s="170">
        <f>'Active transport'!T43</f>
        <v>0.56704662893085733</v>
      </c>
      <c r="AA22" s="133">
        <f t="shared" si="6"/>
        <v>0.24909719742278205</v>
      </c>
      <c r="AB22" s="133">
        <f t="shared" si="6"/>
        <v>3.4167736170127298E-2</v>
      </c>
      <c r="AC22" s="133">
        <f t="shared" si="11"/>
        <v>2.6664130772551076</v>
      </c>
      <c r="AD22" s="162">
        <f t="shared" si="12"/>
        <v>0.36296261335447877</v>
      </c>
      <c r="AE22" s="316">
        <f t="shared" si="13"/>
        <v>1.9666604825903073</v>
      </c>
      <c r="AF22" s="316">
        <f t="shared" si="14"/>
        <v>1.8751017154803868</v>
      </c>
      <c r="AG22" s="316">
        <f t="shared" si="7"/>
        <v>8.8797130966939655</v>
      </c>
      <c r="AH22" s="317">
        <f t="shared" si="7"/>
        <v>9.3804649004307592</v>
      </c>
      <c r="AI22" s="483">
        <f t="shared" si="15"/>
        <v>2.5</v>
      </c>
      <c r="AJ22" s="483">
        <f t="shared" si="16"/>
        <v>2.5</v>
      </c>
      <c r="AK22" s="46">
        <f t="shared" si="8"/>
        <v>6</v>
      </c>
      <c r="AL22" s="147">
        <f t="shared" si="8"/>
        <v>6</v>
      </c>
      <c r="AM22" s="51"/>
      <c r="AN22" s="51"/>
      <c r="AO22" s="51"/>
      <c r="AP22" s="51"/>
    </row>
    <row r="23" spans="1:44" ht="13.15" customHeight="1" x14ac:dyDescent="0.2">
      <c r="B23" s="44" t="s">
        <v>65</v>
      </c>
      <c r="C23" s="357">
        <v>2.649993374697986E-2</v>
      </c>
      <c r="D23" s="358">
        <v>3.8241884516743388E-2</v>
      </c>
      <c r="E23" s="170">
        <f>'Active transport'!D35</f>
        <v>0.30408627982523373</v>
      </c>
      <c r="F23" s="170">
        <f>'Active transport'!E35</f>
        <v>0.44737895573459707</v>
      </c>
      <c r="G23" s="51">
        <f t="shared" si="0"/>
        <v>8.0582662687342724E-3</v>
      </c>
      <c r="H23" s="51">
        <f t="shared" si="0"/>
        <v>1.7108614360423713E-2</v>
      </c>
      <c r="I23" s="47">
        <f t="shared" si="1"/>
        <v>19.158969548793475</v>
      </c>
      <c r="J23" s="139">
        <f t="shared" si="1"/>
        <v>28.187130950519464</v>
      </c>
      <c r="K23" s="170">
        <f>'Active transport'!D44</f>
        <v>1.6209065204740101</v>
      </c>
      <c r="L23" s="170">
        <f>'Active transport'!E44</f>
        <v>0</v>
      </c>
      <c r="M23" s="51">
        <f t="shared" si="2"/>
        <v>4.2953915402608921E-2</v>
      </c>
      <c r="N23" s="51">
        <f t="shared" si="2"/>
        <v>0</v>
      </c>
      <c r="O23" s="51">
        <f t="shared" si="3"/>
        <v>10.814788928852758</v>
      </c>
      <c r="P23" s="51">
        <f t="shared" si="3"/>
        <v>0</v>
      </c>
      <c r="Q23" s="169">
        <f t="shared" si="4"/>
        <v>0.36080856983344911</v>
      </c>
      <c r="R23" s="172">
        <f t="shared" si="4"/>
        <v>0</v>
      </c>
      <c r="S23" s="170">
        <f>'Active transport'!S35</f>
        <v>0.20024475498097025</v>
      </c>
      <c r="T23" s="170">
        <f>'Active transport'!T35</f>
        <v>0.238247790598686</v>
      </c>
      <c r="U23" s="133">
        <f t="shared" si="5"/>
        <v>5.3064727401759271E-3</v>
      </c>
      <c r="V23" s="133">
        <f t="shared" si="5"/>
        <v>9.1110444944442117E-3</v>
      </c>
      <c r="W23" s="160">
        <f t="shared" si="9"/>
        <v>0.60900361430893635</v>
      </c>
      <c r="X23" s="163">
        <f t="shared" si="10"/>
        <v>0.72458210248506638</v>
      </c>
      <c r="Y23" s="170">
        <f>'Active transport'!S44</f>
        <v>2.2498891746588798</v>
      </c>
      <c r="Z23" s="170">
        <f>'Active transport'!T44</f>
        <v>0</v>
      </c>
      <c r="AA23" s="133">
        <f t="shared" si="6"/>
        <v>5.9621914066507513E-2</v>
      </c>
      <c r="AB23" s="133">
        <f t="shared" si="6"/>
        <v>0</v>
      </c>
      <c r="AC23" s="133">
        <f t="shared" si="11"/>
        <v>1.4401384523383058</v>
      </c>
      <c r="AD23" s="162">
        <f t="shared" si="12"/>
        <v>0</v>
      </c>
      <c r="AE23" s="316">
        <f t="shared" si="13"/>
        <v>1.907212011871342</v>
      </c>
      <c r="AF23" s="316">
        <f t="shared" si="14"/>
        <v>1.542367906312323</v>
      </c>
      <c r="AG23" s="316">
        <f>AC23/(O23/60)</f>
        <v>7.989828346050265</v>
      </c>
      <c r="AH23" s="317" t="e">
        <f t="shared" si="7"/>
        <v>#DIV/0!</v>
      </c>
      <c r="AI23" s="483">
        <f t="shared" si="15"/>
        <v>2.5</v>
      </c>
      <c r="AJ23" s="483">
        <f t="shared" si="16"/>
        <v>2.5</v>
      </c>
      <c r="AK23" s="46">
        <f t="shared" si="8"/>
        <v>6</v>
      </c>
      <c r="AL23" s="147">
        <f t="shared" si="8"/>
        <v>6</v>
      </c>
      <c r="AM23" s="51"/>
      <c r="AN23" s="51"/>
      <c r="AO23" s="51"/>
      <c r="AP23" s="51"/>
    </row>
    <row r="24" spans="1:44" ht="13.15" customHeight="1" x14ac:dyDescent="0.2">
      <c r="B24" s="110" t="s">
        <v>66</v>
      </c>
      <c r="C24" s="359">
        <v>1.5935570999434524E-2</v>
      </c>
      <c r="D24" s="360">
        <v>1.9111993144235312E-2</v>
      </c>
      <c r="E24" s="173">
        <f>'Active transport'!D36</f>
        <v>0.61399357815396693</v>
      </c>
      <c r="F24" s="173">
        <f>'Active transport'!E36</f>
        <v>0.52539302938939492</v>
      </c>
      <c r="G24" s="113">
        <f t="shared" si="0"/>
        <v>9.7843382578693908E-3</v>
      </c>
      <c r="H24" s="113">
        <f t="shared" si="0"/>
        <v>1.0041307975719137E-2</v>
      </c>
      <c r="I24" s="112">
        <f t="shared" si="1"/>
        <v>38.684692626603798</v>
      </c>
      <c r="J24" s="140">
        <f t="shared" si="1"/>
        <v>33.102411121622964</v>
      </c>
      <c r="K24" s="173">
        <f>'Active transport'!D45</f>
        <v>0.19906232193167198</v>
      </c>
      <c r="L24" s="173">
        <f>'Active transport'!E45</f>
        <v>0</v>
      </c>
      <c r="M24" s="113">
        <f t="shared" si="2"/>
        <v>3.1721717644544512E-3</v>
      </c>
      <c r="N24" s="113">
        <f t="shared" si="2"/>
        <v>0</v>
      </c>
      <c r="O24" s="113">
        <f t="shared" si="3"/>
        <v>1.3281561695172961</v>
      </c>
      <c r="P24" s="113">
        <f t="shared" si="3"/>
        <v>0</v>
      </c>
      <c r="Q24" s="174">
        <f t="shared" si="4"/>
        <v>3.319324190798556E-2</v>
      </c>
      <c r="R24" s="175">
        <f t="shared" si="4"/>
        <v>0</v>
      </c>
      <c r="S24" s="176">
        <f>'Active transport'!S36</f>
        <v>0.28707008415257856</v>
      </c>
      <c r="T24" s="173">
        <f>'Active transport'!T36</f>
        <v>0.38396622537171893</v>
      </c>
      <c r="U24" s="177">
        <f t="shared" si="5"/>
        <v>4.5746257078270597E-3</v>
      </c>
      <c r="V24" s="177">
        <f t="shared" si="5"/>
        <v>7.3383598669222025E-3</v>
      </c>
      <c r="W24" s="178">
        <f t="shared" si="9"/>
        <v>0.873065158812799</v>
      </c>
      <c r="X24" s="179">
        <f t="shared" si="10"/>
        <v>1.1677550258240645</v>
      </c>
      <c r="Y24" s="173">
        <f>'Active transport'!S45</f>
        <v>0.1373937576569885</v>
      </c>
      <c r="Z24" s="173">
        <f>'Active transport'!T45</f>
        <v>0</v>
      </c>
      <c r="AA24" s="177">
        <f t="shared" si="6"/>
        <v>2.1894479800220411E-3</v>
      </c>
      <c r="AB24" s="177">
        <f t="shared" si="6"/>
        <v>0</v>
      </c>
      <c r="AC24" s="177">
        <f t="shared" si="11"/>
        <v>8.7944791122024676E-2</v>
      </c>
      <c r="AD24" s="180">
        <f t="shared" si="12"/>
        <v>0</v>
      </c>
      <c r="AE24" s="318">
        <f t="shared" si="13"/>
        <v>1.3541250032511067</v>
      </c>
      <c r="AF24" s="318">
        <f t="shared" si="14"/>
        <v>2.1166222995664574</v>
      </c>
      <c r="AG24" s="318">
        <f>AC24/(O24/60)</f>
        <v>3.9729420292790083</v>
      </c>
      <c r="AH24" s="317" t="e">
        <f t="shared" si="7"/>
        <v>#DIV/0!</v>
      </c>
      <c r="AI24" s="483">
        <f t="shared" si="15"/>
        <v>2.5</v>
      </c>
      <c r="AJ24" s="483">
        <f t="shared" si="16"/>
        <v>2.6694658011503845</v>
      </c>
      <c r="AK24" s="145">
        <f t="shared" si="8"/>
        <v>6</v>
      </c>
      <c r="AL24" s="147">
        <f t="shared" si="8"/>
        <v>6</v>
      </c>
      <c r="AM24" s="51"/>
      <c r="AN24" s="51"/>
      <c r="AO24" s="51"/>
      <c r="AP24" s="51"/>
    </row>
    <row r="25" spans="1:44" ht="13.15" customHeight="1" x14ac:dyDescent="0.2">
      <c r="B25" s="44" t="s">
        <v>165</v>
      </c>
      <c r="C25" s="55">
        <f t="shared" ref="C25:P25" si="17">SUM(C17:C24)</f>
        <v>0.49427889774904599</v>
      </c>
      <c r="D25" s="55">
        <f t="shared" si="17"/>
        <v>0.50572110225095401</v>
      </c>
      <c r="E25" s="46">
        <f t="shared" si="17"/>
        <v>5.562788185038178</v>
      </c>
      <c r="F25" s="46">
        <f t="shared" si="17"/>
        <v>6.5622033293208508</v>
      </c>
      <c r="G25" s="51">
        <f t="shared" si="17"/>
        <v>0.34452300916528622</v>
      </c>
      <c r="H25" s="51">
        <f t="shared" si="17"/>
        <v>0.43564108222721287</v>
      </c>
      <c r="I25" s="46"/>
      <c r="J25" s="46"/>
      <c r="K25" s="46">
        <f t="shared" si="17"/>
        <v>21.301172279143159</v>
      </c>
      <c r="L25" s="46">
        <f t="shared" si="17"/>
        <v>7.4211005427494126</v>
      </c>
      <c r="M25" s="46">
        <f t="shared" si="17"/>
        <v>1.7112548972249837</v>
      </c>
      <c r="N25" s="46">
        <f t="shared" si="17"/>
        <v>0.53708206808890291</v>
      </c>
      <c r="O25" s="46">
        <f t="shared" si="17"/>
        <v>142.12274380184189</v>
      </c>
      <c r="P25" s="46">
        <f t="shared" si="17"/>
        <v>49.514043515698482</v>
      </c>
      <c r="Q25" s="46"/>
      <c r="R25" s="46"/>
      <c r="S25" s="46"/>
      <c r="T25" s="46"/>
      <c r="U25" s="51">
        <f>SUM(U17:U24)</f>
        <v>0.29813365526587848</v>
      </c>
      <c r="V25" s="51">
        <f>SUM(V17:V24)</f>
        <v>0.36474159958745284</v>
      </c>
      <c r="W25" s="131"/>
      <c r="X25" s="46"/>
      <c r="Y25" s="46"/>
      <c r="Z25" s="46"/>
      <c r="AA25" s="46">
        <f>SUM(AA17:AA24)</f>
        <v>1.7257317233684777</v>
      </c>
      <c r="AB25" s="51">
        <f>SUM(AB17:AB24)</f>
        <v>0.41770659856506215</v>
      </c>
      <c r="AC25" s="131"/>
      <c r="AD25" s="46"/>
      <c r="AE25" s="131"/>
      <c r="AI25" s="46"/>
      <c r="AJ25" s="135"/>
      <c r="AK25" s="46"/>
      <c r="AL25" s="135"/>
      <c r="AM25" s="46"/>
      <c r="AN25" s="46"/>
      <c r="AO25" s="46"/>
      <c r="AP25" s="46"/>
    </row>
    <row r="26" spans="1:44" ht="13.15" customHeight="1" x14ac:dyDescent="0.2">
      <c r="C26" s="55"/>
      <c r="D26" s="5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7"/>
      <c r="X26" s="46"/>
      <c r="Y26" s="46"/>
      <c r="Z26" s="46"/>
      <c r="AA26" s="46"/>
      <c r="AB26" s="46"/>
      <c r="AC26" s="47"/>
      <c r="AD26" s="46"/>
      <c r="AE26" s="46"/>
      <c r="AF26" s="46"/>
      <c r="AG26" s="46"/>
      <c r="AH26" s="46"/>
      <c r="AI26" s="46"/>
      <c r="AJ26" s="46"/>
      <c r="AK26" s="46"/>
      <c r="AL26" s="46"/>
      <c r="AQ26" s="131"/>
      <c r="AR26" s="131"/>
    </row>
    <row r="27" spans="1:44" ht="13.15" customHeight="1" x14ac:dyDescent="0.2">
      <c r="B27" s="158"/>
      <c r="C27" s="556" t="s">
        <v>155</v>
      </c>
      <c r="D27" s="556"/>
      <c r="E27" s="556"/>
      <c r="F27" s="556"/>
      <c r="G27" s="556"/>
      <c r="H27" s="556"/>
      <c r="I27" s="556"/>
      <c r="J27" s="556"/>
      <c r="K27" s="556"/>
      <c r="L27" s="556"/>
      <c r="M27" s="556"/>
      <c r="N27" s="556"/>
      <c r="O27" s="556"/>
      <c r="P27" s="556"/>
      <c r="Q27" s="557"/>
      <c r="R27" s="541" t="s">
        <v>162</v>
      </c>
      <c r="S27" s="537"/>
      <c r="T27" s="537"/>
      <c r="U27" s="537"/>
      <c r="V27" s="538"/>
      <c r="W27" s="537" t="s">
        <v>163</v>
      </c>
      <c r="X27" s="537"/>
      <c r="Y27" s="537"/>
      <c r="Z27" s="537"/>
      <c r="AA27" s="538"/>
      <c r="AB27" s="541" t="s">
        <v>278</v>
      </c>
      <c r="AC27" s="537"/>
      <c r="AD27" s="537"/>
      <c r="AE27" s="537"/>
      <c r="AF27" s="538"/>
      <c r="AG27" s="537" t="s">
        <v>279</v>
      </c>
      <c r="AH27" s="537"/>
      <c r="AI27" s="537"/>
      <c r="AJ27" s="537"/>
      <c r="AK27" s="538"/>
      <c r="AL27" s="541" t="s">
        <v>280</v>
      </c>
      <c r="AM27" s="537"/>
      <c r="AN27" s="537"/>
      <c r="AO27" s="537"/>
      <c r="AP27" s="538"/>
    </row>
    <row r="28" spans="1:44" ht="13.15" customHeight="1" x14ac:dyDescent="0.2">
      <c r="B28" s="121"/>
      <c r="C28" s="563" t="s">
        <v>0</v>
      </c>
      <c r="D28" s="565" t="s">
        <v>80</v>
      </c>
      <c r="E28" s="565" t="s">
        <v>164</v>
      </c>
      <c r="F28" s="567" t="s">
        <v>160</v>
      </c>
      <c r="G28" s="569" t="s">
        <v>161</v>
      </c>
      <c r="H28" s="542" t="s">
        <v>159</v>
      </c>
      <c r="I28" s="542"/>
      <c r="J28" s="542"/>
      <c r="K28" s="542"/>
      <c r="L28" s="543"/>
      <c r="M28" s="542" t="s">
        <v>156</v>
      </c>
      <c r="N28" s="542"/>
      <c r="O28" s="542"/>
      <c r="P28" s="542"/>
      <c r="Q28" s="543"/>
      <c r="R28" s="571">
        <v>0.1</v>
      </c>
      <c r="S28" s="535">
        <v>0.3</v>
      </c>
      <c r="T28" s="535">
        <v>0.5</v>
      </c>
      <c r="U28" s="535">
        <v>0.7</v>
      </c>
      <c r="V28" s="539">
        <v>0.9</v>
      </c>
      <c r="W28" s="533">
        <v>0.1</v>
      </c>
      <c r="X28" s="535">
        <v>0.3</v>
      </c>
      <c r="Y28" s="535">
        <v>0.5</v>
      </c>
      <c r="Z28" s="535">
        <v>0.7</v>
      </c>
      <c r="AA28" s="539">
        <v>0.9</v>
      </c>
      <c r="AB28" s="533">
        <v>0.1</v>
      </c>
      <c r="AC28" s="535">
        <v>0.3</v>
      </c>
      <c r="AD28" s="535">
        <v>0.5</v>
      </c>
      <c r="AE28" s="535">
        <v>0.7</v>
      </c>
      <c r="AF28" s="539">
        <v>0.9</v>
      </c>
      <c r="AG28" s="533">
        <v>0.1</v>
      </c>
      <c r="AH28" s="535">
        <v>0.3</v>
      </c>
      <c r="AI28" s="535">
        <v>0.5</v>
      </c>
      <c r="AJ28" s="535">
        <v>0.7</v>
      </c>
      <c r="AK28" s="539">
        <v>0.9</v>
      </c>
      <c r="AL28" s="533">
        <v>0.1</v>
      </c>
      <c r="AM28" s="535">
        <v>0.3</v>
      </c>
      <c r="AN28" s="535">
        <v>0.5</v>
      </c>
      <c r="AO28" s="535">
        <v>0.7</v>
      </c>
      <c r="AP28" s="539">
        <v>0.9</v>
      </c>
    </row>
    <row r="29" spans="1:44" ht="13.15" customHeight="1" x14ac:dyDescent="0.2">
      <c r="A29" s="131"/>
      <c r="B29" s="69"/>
      <c r="C29" s="564"/>
      <c r="D29" s="566"/>
      <c r="E29" s="566"/>
      <c r="F29" s="568"/>
      <c r="G29" s="570"/>
      <c r="H29" s="142">
        <v>0.1</v>
      </c>
      <c r="I29" s="142">
        <v>0.3</v>
      </c>
      <c r="J29" s="142">
        <v>0.5</v>
      </c>
      <c r="K29" s="142">
        <v>0.7</v>
      </c>
      <c r="L29" s="143">
        <v>0.9</v>
      </c>
      <c r="M29" s="142">
        <v>0.1</v>
      </c>
      <c r="N29" s="142">
        <v>0.3</v>
      </c>
      <c r="O29" s="142">
        <v>0.5</v>
      </c>
      <c r="P29" s="142">
        <v>0.7</v>
      </c>
      <c r="Q29" s="143">
        <v>0.9</v>
      </c>
      <c r="R29" s="572"/>
      <c r="S29" s="536"/>
      <c r="T29" s="536"/>
      <c r="U29" s="536"/>
      <c r="V29" s="540"/>
      <c r="W29" s="534"/>
      <c r="X29" s="536"/>
      <c r="Y29" s="536"/>
      <c r="Z29" s="536"/>
      <c r="AA29" s="540"/>
      <c r="AB29" s="534"/>
      <c r="AC29" s="536"/>
      <c r="AD29" s="536"/>
      <c r="AE29" s="536"/>
      <c r="AF29" s="540"/>
      <c r="AG29" s="534"/>
      <c r="AH29" s="536"/>
      <c r="AI29" s="536"/>
      <c r="AJ29" s="536"/>
      <c r="AK29" s="540"/>
      <c r="AL29" s="534"/>
      <c r="AM29" s="536"/>
      <c r="AN29" s="536"/>
      <c r="AO29" s="536"/>
      <c r="AP29" s="540"/>
    </row>
    <row r="30" spans="1:44" ht="13.15" customHeight="1" x14ac:dyDescent="0.2">
      <c r="A30" s="131"/>
      <c r="B30" s="121" t="s">
        <v>154</v>
      </c>
      <c r="C30" s="131"/>
      <c r="D30" s="46">
        <f>G7</f>
        <v>64.15531699112681</v>
      </c>
      <c r="E30" s="46">
        <f t="shared" ref="E30:E46" si="18">D30*$G$8</f>
        <v>118.63713559912679</v>
      </c>
      <c r="F30" s="51">
        <f t="shared" ref="F30:F46" si="19">LN(D30)-(1/2*(LN(1+(E30/D30)^2)))</f>
        <v>3.4182817630034954</v>
      </c>
      <c r="G30" s="183">
        <f t="shared" ref="G30:G46" si="20">SQRT((LN(1+(E30/D30)^2)))</f>
        <v>1.2190366757002054</v>
      </c>
      <c r="H30" s="47">
        <f t="shared" ref="H30:H46" si="21">NORMINV(M$29,$F30,$G30)</f>
        <v>1.8560234028036118</v>
      </c>
      <c r="I30" s="47">
        <f t="shared" ref="I30:I46" si="22">NORMINV(N$29,$F30,$G30)</f>
        <v>2.7790183052564021</v>
      </c>
      <c r="J30" s="47">
        <f t="shared" ref="J30:J46" si="23">NORMINV(O$29,$F30,$G30)</f>
        <v>3.4182817630034954</v>
      </c>
      <c r="K30" s="47">
        <f t="shared" ref="K30:K46" si="24">NORMINV(P$29,$F30,$G30)</f>
        <v>4.0575452207505887</v>
      </c>
      <c r="L30" s="139">
        <f t="shared" ref="L30:L46" si="25">NORMINV(Q$29,$F30,$G30)</f>
        <v>4.9805401232033795</v>
      </c>
      <c r="M30" s="47">
        <f t="shared" ref="M30:Q46" si="26">EXP(H30)</f>
        <v>6.3982428808556788</v>
      </c>
      <c r="N30" s="47">
        <f t="shared" si="26"/>
        <v>16.103204754498154</v>
      </c>
      <c r="O30" s="47">
        <f t="shared" si="26"/>
        <v>30.51693462099368</v>
      </c>
      <c r="P30" s="47">
        <f t="shared" si="26"/>
        <v>57.832171475175755</v>
      </c>
      <c r="Q30" s="139">
        <f t="shared" si="26"/>
        <v>145.55297696630367</v>
      </c>
      <c r="R30" s="46">
        <f>M30*(1-($G$6/$G$7))</f>
        <v>4.9021810383538629</v>
      </c>
      <c r="S30" s="46">
        <f>N30*(1-($G$6/$G$7))</f>
        <v>12.33789127331055</v>
      </c>
      <c r="T30" s="46">
        <f>O30*(1-($G$6/$G$7))</f>
        <v>23.381347196953055</v>
      </c>
      <c r="U30" s="46">
        <f>P30*(1-($G$6/$G$7))</f>
        <v>44.309629954923018</v>
      </c>
      <c r="V30" s="154">
        <f>Q30*(1-($G$6/$G$7))</f>
        <v>111.51921817396621</v>
      </c>
      <c r="W30" s="47">
        <f t="shared" ref="W30:AA46" si="27">M30-R30</f>
        <v>1.496061842501816</v>
      </c>
      <c r="X30" s="47">
        <f t="shared" si="27"/>
        <v>3.7653134811876043</v>
      </c>
      <c r="Y30" s="47">
        <f t="shared" si="27"/>
        <v>7.1355874240406258</v>
      </c>
      <c r="Z30" s="47">
        <f t="shared" si="27"/>
        <v>13.522541520252737</v>
      </c>
      <c r="AA30" s="139">
        <f t="shared" si="27"/>
        <v>34.033758792337466</v>
      </c>
      <c r="AB30" s="185"/>
      <c r="AC30" s="185"/>
      <c r="AD30" s="185"/>
      <c r="AE30" s="185"/>
      <c r="AF30" s="186"/>
      <c r="AG30" s="185"/>
      <c r="AH30" s="185"/>
      <c r="AI30" s="185"/>
      <c r="AJ30" s="185"/>
      <c r="AK30" s="186"/>
      <c r="AL30" s="185"/>
      <c r="AM30" s="185"/>
      <c r="AN30" s="185"/>
      <c r="AO30" s="185"/>
      <c r="AP30" s="186"/>
    </row>
    <row r="31" spans="1:44" ht="13.15" customHeight="1" x14ac:dyDescent="0.2">
      <c r="A31" s="131"/>
      <c r="B31" s="526" t="s">
        <v>90</v>
      </c>
      <c r="C31" s="120" t="s">
        <v>9</v>
      </c>
      <c r="D31" s="46">
        <f t="shared" ref="D31:D38" si="28">I17+O17</f>
        <v>80.001558065746067</v>
      </c>
      <c r="E31" s="46">
        <f t="shared" si="18"/>
        <v>147.94028207669888</v>
      </c>
      <c r="F31" s="51">
        <f t="shared" si="19"/>
        <v>3.639020901954952</v>
      </c>
      <c r="G31" s="141">
        <f t="shared" si="20"/>
        <v>1.2190366757002054</v>
      </c>
      <c r="H31" s="47">
        <f t="shared" si="21"/>
        <v>2.0767625417550684</v>
      </c>
      <c r="I31" s="47">
        <f t="shared" si="22"/>
        <v>2.9997574442078587</v>
      </c>
      <c r="J31" s="47">
        <f t="shared" si="23"/>
        <v>3.639020901954952</v>
      </c>
      <c r="K31" s="47">
        <f t="shared" si="24"/>
        <v>4.2782843597020452</v>
      </c>
      <c r="L31" s="139">
        <f t="shared" si="25"/>
        <v>5.201279262154836</v>
      </c>
      <c r="M31" s="47">
        <f t="shared" si="26"/>
        <v>7.9785966831450192</v>
      </c>
      <c r="N31" s="47">
        <f t="shared" si="26"/>
        <v>20.080665650670245</v>
      </c>
      <c r="O31" s="47">
        <f t="shared" si="26"/>
        <v>38.054559334617053</v>
      </c>
      <c r="P31" s="47">
        <f t="shared" si="26"/>
        <v>72.11660765356919</v>
      </c>
      <c r="Q31" s="139">
        <f t="shared" si="26"/>
        <v>181.50428498424313</v>
      </c>
      <c r="R31" s="46">
        <f t="shared" ref="R31:V38" si="29">M31*(1-$Q17)</f>
        <v>7.8183467212111113</v>
      </c>
      <c r="S31" s="46">
        <f t="shared" si="29"/>
        <v>19.677345864757843</v>
      </c>
      <c r="T31" s="46">
        <f t="shared" si="29"/>
        <v>37.290234237489798</v>
      </c>
      <c r="U31" s="46">
        <f t="shared" si="29"/>
        <v>70.668146966779389</v>
      </c>
      <c r="V31" s="147">
        <f t="shared" si="29"/>
        <v>177.85877488833728</v>
      </c>
      <c r="W31" s="47">
        <f t="shared" si="27"/>
        <v>0.16024996193390795</v>
      </c>
      <c r="X31" s="47">
        <f t="shared" si="27"/>
        <v>0.40331978591240158</v>
      </c>
      <c r="Y31" s="47">
        <f t="shared" si="27"/>
        <v>0.76432509712725505</v>
      </c>
      <c r="Z31" s="47">
        <f t="shared" si="27"/>
        <v>1.4484606867898009</v>
      </c>
      <c r="AA31" s="139">
        <f t="shared" si="27"/>
        <v>3.6455100959058484</v>
      </c>
      <c r="AB31" s="187">
        <f t="shared" ref="AB31:AF38" si="30">R31*$AI17/60</f>
        <v>0.32576444671712962</v>
      </c>
      <c r="AC31" s="187">
        <f t="shared" si="30"/>
        <v>0.81988941103157675</v>
      </c>
      <c r="AD31" s="187">
        <f t="shared" si="30"/>
        <v>1.5537597598954085</v>
      </c>
      <c r="AE31" s="187">
        <f t="shared" si="30"/>
        <v>2.9445061236158079</v>
      </c>
      <c r="AF31" s="188">
        <f t="shared" si="30"/>
        <v>7.4107822870140536</v>
      </c>
      <c r="AG31" s="187">
        <f t="shared" ref="AG31:AK38" si="31">W31*$AK17/60</f>
        <v>1.6024996193390796E-2</v>
      </c>
      <c r="AH31" s="187">
        <f t="shared" si="31"/>
        <v>4.0331978591240158E-2</v>
      </c>
      <c r="AI31" s="187">
        <f t="shared" si="31"/>
        <v>7.6432509712725499E-2</v>
      </c>
      <c r="AJ31" s="187">
        <f t="shared" si="31"/>
        <v>0.14484606867898009</v>
      </c>
      <c r="AK31" s="188">
        <f t="shared" si="31"/>
        <v>0.36455100959058484</v>
      </c>
      <c r="AL31" s="189">
        <f>AB31+AG31</f>
        <v>0.34178944291052044</v>
      </c>
      <c r="AM31" s="189">
        <f t="shared" ref="AM31:AP46" si="32">AC31+AH31</f>
        <v>0.86022138962281691</v>
      </c>
      <c r="AN31" s="189">
        <f t="shared" si="32"/>
        <v>1.6301922696081339</v>
      </c>
      <c r="AO31" s="189">
        <f t="shared" si="32"/>
        <v>3.089352192294788</v>
      </c>
      <c r="AP31" s="190">
        <f t="shared" si="32"/>
        <v>7.7753332966046385</v>
      </c>
    </row>
    <row r="32" spans="1:44" ht="13.15" customHeight="1" x14ac:dyDescent="0.2">
      <c r="A32" s="131"/>
      <c r="B32" s="526"/>
      <c r="C32" s="120" t="s">
        <v>86</v>
      </c>
      <c r="D32" s="46">
        <f t="shared" si="28"/>
        <v>96.836479762462986</v>
      </c>
      <c r="E32" s="46">
        <f t="shared" si="18"/>
        <v>179.07171407336909</v>
      </c>
      <c r="F32" s="51">
        <f t="shared" si="19"/>
        <v>3.8299985719888827</v>
      </c>
      <c r="G32" s="141">
        <f t="shared" si="20"/>
        <v>1.2190366757002051</v>
      </c>
      <c r="H32" s="47">
        <f t="shared" si="21"/>
        <v>2.2677402117889995</v>
      </c>
      <c r="I32" s="47">
        <f t="shared" si="22"/>
        <v>3.1907351142417895</v>
      </c>
      <c r="J32" s="47">
        <f t="shared" si="23"/>
        <v>3.8299985719888827</v>
      </c>
      <c r="K32" s="47">
        <f t="shared" si="24"/>
        <v>4.469262029735976</v>
      </c>
      <c r="L32" s="139">
        <f t="shared" si="25"/>
        <v>5.3922569321887659</v>
      </c>
      <c r="M32" s="47">
        <f t="shared" si="26"/>
        <v>9.6575521142385981</v>
      </c>
      <c r="N32" s="47">
        <f t="shared" si="26"/>
        <v>24.306288776274499</v>
      </c>
      <c r="O32" s="47">
        <f t="shared" si="26"/>
        <v>46.062472456444752</v>
      </c>
      <c r="P32" s="47">
        <f t="shared" si="26"/>
        <v>87.292280130884663</v>
      </c>
      <c r="Q32" s="139">
        <f t="shared" si="26"/>
        <v>219.6986714337819</v>
      </c>
      <c r="R32" s="46">
        <f t="shared" si="29"/>
        <v>6.5767003909978845</v>
      </c>
      <c r="S32" s="46">
        <f t="shared" si="29"/>
        <v>16.552349602437012</v>
      </c>
      <c r="T32" s="46">
        <f t="shared" si="29"/>
        <v>31.368102085412687</v>
      </c>
      <c r="U32" s="46">
        <f t="shared" si="29"/>
        <v>59.445205790965353</v>
      </c>
      <c r="V32" s="147">
        <f t="shared" si="29"/>
        <v>149.61268872574803</v>
      </c>
      <c r="W32" s="47">
        <f t="shared" si="27"/>
        <v>3.0808517232407135</v>
      </c>
      <c r="X32" s="47">
        <f t="shared" si="27"/>
        <v>7.7539391738374874</v>
      </c>
      <c r="Y32" s="47">
        <f t="shared" si="27"/>
        <v>14.694370371032065</v>
      </c>
      <c r="Z32" s="47">
        <f t="shared" si="27"/>
        <v>27.84707433991931</v>
      </c>
      <c r="AA32" s="139">
        <f t="shared" si="27"/>
        <v>70.085982708033868</v>
      </c>
      <c r="AB32" s="187">
        <f t="shared" si="30"/>
        <v>0.40117143476952949</v>
      </c>
      <c r="AC32" s="187">
        <f t="shared" si="30"/>
        <v>1.0096749804667577</v>
      </c>
      <c r="AD32" s="187">
        <f t="shared" si="30"/>
        <v>1.9134194613497826</v>
      </c>
      <c r="AE32" s="187">
        <f t="shared" si="30"/>
        <v>3.6260916690038076</v>
      </c>
      <c r="AF32" s="188">
        <f t="shared" si="30"/>
        <v>9.1262081937000694</v>
      </c>
      <c r="AG32" s="187">
        <f t="shared" si="31"/>
        <v>0.3080851723240714</v>
      </c>
      <c r="AH32" s="187">
        <f t="shared" si="31"/>
        <v>0.77539391738374874</v>
      </c>
      <c r="AI32" s="187">
        <f t="shared" si="31"/>
        <v>1.4694370371032064</v>
      </c>
      <c r="AJ32" s="187">
        <f t="shared" si="31"/>
        <v>2.7847074339919309</v>
      </c>
      <c r="AK32" s="188">
        <f t="shared" si="31"/>
        <v>7.0085982708033869</v>
      </c>
      <c r="AL32" s="189">
        <f t="shared" ref="AL32:AL46" si="33">AB32+AG32</f>
        <v>0.70925660709360083</v>
      </c>
      <c r="AM32" s="189">
        <f t="shared" si="32"/>
        <v>1.7850688978505065</v>
      </c>
      <c r="AN32" s="189">
        <f t="shared" si="32"/>
        <v>3.382856498452989</v>
      </c>
      <c r="AO32" s="189">
        <f t="shared" si="32"/>
        <v>6.410799102995739</v>
      </c>
      <c r="AP32" s="190">
        <f t="shared" si="32"/>
        <v>16.134806464503455</v>
      </c>
    </row>
    <row r="33" spans="1:42" ht="13.15" customHeight="1" x14ac:dyDescent="0.2">
      <c r="A33" s="131"/>
      <c r="B33" s="526"/>
      <c r="C33" s="120" t="s">
        <v>61</v>
      </c>
      <c r="D33" s="46">
        <f t="shared" si="28"/>
        <v>74.73811064905172</v>
      </c>
      <c r="E33" s="46">
        <f t="shared" si="18"/>
        <v>138.20702294589907</v>
      </c>
      <c r="F33" s="51">
        <f t="shared" si="19"/>
        <v>3.5709649364069413</v>
      </c>
      <c r="G33" s="141">
        <f t="shared" si="20"/>
        <v>1.2190366757002054</v>
      </c>
      <c r="H33" s="47">
        <f t="shared" si="21"/>
        <v>2.0087065762070577</v>
      </c>
      <c r="I33" s="47">
        <f t="shared" si="22"/>
        <v>2.9317014786598481</v>
      </c>
      <c r="J33" s="47">
        <f t="shared" si="23"/>
        <v>3.5709649364069413</v>
      </c>
      <c r="K33" s="47">
        <f t="shared" si="24"/>
        <v>4.2102283941540346</v>
      </c>
      <c r="L33" s="139">
        <f t="shared" si="25"/>
        <v>5.1332232966068254</v>
      </c>
      <c r="M33" s="47">
        <f t="shared" si="26"/>
        <v>7.4536703552573318</v>
      </c>
      <c r="N33" s="47">
        <f t="shared" si="26"/>
        <v>18.759522284216519</v>
      </c>
      <c r="O33" s="47">
        <f t="shared" si="26"/>
        <v>35.550880945520873</v>
      </c>
      <c r="P33" s="47">
        <f t="shared" si="26"/>
        <v>67.371925406968515</v>
      </c>
      <c r="Q33" s="139">
        <f t="shared" si="26"/>
        <v>169.56278930569442</v>
      </c>
      <c r="R33" s="46">
        <f t="shared" si="29"/>
        <v>4.6208830849409717</v>
      </c>
      <c r="S33" s="46">
        <f t="shared" si="29"/>
        <v>11.629915876755536</v>
      </c>
      <c r="T33" s="46">
        <f t="shared" si="29"/>
        <v>22.039673957413182</v>
      </c>
      <c r="U33" s="46">
        <f t="shared" si="29"/>
        <v>41.767045720419127</v>
      </c>
      <c r="V33" s="147">
        <f t="shared" si="29"/>
        <v>105.11999962346637</v>
      </c>
      <c r="W33" s="47">
        <f t="shared" si="27"/>
        <v>2.8327872703163601</v>
      </c>
      <c r="X33" s="47">
        <f t="shared" si="27"/>
        <v>7.1296064074609831</v>
      </c>
      <c r="Y33" s="47">
        <f t="shared" si="27"/>
        <v>13.511206988107691</v>
      </c>
      <c r="Z33" s="47">
        <f t="shared" si="27"/>
        <v>25.604879686549388</v>
      </c>
      <c r="AA33" s="139">
        <f t="shared" si="27"/>
        <v>64.442789682228053</v>
      </c>
      <c r="AB33" s="187">
        <f t="shared" si="30"/>
        <v>0.26486973590522311</v>
      </c>
      <c r="AC33" s="187">
        <f t="shared" si="30"/>
        <v>0.66662858381225421</v>
      </c>
      <c r="AD33" s="187">
        <f t="shared" si="30"/>
        <v>1.2633175333004176</v>
      </c>
      <c r="AE33" s="187">
        <f t="shared" si="30"/>
        <v>2.3940935457903092</v>
      </c>
      <c r="AF33" s="188">
        <f t="shared" si="30"/>
        <v>6.0254947002149404</v>
      </c>
      <c r="AG33" s="187">
        <f t="shared" si="31"/>
        <v>0.28327872703163604</v>
      </c>
      <c r="AH33" s="187">
        <f t="shared" si="31"/>
        <v>0.71296064074609833</v>
      </c>
      <c r="AI33" s="187">
        <f t="shared" si="31"/>
        <v>1.3511206988107693</v>
      </c>
      <c r="AJ33" s="187">
        <f t="shared" si="31"/>
        <v>2.5604879686549387</v>
      </c>
      <c r="AK33" s="188">
        <f t="shared" si="31"/>
        <v>6.4442789682228048</v>
      </c>
      <c r="AL33" s="189">
        <f t="shared" si="33"/>
        <v>0.54814846293685915</v>
      </c>
      <c r="AM33" s="189">
        <f t="shared" si="32"/>
        <v>1.3795892245583525</v>
      </c>
      <c r="AN33" s="189">
        <f t="shared" si="32"/>
        <v>2.614438232111187</v>
      </c>
      <c r="AO33" s="189">
        <f t="shared" si="32"/>
        <v>4.9545815144452483</v>
      </c>
      <c r="AP33" s="190">
        <f t="shared" si="32"/>
        <v>12.469773668437746</v>
      </c>
    </row>
    <row r="34" spans="1:42" ht="13.15" customHeight="1" x14ac:dyDescent="0.2">
      <c r="A34" s="131"/>
      <c r="B34" s="526"/>
      <c r="C34" s="120" t="s">
        <v>62</v>
      </c>
      <c r="D34" s="46">
        <f t="shared" si="28"/>
        <v>64.0239617280495</v>
      </c>
      <c r="E34" s="46">
        <f t="shared" si="18"/>
        <v>118.39423114649168</v>
      </c>
      <c r="F34" s="51">
        <f t="shared" si="19"/>
        <v>3.4162322069384015</v>
      </c>
      <c r="G34" s="141">
        <f t="shared" si="20"/>
        <v>1.2190366757002054</v>
      </c>
      <c r="H34" s="47">
        <f t="shared" si="21"/>
        <v>1.8539738467385178</v>
      </c>
      <c r="I34" s="47">
        <f t="shared" si="22"/>
        <v>2.7769687491913082</v>
      </c>
      <c r="J34" s="47">
        <f t="shared" si="23"/>
        <v>3.4162322069384015</v>
      </c>
      <c r="K34" s="47">
        <f t="shared" si="24"/>
        <v>4.0554956646854947</v>
      </c>
      <c r="L34" s="139">
        <f t="shared" si="25"/>
        <v>4.9784905671382855</v>
      </c>
      <c r="M34" s="47">
        <f t="shared" si="26"/>
        <v>6.3851427526626603</v>
      </c>
      <c r="N34" s="47">
        <f t="shared" si="26"/>
        <v>16.07023413263671</v>
      </c>
      <c r="O34" s="47">
        <f t="shared" si="26"/>
        <v>30.454452504725605</v>
      </c>
      <c r="P34" s="47">
        <f t="shared" si="26"/>
        <v>57.713762581654017</v>
      </c>
      <c r="Q34" s="139">
        <f t="shared" si="26"/>
        <v>145.25496348156406</v>
      </c>
      <c r="R34" s="46">
        <f t="shared" si="29"/>
        <v>3.9768542251486267</v>
      </c>
      <c r="S34" s="46">
        <f t="shared" si="29"/>
        <v>10.009013264872328</v>
      </c>
      <c r="T34" s="46">
        <f t="shared" si="29"/>
        <v>18.967926451996874</v>
      </c>
      <c r="U34" s="46">
        <f t="shared" si="29"/>
        <v>35.945824465140419</v>
      </c>
      <c r="V34" s="147">
        <f t="shared" si="29"/>
        <v>90.469052552439678</v>
      </c>
      <c r="W34" s="47">
        <f t="shared" si="27"/>
        <v>2.4082885275140336</v>
      </c>
      <c r="X34" s="47">
        <f t="shared" si="27"/>
        <v>6.0612208677643817</v>
      </c>
      <c r="Y34" s="47">
        <f t="shared" si="27"/>
        <v>11.486526052728731</v>
      </c>
      <c r="Z34" s="47">
        <f t="shared" si="27"/>
        <v>21.767938116513598</v>
      </c>
      <c r="AA34" s="139">
        <f t="shared" si="27"/>
        <v>54.785910929124384</v>
      </c>
      <c r="AB34" s="187">
        <f t="shared" si="30"/>
        <v>0.23165075969047641</v>
      </c>
      <c r="AC34" s="187">
        <f t="shared" si="30"/>
        <v>0.58302250856908833</v>
      </c>
      <c r="AD34" s="187">
        <f t="shared" si="30"/>
        <v>1.1048769513783081</v>
      </c>
      <c r="AE34" s="187">
        <f t="shared" si="30"/>
        <v>2.093835246057854</v>
      </c>
      <c r="AF34" s="188">
        <f t="shared" si="30"/>
        <v>5.2697995867492606</v>
      </c>
      <c r="AG34" s="187">
        <f t="shared" si="31"/>
        <v>0.24082885275140337</v>
      </c>
      <c r="AH34" s="187">
        <f t="shared" si="31"/>
        <v>0.60612208677643808</v>
      </c>
      <c r="AI34" s="187">
        <f t="shared" si="31"/>
        <v>1.1486526052728729</v>
      </c>
      <c r="AJ34" s="187">
        <f t="shared" si="31"/>
        <v>2.1767938116513599</v>
      </c>
      <c r="AK34" s="188">
        <f t="shared" si="31"/>
        <v>5.4785910929124384</v>
      </c>
      <c r="AL34" s="189">
        <f t="shared" si="33"/>
        <v>0.47247961244187975</v>
      </c>
      <c r="AM34" s="189">
        <f t="shared" si="32"/>
        <v>1.1891445953455264</v>
      </c>
      <c r="AN34" s="189">
        <f t="shared" si="32"/>
        <v>2.253529556651181</v>
      </c>
      <c r="AO34" s="189">
        <f t="shared" si="32"/>
        <v>4.2706290577092139</v>
      </c>
      <c r="AP34" s="190">
        <f t="shared" si="32"/>
        <v>10.7483906796617</v>
      </c>
    </row>
    <row r="35" spans="1:42" ht="13.15" customHeight="1" x14ac:dyDescent="0.2">
      <c r="A35" s="131"/>
      <c r="B35" s="526"/>
      <c r="C35" s="120" t="s">
        <v>63</v>
      </c>
      <c r="D35" s="46">
        <f t="shared" si="28"/>
        <v>54.206208349159539</v>
      </c>
      <c r="E35" s="46">
        <f t="shared" si="18"/>
        <v>100.23906968027606</v>
      </c>
      <c r="F35" s="51">
        <f t="shared" si="19"/>
        <v>3.2497702387221432</v>
      </c>
      <c r="G35" s="141">
        <f t="shared" si="20"/>
        <v>1.2190366757002054</v>
      </c>
      <c r="H35" s="47">
        <f t="shared" si="21"/>
        <v>1.6875118785222596</v>
      </c>
      <c r="I35" s="47">
        <f t="shared" si="22"/>
        <v>2.61050678097505</v>
      </c>
      <c r="J35" s="47">
        <f t="shared" si="23"/>
        <v>3.2497702387221432</v>
      </c>
      <c r="K35" s="47">
        <f t="shared" si="24"/>
        <v>3.8890336964692365</v>
      </c>
      <c r="L35" s="139">
        <f t="shared" si="25"/>
        <v>4.8120285989220264</v>
      </c>
      <c r="M35" s="47">
        <f t="shared" si="26"/>
        <v>5.4060131402071976</v>
      </c>
      <c r="N35" s="47">
        <f t="shared" si="26"/>
        <v>13.605944338677828</v>
      </c>
      <c r="O35" s="47">
        <f t="shared" si="26"/>
        <v>25.784414976424372</v>
      </c>
      <c r="P35" s="47">
        <f t="shared" si="26"/>
        <v>48.863646589124855</v>
      </c>
      <c r="Q35" s="139">
        <f t="shared" si="26"/>
        <v>122.98084344851885</v>
      </c>
      <c r="R35" s="46">
        <f t="shared" si="29"/>
        <v>2.7220716114737153</v>
      </c>
      <c r="S35" s="46">
        <f t="shared" si="29"/>
        <v>6.8509553845048421</v>
      </c>
      <c r="T35" s="46">
        <f t="shared" si="29"/>
        <v>12.983139738186507</v>
      </c>
      <c r="U35" s="46">
        <f t="shared" si="29"/>
        <v>24.604147597066937</v>
      </c>
      <c r="V35" s="147">
        <f t="shared" si="29"/>
        <v>61.924130412579039</v>
      </c>
      <c r="W35" s="47">
        <f t="shared" si="27"/>
        <v>2.6839415287334822</v>
      </c>
      <c r="X35" s="47">
        <f t="shared" si="27"/>
        <v>6.7549889541729859</v>
      </c>
      <c r="Y35" s="47">
        <f t="shared" si="27"/>
        <v>12.801275238237865</v>
      </c>
      <c r="Z35" s="47">
        <f t="shared" si="27"/>
        <v>24.259498992057917</v>
      </c>
      <c r="AA35" s="139">
        <f t="shared" si="27"/>
        <v>61.056713035939815</v>
      </c>
      <c r="AB35" s="187">
        <f t="shared" si="30"/>
        <v>0.13225242876785157</v>
      </c>
      <c r="AC35" s="187">
        <f t="shared" si="30"/>
        <v>0.33285512591287852</v>
      </c>
      <c r="AD35" s="187">
        <f t="shared" si="30"/>
        <v>0.63078860826808714</v>
      </c>
      <c r="AE35" s="187">
        <f t="shared" si="30"/>
        <v>1.1953977491845358</v>
      </c>
      <c r="AF35" s="188">
        <f t="shared" si="30"/>
        <v>3.0085970596368492</v>
      </c>
      <c r="AG35" s="187">
        <f t="shared" si="31"/>
        <v>0.26839415287334822</v>
      </c>
      <c r="AH35" s="187">
        <f t="shared" si="31"/>
        <v>0.67549889541729857</v>
      </c>
      <c r="AI35" s="187">
        <f t="shared" si="31"/>
        <v>1.2801275238237866</v>
      </c>
      <c r="AJ35" s="187">
        <f t="shared" si="31"/>
        <v>2.4259498992057917</v>
      </c>
      <c r="AK35" s="188">
        <f t="shared" si="31"/>
        <v>6.1056713035939811</v>
      </c>
      <c r="AL35" s="189">
        <f t="shared" si="33"/>
        <v>0.40064658164119982</v>
      </c>
      <c r="AM35" s="189">
        <f t="shared" si="32"/>
        <v>1.0083540213301772</v>
      </c>
      <c r="AN35" s="189">
        <f t="shared" si="32"/>
        <v>1.9109161320918737</v>
      </c>
      <c r="AO35" s="189">
        <f t="shared" si="32"/>
        <v>3.6213476483903273</v>
      </c>
      <c r="AP35" s="190">
        <f t="shared" si="32"/>
        <v>9.1142683632308312</v>
      </c>
    </row>
    <row r="36" spans="1:42" ht="13.15" customHeight="1" x14ac:dyDescent="0.2">
      <c r="A36" s="131"/>
      <c r="B36" s="526"/>
      <c r="C36" s="120" t="s">
        <v>64</v>
      </c>
      <c r="D36" s="46">
        <f t="shared" si="28"/>
        <v>52.813534321436357</v>
      </c>
      <c r="E36" s="46">
        <f t="shared" si="18"/>
        <v>97.663712481195759</v>
      </c>
      <c r="F36" s="51">
        <f t="shared" si="19"/>
        <v>3.2237422813591032</v>
      </c>
      <c r="G36" s="141">
        <f t="shared" si="20"/>
        <v>1.2190366757002054</v>
      </c>
      <c r="H36" s="47">
        <f t="shared" si="21"/>
        <v>1.6614839211592196</v>
      </c>
      <c r="I36" s="47">
        <f t="shared" si="22"/>
        <v>2.5844788236120095</v>
      </c>
      <c r="J36" s="47">
        <f t="shared" si="23"/>
        <v>3.2237422813591032</v>
      </c>
      <c r="K36" s="47">
        <f t="shared" si="24"/>
        <v>3.8630057391061965</v>
      </c>
      <c r="L36" s="139">
        <f t="shared" si="25"/>
        <v>4.7860006415589869</v>
      </c>
      <c r="M36" s="47">
        <f t="shared" si="26"/>
        <v>5.2671210405163036</v>
      </c>
      <c r="N36" s="47">
        <f t="shared" si="26"/>
        <v>13.25637837787367</v>
      </c>
      <c r="O36" s="47">
        <f t="shared" si="26"/>
        <v>25.121957923047759</v>
      </c>
      <c r="P36" s="47">
        <f t="shared" si="26"/>
        <v>47.608234458724965</v>
      </c>
      <c r="Q36" s="139">
        <f t="shared" si="26"/>
        <v>119.82120118992329</v>
      </c>
      <c r="R36" s="46">
        <f t="shared" si="29"/>
        <v>3.4702876312642617</v>
      </c>
      <c r="S36" s="46">
        <f t="shared" si="29"/>
        <v>8.7340779842007503</v>
      </c>
      <c r="T36" s="46">
        <f t="shared" si="29"/>
        <v>16.551816292596172</v>
      </c>
      <c r="U36" s="46">
        <f t="shared" si="29"/>
        <v>31.367091418170126</v>
      </c>
      <c r="V36" s="147">
        <f t="shared" si="29"/>
        <v>78.945220596612245</v>
      </c>
      <c r="W36" s="47">
        <f t="shared" si="27"/>
        <v>1.7968334092520419</v>
      </c>
      <c r="X36" s="47">
        <f t="shared" si="27"/>
        <v>4.5223003936729196</v>
      </c>
      <c r="Y36" s="47">
        <f t="shared" si="27"/>
        <v>8.5701416304515874</v>
      </c>
      <c r="Z36" s="47">
        <f t="shared" si="27"/>
        <v>16.241143040554839</v>
      </c>
      <c r="AA36" s="139">
        <f t="shared" si="27"/>
        <v>40.875980593311041</v>
      </c>
      <c r="AB36" s="187">
        <f t="shared" si="30"/>
        <v>0.14459531796934424</v>
      </c>
      <c r="AC36" s="187">
        <f t="shared" si="30"/>
        <v>0.3639199160083646</v>
      </c>
      <c r="AD36" s="187">
        <f t="shared" si="30"/>
        <v>0.68965901219150716</v>
      </c>
      <c r="AE36" s="187">
        <f t="shared" si="30"/>
        <v>1.3069621424237554</v>
      </c>
      <c r="AF36" s="188">
        <f t="shared" si="30"/>
        <v>3.2893841915255098</v>
      </c>
      <c r="AG36" s="187">
        <f t="shared" si="31"/>
        <v>0.17968334092520422</v>
      </c>
      <c r="AH36" s="187">
        <f t="shared" si="31"/>
        <v>0.45223003936729195</v>
      </c>
      <c r="AI36" s="187">
        <f t="shared" si="31"/>
        <v>0.85701416304515876</v>
      </c>
      <c r="AJ36" s="187">
        <f t="shared" si="31"/>
        <v>1.624114304055484</v>
      </c>
      <c r="AK36" s="188">
        <f t="shared" si="31"/>
        <v>4.0875980593311043</v>
      </c>
      <c r="AL36" s="189">
        <f t="shared" si="33"/>
        <v>0.32427865889454843</v>
      </c>
      <c r="AM36" s="189">
        <f t="shared" si="32"/>
        <v>0.8161499553756566</v>
      </c>
      <c r="AN36" s="189">
        <f t="shared" si="32"/>
        <v>1.5466731752366658</v>
      </c>
      <c r="AO36" s="189">
        <f t="shared" si="32"/>
        <v>2.9310764464792394</v>
      </c>
      <c r="AP36" s="190">
        <f t="shared" si="32"/>
        <v>7.3769822508566136</v>
      </c>
    </row>
    <row r="37" spans="1:42" ht="13.15" customHeight="1" x14ac:dyDescent="0.2">
      <c r="A37" s="131"/>
      <c r="B37" s="526"/>
      <c r="C37" s="120" t="s">
        <v>65</v>
      </c>
      <c r="D37" s="46">
        <f t="shared" si="28"/>
        <v>29.973758477646236</v>
      </c>
      <c r="E37" s="46">
        <f t="shared" si="18"/>
        <v>55.427999045189289</v>
      </c>
      <c r="F37" s="51">
        <f t="shared" si="19"/>
        <v>2.6572970731107466</v>
      </c>
      <c r="G37" s="141">
        <f t="shared" si="20"/>
        <v>1.2190366757002054</v>
      </c>
      <c r="H37" s="47">
        <f t="shared" si="21"/>
        <v>1.095038712910863</v>
      </c>
      <c r="I37" s="47">
        <f t="shared" si="22"/>
        <v>2.0180336153636533</v>
      </c>
      <c r="J37" s="47">
        <f t="shared" si="23"/>
        <v>2.6572970731107466</v>
      </c>
      <c r="K37" s="47">
        <f t="shared" si="24"/>
        <v>3.2965605308578398</v>
      </c>
      <c r="L37" s="139">
        <f t="shared" si="25"/>
        <v>4.2195554333106298</v>
      </c>
      <c r="M37" s="47">
        <f t="shared" si="26"/>
        <v>2.9892984055960961</v>
      </c>
      <c r="N37" s="47">
        <f t="shared" si="26"/>
        <v>7.5235162518824366</v>
      </c>
      <c r="O37" s="47">
        <f t="shared" si="26"/>
        <v>14.257699450449229</v>
      </c>
      <c r="P37" s="47">
        <f t="shared" si="26"/>
        <v>27.019546022576566</v>
      </c>
      <c r="Q37" s="139">
        <f t="shared" si="26"/>
        <v>68.003245590599946</v>
      </c>
      <c r="R37" s="46">
        <f t="shared" si="29"/>
        <v>1.9107339230675588</v>
      </c>
      <c r="S37" s="46">
        <f t="shared" si="29"/>
        <v>4.8089671129220228</v>
      </c>
      <c r="T37" s="46">
        <f t="shared" si="29"/>
        <v>9.1133993026174895</v>
      </c>
      <c r="U37" s="46">
        <f t="shared" si="29"/>
        <v>17.270662264621656</v>
      </c>
      <c r="V37" s="147">
        <f t="shared" si="29"/>
        <v>43.467091805022775</v>
      </c>
      <c r="W37" s="47">
        <f t="shared" si="27"/>
        <v>1.0785644825285372</v>
      </c>
      <c r="X37" s="47">
        <f t="shared" si="27"/>
        <v>2.7145491389604137</v>
      </c>
      <c r="Y37" s="47">
        <f t="shared" si="27"/>
        <v>5.1443001478317392</v>
      </c>
      <c r="Z37" s="47">
        <f t="shared" si="27"/>
        <v>9.7488837579549106</v>
      </c>
      <c r="AA37" s="139">
        <f t="shared" si="27"/>
        <v>24.53615378557717</v>
      </c>
      <c r="AB37" s="187">
        <f t="shared" si="30"/>
        <v>7.9613913461148281E-2</v>
      </c>
      <c r="AC37" s="187">
        <f t="shared" si="30"/>
        <v>0.20037362970508429</v>
      </c>
      <c r="AD37" s="187">
        <f t="shared" si="30"/>
        <v>0.37972497094239538</v>
      </c>
      <c r="AE37" s="187">
        <f t="shared" si="30"/>
        <v>0.71961092769256896</v>
      </c>
      <c r="AF37" s="188">
        <f t="shared" si="30"/>
        <v>1.8111288252092825</v>
      </c>
      <c r="AG37" s="187">
        <f t="shared" si="31"/>
        <v>0.10785644825285372</v>
      </c>
      <c r="AH37" s="187">
        <f t="shared" si="31"/>
        <v>0.27145491389604132</v>
      </c>
      <c r="AI37" s="187">
        <f t="shared" si="31"/>
        <v>0.51443001478317396</v>
      </c>
      <c r="AJ37" s="187">
        <f t="shared" si="31"/>
        <v>0.97488837579549104</v>
      </c>
      <c r="AK37" s="188">
        <f t="shared" si="31"/>
        <v>2.4536153785577168</v>
      </c>
      <c r="AL37" s="189">
        <f t="shared" si="33"/>
        <v>0.187470361714002</v>
      </c>
      <c r="AM37" s="189">
        <f t="shared" si="32"/>
        <v>0.47182854360112558</v>
      </c>
      <c r="AN37" s="189">
        <f t="shared" si="32"/>
        <v>0.89415498572556928</v>
      </c>
      <c r="AO37" s="189">
        <f t="shared" si="32"/>
        <v>1.69449930348806</v>
      </c>
      <c r="AP37" s="190">
        <f t="shared" si="32"/>
        <v>4.2647442037669991</v>
      </c>
    </row>
    <row r="38" spans="1:42" ht="13.15" customHeight="1" x14ac:dyDescent="0.2">
      <c r="B38" s="527"/>
      <c r="C38" s="144" t="s">
        <v>66</v>
      </c>
      <c r="D38" s="145">
        <f t="shared" si="28"/>
        <v>40.012848796121091</v>
      </c>
      <c r="E38" s="145">
        <f t="shared" si="18"/>
        <v>73.992460655900501</v>
      </c>
      <c r="F38" s="113">
        <f t="shared" si="19"/>
        <v>2.9461754140857921</v>
      </c>
      <c r="G38" s="146">
        <f t="shared" si="20"/>
        <v>1.2190366757002054</v>
      </c>
      <c r="H38" s="112">
        <f t="shared" si="21"/>
        <v>1.3839170538859085</v>
      </c>
      <c r="I38" s="112">
        <f t="shared" si="22"/>
        <v>2.3069119563386984</v>
      </c>
      <c r="J38" s="112">
        <f t="shared" si="23"/>
        <v>2.9461754140857921</v>
      </c>
      <c r="K38" s="112">
        <f t="shared" si="24"/>
        <v>3.5854388718328853</v>
      </c>
      <c r="L38" s="140">
        <f t="shared" si="25"/>
        <v>4.5084337742856757</v>
      </c>
      <c r="M38" s="112">
        <f t="shared" si="26"/>
        <v>3.9905020652917185</v>
      </c>
      <c r="N38" s="112">
        <f t="shared" si="26"/>
        <v>10.043362377335443</v>
      </c>
      <c r="O38" s="112">
        <f t="shared" si="26"/>
        <v>19.033020924513803</v>
      </c>
      <c r="P38" s="112">
        <f t="shared" si="26"/>
        <v>36.069183994642295</v>
      </c>
      <c r="Q38" s="140">
        <f t="shared" si="26"/>
        <v>90.779525880660898</v>
      </c>
      <c r="R38" s="134">
        <f t="shared" si="29"/>
        <v>3.8580443649041745</v>
      </c>
      <c r="S38" s="145">
        <f t="shared" si="29"/>
        <v>9.7099906203749864</v>
      </c>
      <c r="T38" s="145">
        <f t="shared" si="29"/>
        <v>18.401253256726665</v>
      </c>
      <c r="U38" s="145">
        <f t="shared" si="29"/>
        <v>34.871930844884488</v>
      </c>
      <c r="V38" s="148">
        <f t="shared" si="29"/>
        <v>87.766259117811884</v>
      </c>
      <c r="W38" s="112">
        <f t="shared" si="27"/>
        <v>0.13245770038754401</v>
      </c>
      <c r="X38" s="112">
        <f t="shared" si="27"/>
        <v>0.33337175696045662</v>
      </c>
      <c r="Y38" s="112">
        <f t="shared" si="27"/>
        <v>0.63176766778713755</v>
      </c>
      <c r="Z38" s="112">
        <f t="shared" si="27"/>
        <v>1.1972531497578061</v>
      </c>
      <c r="AA38" s="140">
        <f t="shared" si="27"/>
        <v>3.013266762849014</v>
      </c>
      <c r="AB38" s="191">
        <f t="shared" si="30"/>
        <v>0.16075184853767394</v>
      </c>
      <c r="AC38" s="192">
        <f t="shared" si="30"/>
        <v>0.40458294251562443</v>
      </c>
      <c r="AD38" s="192">
        <f t="shared" si="30"/>
        <v>0.76671888569694435</v>
      </c>
      <c r="AE38" s="192">
        <f t="shared" si="30"/>
        <v>1.4529971185368538</v>
      </c>
      <c r="AF38" s="193">
        <f t="shared" si="30"/>
        <v>3.656927463242162</v>
      </c>
      <c r="AG38" s="192">
        <f t="shared" si="31"/>
        <v>1.3245770038754401E-2</v>
      </c>
      <c r="AH38" s="192">
        <f t="shared" si="31"/>
        <v>3.3337175696045662E-2</v>
      </c>
      <c r="AI38" s="192">
        <f t="shared" si="31"/>
        <v>6.3176766778713755E-2</v>
      </c>
      <c r="AJ38" s="192">
        <f t="shared" si="31"/>
        <v>0.11972531497578061</v>
      </c>
      <c r="AK38" s="193">
        <f t="shared" si="31"/>
        <v>0.3013266762849014</v>
      </c>
      <c r="AL38" s="194">
        <f t="shared" si="33"/>
        <v>0.17399761857642834</v>
      </c>
      <c r="AM38" s="194">
        <f t="shared" si="32"/>
        <v>0.4379201182116701</v>
      </c>
      <c r="AN38" s="194">
        <f t="shared" si="32"/>
        <v>0.82989565247565811</v>
      </c>
      <c r="AO38" s="194">
        <f t="shared" si="32"/>
        <v>1.5727224335126344</v>
      </c>
      <c r="AP38" s="195">
        <f t="shared" si="32"/>
        <v>3.9582541395270634</v>
      </c>
    </row>
    <row r="39" spans="1:42" ht="13.15" customHeight="1" x14ac:dyDescent="0.2">
      <c r="B39" s="526" t="s">
        <v>91</v>
      </c>
      <c r="C39" s="120" t="s">
        <v>9</v>
      </c>
      <c r="D39" s="46">
        <f t="shared" ref="D39:D46" si="34">J17+P17</f>
        <v>85.015543299238303</v>
      </c>
      <c r="E39" s="46">
        <f t="shared" si="18"/>
        <v>157.212231370007</v>
      </c>
      <c r="F39" s="51">
        <f t="shared" si="19"/>
        <v>3.6998088937659119</v>
      </c>
      <c r="G39" s="141">
        <f t="shared" si="20"/>
        <v>1.2190366757002054</v>
      </c>
      <c r="H39" s="47">
        <f t="shared" si="21"/>
        <v>2.1375505335660283</v>
      </c>
      <c r="I39" s="47">
        <f t="shared" si="22"/>
        <v>3.0605454360188187</v>
      </c>
      <c r="J39" s="47">
        <f t="shared" si="23"/>
        <v>3.6998088937659119</v>
      </c>
      <c r="K39" s="47">
        <f t="shared" si="24"/>
        <v>4.3390723515130052</v>
      </c>
      <c r="L39" s="139">
        <f t="shared" si="25"/>
        <v>5.262067253965796</v>
      </c>
      <c r="M39" s="47">
        <f t="shared" si="26"/>
        <v>8.4786440187281986</v>
      </c>
      <c r="N39" s="47">
        <f t="shared" si="26"/>
        <v>21.339193152952291</v>
      </c>
      <c r="O39" s="47">
        <f t="shared" si="26"/>
        <v>40.439575366605062</v>
      </c>
      <c r="P39" s="47">
        <f t="shared" si="26"/>
        <v>76.636414699919342</v>
      </c>
      <c r="Q39" s="139">
        <f t="shared" si="26"/>
        <v>192.87981099560739</v>
      </c>
      <c r="R39" s="46">
        <f t="shared" ref="R39:V46" si="35">M39*(1-$R17)</f>
        <v>7.4449305442172804</v>
      </c>
      <c r="S39" s="46">
        <f t="shared" si="35"/>
        <v>18.737525781533776</v>
      </c>
      <c r="T39" s="46">
        <f t="shared" si="35"/>
        <v>35.509195713016311</v>
      </c>
      <c r="U39" s="46">
        <f t="shared" si="35"/>
        <v>67.292928366665279</v>
      </c>
      <c r="V39" s="147">
        <f t="shared" si="35"/>
        <v>169.36396823267629</v>
      </c>
      <c r="W39" s="47">
        <f t="shared" si="27"/>
        <v>1.0337134745109182</v>
      </c>
      <c r="X39" s="47">
        <f t="shared" si="27"/>
        <v>2.6016673714185146</v>
      </c>
      <c r="Y39" s="47">
        <f t="shared" si="27"/>
        <v>4.9303796535887514</v>
      </c>
      <c r="Z39" s="47">
        <f t="shared" si="27"/>
        <v>9.343486333254063</v>
      </c>
      <c r="AA39" s="139">
        <f t="shared" si="27"/>
        <v>23.515842762931101</v>
      </c>
      <c r="AB39" s="187">
        <f t="shared" ref="AB39:AF46" si="36">R39*$AJ17/60</f>
        <v>0.51714811513374215</v>
      </c>
      <c r="AC39" s="187">
        <f t="shared" si="36"/>
        <v>1.3015670304294094</v>
      </c>
      <c r="AD39" s="187">
        <f t="shared" si="36"/>
        <v>2.4665795770472405</v>
      </c>
      <c r="AE39" s="187">
        <f t="shared" si="36"/>
        <v>4.6743768608669543</v>
      </c>
      <c r="AF39" s="188">
        <f t="shared" si="36"/>
        <v>11.764549907202372</v>
      </c>
      <c r="AG39" s="187">
        <f t="shared" ref="AG39:AK46" si="37">W39*$AL17/60</f>
        <v>0.10337134745109182</v>
      </c>
      <c r="AH39" s="187">
        <f t="shared" si="37"/>
        <v>0.26016673714185146</v>
      </c>
      <c r="AI39" s="187">
        <f t="shared" si="37"/>
        <v>0.49303796535887512</v>
      </c>
      <c r="AJ39" s="187">
        <f t="shared" si="37"/>
        <v>0.9343486333254063</v>
      </c>
      <c r="AK39" s="188">
        <f t="shared" si="37"/>
        <v>2.3515842762931101</v>
      </c>
      <c r="AL39" s="189">
        <f t="shared" si="33"/>
        <v>0.62051946258483393</v>
      </c>
      <c r="AM39" s="189">
        <f t="shared" si="32"/>
        <v>1.5617337675712608</v>
      </c>
      <c r="AN39" s="189">
        <f t="shared" si="32"/>
        <v>2.9596175424061157</v>
      </c>
      <c r="AO39" s="189">
        <f t="shared" si="32"/>
        <v>5.6087254941923606</v>
      </c>
      <c r="AP39" s="190">
        <f t="shared" si="32"/>
        <v>14.116134183495483</v>
      </c>
    </row>
    <row r="40" spans="1:42" ht="13.15" customHeight="1" x14ac:dyDescent="0.2">
      <c r="B40" s="526"/>
      <c r="C40" s="120" t="s">
        <v>86</v>
      </c>
      <c r="D40" s="46">
        <f t="shared" si="34"/>
        <v>81.463119939932412</v>
      </c>
      <c r="E40" s="46">
        <f t="shared" si="18"/>
        <v>150.64302788774896</v>
      </c>
      <c r="F40" s="51">
        <f t="shared" si="19"/>
        <v>3.6571251934049673</v>
      </c>
      <c r="G40" s="141">
        <f t="shared" si="20"/>
        <v>1.2190366757002051</v>
      </c>
      <c r="H40" s="47">
        <f t="shared" si="21"/>
        <v>2.0948668332050842</v>
      </c>
      <c r="I40" s="47">
        <f t="shared" si="22"/>
        <v>3.0178617356578741</v>
      </c>
      <c r="J40" s="47">
        <f t="shared" si="23"/>
        <v>3.6571251934049673</v>
      </c>
      <c r="K40" s="47">
        <f t="shared" si="24"/>
        <v>4.2963886511520606</v>
      </c>
      <c r="L40" s="139">
        <f t="shared" si="25"/>
        <v>5.2193835536048505</v>
      </c>
      <c r="M40" s="47">
        <f t="shared" si="26"/>
        <v>8.1243590033239759</v>
      </c>
      <c r="N40" s="47">
        <f t="shared" si="26"/>
        <v>20.447522697369056</v>
      </c>
      <c r="O40" s="47">
        <f t="shared" si="26"/>
        <v>38.749784457816908</v>
      </c>
      <c r="P40" s="47">
        <f t="shared" si="26"/>
        <v>73.434118046997924</v>
      </c>
      <c r="Q40" s="139">
        <f t="shared" si="26"/>
        <v>184.82021719041842</v>
      </c>
      <c r="R40" s="46">
        <f t="shared" si="35"/>
        <v>6.6802581374168275</v>
      </c>
      <c r="S40" s="46">
        <f t="shared" si="35"/>
        <v>16.812985471620461</v>
      </c>
      <c r="T40" s="46">
        <f t="shared" si="35"/>
        <v>31.862029095657995</v>
      </c>
      <c r="U40" s="46">
        <f t="shared" si="35"/>
        <v>60.381239239524</v>
      </c>
      <c r="V40" s="147">
        <f t="shared" si="35"/>
        <v>151.96851337321485</v>
      </c>
      <c r="W40" s="47">
        <f t="shared" si="27"/>
        <v>1.4441008659071484</v>
      </c>
      <c r="X40" s="47">
        <f t="shared" si="27"/>
        <v>3.6345372257485948</v>
      </c>
      <c r="Y40" s="47">
        <f t="shared" si="27"/>
        <v>6.8877553621589129</v>
      </c>
      <c r="Z40" s="47">
        <f t="shared" si="27"/>
        <v>13.052878807473924</v>
      </c>
      <c r="AA40" s="139">
        <f t="shared" si="27"/>
        <v>32.851703817203571</v>
      </c>
      <c r="AB40" s="187">
        <f t="shared" si="36"/>
        <v>0.3160176433102983</v>
      </c>
      <c r="AC40" s="187">
        <f t="shared" si="36"/>
        <v>0.79535849310852091</v>
      </c>
      <c r="AD40" s="187">
        <f t="shared" si="36"/>
        <v>1.5072715962122294</v>
      </c>
      <c r="AE40" s="187">
        <f t="shared" si="36"/>
        <v>2.8564071226158148</v>
      </c>
      <c r="AF40" s="188">
        <f t="shared" si="36"/>
        <v>7.1890532469967505</v>
      </c>
      <c r="AG40" s="187">
        <f t="shared" si="37"/>
        <v>0.14441008659071483</v>
      </c>
      <c r="AH40" s="187">
        <f t="shared" si="37"/>
        <v>0.36345372257485947</v>
      </c>
      <c r="AI40" s="187">
        <f t="shared" si="37"/>
        <v>0.68877553621589127</v>
      </c>
      <c r="AJ40" s="187">
        <f t="shared" si="37"/>
        <v>1.3052878807473924</v>
      </c>
      <c r="AK40" s="188">
        <f t="shared" si="37"/>
        <v>3.285170381720357</v>
      </c>
      <c r="AL40" s="189">
        <f t="shared" si="33"/>
        <v>0.46042772990101311</v>
      </c>
      <c r="AM40" s="189">
        <f t="shared" si="32"/>
        <v>1.1588122156833804</v>
      </c>
      <c r="AN40" s="189">
        <f t="shared" si="32"/>
        <v>2.1960471324281206</v>
      </c>
      <c r="AO40" s="189">
        <f t="shared" si="32"/>
        <v>4.1616950033632074</v>
      </c>
      <c r="AP40" s="190">
        <f t="shared" si="32"/>
        <v>10.474223628717107</v>
      </c>
    </row>
    <row r="41" spans="1:42" ht="13.15" customHeight="1" x14ac:dyDescent="0.2">
      <c r="B41" s="526"/>
      <c r="C41" s="120" t="s">
        <v>61</v>
      </c>
      <c r="D41" s="46">
        <f t="shared" si="34"/>
        <v>69.677106436159278</v>
      </c>
      <c r="E41" s="46">
        <f t="shared" si="18"/>
        <v>128.8481253325381</v>
      </c>
      <c r="F41" s="51">
        <f t="shared" si="19"/>
        <v>3.5008465968693478</v>
      </c>
      <c r="G41" s="141">
        <f t="shared" si="20"/>
        <v>1.2190366757002054</v>
      </c>
      <c r="H41" s="47">
        <f t="shared" si="21"/>
        <v>1.9385882366694642</v>
      </c>
      <c r="I41" s="47">
        <f t="shared" si="22"/>
        <v>2.8615831391222546</v>
      </c>
      <c r="J41" s="47">
        <f t="shared" si="23"/>
        <v>3.5008465968693478</v>
      </c>
      <c r="K41" s="47">
        <f t="shared" si="24"/>
        <v>4.1401100546164411</v>
      </c>
      <c r="L41" s="139">
        <f t="shared" si="25"/>
        <v>5.0631049570692319</v>
      </c>
      <c r="M41" s="47">
        <f t="shared" si="26"/>
        <v>6.948933792587118</v>
      </c>
      <c r="N41" s="47">
        <f t="shared" si="26"/>
        <v>17.489192856729538</v>
      </c>
      <c r="O41" s="47">
        <f t="shared" si="26"/>
        <v>33.143499267354251</v>
      </c>
      <c r="P41" s="47">
        <f t="shared" si="26"/>
        <v>62.80973356997611</v>
      </c>
      <c r="Q41" s="139">
        <f t="shared" si="26"/>
        <v>158.08058854394969</v>
      </c>
      <c r="R41" s="46">
        <f t="shared" si="35"/>
        <v>6.2835255972933339</v>
      </c>
      <c r="S41" s="46">
        <f t="shared" si="35"/>
        <v>15.81448237548193</v>
      </c>
      <c r="T41" s="46">
        <f t="shared" si="35"/>
        <v>29.969781299752164</v>
      </c>
      <c r="U41" s="46">
        <f t="shared" si="35"/>
        <v>56.79526966671289</v>
      </c>
      <c r="V41" s="147">
        <f t="shared" si="35"/>
        <v>142.94328514263944</v>
      </c>
      <c r="W41" s="47">
        <f t="shared" si="27"/>
        <v>0.66540819529378403</v>
      </c>
      <c r="X41" s="47">
        <f t="shared" si="27"/>
        <v>1.6747104812476081</v>
      </c>
      <c r="Y41" s="47">
        <f t="shared" si="27"/>
        <v>3.1737179676020872</v>
      </c>
      <c r="Z41" s="47">
        <f t="shared" si="27"/>
        <v>6.0144639032632199</v>
      </c>
      <c r="AA41" s="139">
        <f t="shared" si="27"/>
        <v>15.137303401310248</v>
      </c>
      <c r="AB41" s="187">
        <f t="shared" si="36"/>
        <v>0.37929953673132538</v>
      </c>
      <c r="AC41" s="187">
        <f t="shared" si="36"/>
        <v>0.95462742146699664</v>
      </c>
      <c r="AD41" s="187">
        <f t="shared" si="36"/>
        <v>1.8090996824826753</v>
      </c>
      <c r="AE41" s="187">
        <f t="shared" si="36"/>
        <v>3.4283968672610197</v>
      </c>
      <c r="AF41" s="188">
        <f t="shared" si="36"/>
        <v>8.6286466083327085</v>
      </c>
      <c r="AG41" s="187">
        <f t="shared" si="37"/>
        <v>6.6540819529378403E-2</v>
      </c>
      <c r="AH41" s="187">
        <f t="shared" si="37"/>
        <v>0.16747104812476082</v>
      </c>
      <c r="AI41" s="187">
        <f t="shared" si="37"/>
        <v>0.31737179676020871</v>
      </c>
      <c r="AJ41" s="187">
        <f t="shared" si="37"/>
        <v>0.60144639032632197</v>
      </c>
      <c r="AK41" s="188">
        <f t="shared" si="37"/>
        <v>1.5137303401310249</v>
      </c>
      <c r="AL41" s="189">
        <f t="shared" si="33"/>
        <v>0.44584035626070379</v>
      </c>
      <c r="AM41" s="189">
        <f t="shared" si="32"/>
        <v>1.1220984695917575</v>
      </c>
      <c r="AN41" s="189">
        <f t="shared" si="32"/>
        <v>2.126471479242884</v>
      </c>
      <c r="AO41" s="189">
        <f t="shared" si="32"/>
        <v>4.0298432575873413</v>
      </c>
      <c r="AP41" s="190">
        <f t="shared" si="32"/>
        <v>10.142376948463733</v>
      </c>
    </row>
    <row r="42" spans="1:42" ht="13.15" customHeight="1" x14ac:dyDescent="0.2">
      <c r="B42" s="526"/>
      <c r="C42" s="120" t="s">
        <v>62</v>
      </c>
      <c r="D42" s="46">
        <f t="shared" si="34"/>
        <v>74.081433025148357</v>
      </c>
      <c r="E42" s="46">
        <f t="shared" si="18"/>
        <v>136.99268318474239</v>
      </c>
      <c r="F42" s="51">
        <f t="shared" si="19"/>
        <v>3.5621397260916812</v>
      </c>
      <c r="G42" s="141">
        <f t="shared" si="20"/>
        <v>1.2190366757002054</v>
      </c>
      <c r="H42" s="47">
        <f t="shared" si="21"/>
        <v>1.9998813658917975</v>
      </c>
      <c r="I42" s="47">
        <f t="shared" si="22"/>
        <v>2.9228762683445879</v>
      </c>
      <c r="J42" s="47">
        <f t="shared" si="23"/>
        <v>3.5621397260916812</v>
      </c>
      <c r="K42" s="47">
        <f t="shared" si="24"/>
        <v>4.2014031838387744</v>
      </c>
      <c r="L42" s="139">
        <f t="shared" si="25"/>
        <v>5.1243980862915652</v>
      </c>
      <c r="M42" s="47">
        <f t="shared" si="26"/>
        <v>7.3881795568448183</v>
      </c>
      <c r="N42" s="47">
        <f t="shared" si="26"/>
        <v>18.594693946810352</v>
      </c>
      <c r="O42" s="47">
        <f t="shared" si="26"/>
        <v>35.238517309027586</v>
      </c>
      <c r="P42" s="47">
        <f t="shared" si="26"/>
        <v>66.779969903814489</v>
      </c>
      <c r="Q42" s="139">
        <f t="shared" si="26"/>
        <v>168.07294578922469</v>
      </c>
      <c r="R42" s="46">
        <f t="shared" si="35"/>
        <v>6.8706245870155156</v>
      </c>
      <c r="S42" s="46">
        <f t="shared" si="35"/>
        <v>17.29210293767461</v>
      </c>
      <c r="T42" s="46">
        <f t="shared" si="35"/>
        <v>32.769997205749021</v>
      </c>
      <c r="U42" s="46">
        <f t="shared" si="35"/>
        <v>62.101915581657416</v>
      </c>
      <c r="V42" s="147">
        <f t="shared" si="35"/>
        <v>156.29914038590653</v>
      </c>
      <c r="W42" s="47">
        <f t="shared" si="27"/>
        <v>0.51755496982930271</v>
      </c>
      <c r="X42" s="47">
        <f t="shared" si="27"/>
        <v>1.3025910091357424</v>
      </c>
      <c r="Y42" s="47">
        <f t="shared" si="27"/>
        <v>2.4685201032785642</v>
      </c>
      <c r="Z42" s="47">
        <f t="shared" si="27"/>
        <v>4.6780543221570738</v>
      </c>
      <c r="AA42" s="139">
        <f t="shared" si="27"/>
        <v>11.773805403318164</v>
      </c>
      <c r="AB42" s="187">
        <f t="shared" si="36"/>
        <v>0.323907936950318</v>
      </c>
      <c r="AC42" s="187">
        <f t="shared" si="36"/>
        <v>0.81521691618253855</v>
      </c>
      <c r="AD42" s="187">
        <f t="shared" si="36"/>
        <v>1.5449049870723028</v>
      </c>
      <c r="AE42" s="187">
        <f t="shared" si="36"/>
        <v>2.9277255803981008</v>
      </c>
      <c r="AF42" s="188">
        <f t="shared" si="36"/>
        <v>7.3685487350282415</v>
      </c>
      <c r="AG42" s="187">
        <f t="shared" si="37"/>
        <v>5.175549698293027E-2</v>
      </c>
      <c r="AH42" s="187">
        <f t="shared" si="37"/>
        <v>0.13025910091357423</v>
      </c>
      <c r="AI42" s="187">
        <f t="shared" si="37"/>
        <v>0.24685201032785642</v>
      </c>
      <c r="AJ42" s="187">
        <f t="shared" si="37"/>
        <v>0.46780543221570736</v>
      </c>
      <c r="AK42" s="188">
        <f t="shared" si="37"/>
        <v>1.1773805403318165</v>
      </c>
      <c r="AL42" s="189">
        <f t="shared" si="33"/>
        <v>0.37566343393324825</v>
      </c>
      <c r="AM42" s="189">
        <f t="shared" si="32"/>
        <v>0.94547601709611273</v>
      </c>
      <c r="AN42" s="189">
        <f t="shared" si="32"/>
        <v>1.7917569974001593</v>
      </c>
      <c r="AO42" s="189">
        <f t="shared" si="32"/>
        <v>3.3955310126138083</v>
      </c>
      <c r="AP42" s="190">
        <f t="shared" si="32"/>
        <v>8.5459292753600575</v>
      </c>
    </row>
    <row r="43" spans="1:42" ht="13.15" customHeight="1" x14ac:dyDescent="0.2">
      <c r="B43" s="526"/>
      <c r="C43" s="120" t="s">
        <v>63</v>
      </c>
      <c r="D43" s="46">
        <f t="shared" si="34"/>
        <v>50.093511340188627</v>
      </c>
      <c r="E43" s="46">
        <f t="shared" si="18"/>
        <v>92.633798354145938</v>
      </c>
      <c r="F43" s="51">
        <f t="shared" si="19"/>
        <v>3.1708662771841398</v>
      </c>
      <c r="G43" s="141">
        <f t="shared" si="20"/>
        <v>1.2190366757002054</v>
      </c>
      <c r="H43" s="47">
        <f t="shared" si="21"/>
        <v>1.6086079169842562</v>
      </c>
      <c r="I43" s="47">
        <f t="shared" si="22"/>
        <v>2.5316028194370466</v>
      </c>
      <c r="J43" s="47">
        <f t="shared" si="23"/>
        <v>3.1708662771841398</v>
      </c>
      <c r="K43" s="47">
        <f t="shared" si="24"/>
        <v>3.8101297349312331</v>
      </c>
      <c r="L43" s="139">
        <f t="shared" si="25"/>
        <v>4.733124637384023</v>
      </c>
      <c r="M43" s="47">
        <f t="shared" si="26"/>
        <v>4.9958517445055133</v>
      </c>
      <c r="N43" s="47">
        <f t="shared" si="26"/>
        <v>12.573643274093726</v>
      </c>
      <c r="O43" s="47">
        <f t="shared" si="26"/>
        <v>23.828117172517022</v>
      </c>
      <c r="P43" s="47">
        <f t="shared" si="26"/>
        <v>45.156296835383571</v>
      </c>
      <c r="Q43" s="139">
        <f t="shared" si="26"/>
        <v>113.65012354733091</v>
      </c>
      <c r="R43" s="46">
        <f t="shared" si="35"/>
        <v>3.9501032360066763</v>
      </c>
      <c r="S43" s="47">
        <f t="shared" si="35"/>
        <v>9.9416859277330776</v>
      </c>
      <c r="T43" s="46">
        <f t="shared" si="35"/>
        <v>18.840335455235181</v>
      </c>
      <c r="U43" s="46">
        <f t="shared" si="35"/>
        <v>35.7040287377827</v>
      </c>
      <c r="V43" s="147">
        <f t="shared" si="35"/>
        <v>89.860497019473755</v>
      </c>
      <c r="W43" s="47">
        <f t="shared" si="27"/>
        <v>1.0457485084988369</v>
      </c>
      <c r="X43" s="47">
        <f t="shared" si="27"/>
        <v>2.6319573463606485</v>
      </c>
      <c r="Y43" s="47">
        <f t="shared" si="27"/>
        <v>4.9877817172818411</v>
      </c>
      <c r="Z43" s="47">
        <f t="shared" si="27"/>
        <v>9.4522680976008715</v>
      </c>
      <c r="AA43" s="139">
        <f t="shared" si="27"/>
        <v>23.789626527857152</v>
      </c>
      <c r="AB43" s="187">
        <f t="shared" si="36"/>
        <v>0.1767268613174881</v>
      </c>
      <c r="AC43" s="187">
        <f t="shared" si="36"/>
        <v>0.44478912201512327</v>
      </c>
      <c r="AD43" s="187">
        <f t="shared" si="36"/>
        <v>0.84291299549384091</v>
      </c>
      <c r="AE43" s="187">
        <f t="shared" si="36"/>
        <v>1.5973913992173618</v>
      </c>
      <c r="AF43" s="188">
        <f t="shared" si="36"/>
        <v>4.0203414052377067</v>
      </c>
      <c r="AG43" s="187">
        <f t="shared" si="37"/>
        <v>0.10457485084988369</v>
      </c>
      <c r="AH43" s="187">
        <f t="shared" si="37"/>
        <v>0.26319573463606483</v>
      </c>
      <c r="AI43" s="187">
        <f t="shared" si="37"/>
        <v>0.49877817172818412</v>
      </c>
      <c r="AJ43" s="187">
        <f t="shared" si="37"/>
        <v>0.94522680976008711</v>
      </c>
      <c r="AK43" s="188">
        <f t="shared" si="37"/>
        <v>2.3789626527857153</v>
      </c>
      <c r="AL43" s="189">
        <f t="shared" si="33"/>
        <v>0.28130171216737176</v>
      </c>
      <c r="AM43" s="189">
        <f t="shared" si="32"/>
        <v>0.70798485665118815</v>
      </c>
      <c r="AN43" s="189">
        <f t="shared" si="32"/>
        <v>1.3416911672220251</v>
      </c>
      <c r="AO43" s="189">
        <f t="shared" si="32"/>
        <v>2.5426182089774487</v>
      </c>
      <c r="AP43" s="190">
        <f t="shared" si="32"/>
        <v>6.3993040580234215</v>
      </c>
    </row>
    <row r="44" spans="1:42" ht="13.15" customHeight="1" x14ac:dyDescent="0.2">
      <c r="B44" s="526"/>
      <c r="C44" s="120" t="s">
        <v>64</v>
      </c>
      <c r="D44" s="46">
        <f t="shared" si="34"/>
        <v>41.345699247470804</v>
      </c>
      <c r="E44" s="46">
        <f t="shared" si="18"/>
        <v>76.457191049984644</v>
      </c>
      <c r="F44" s="51">
        <f t="shared" si="19"/>
        <v>2.9789431991838402</v>
      </c>
      <c r="G44" s="141">
        <f t="shared" si="20"/>
        <v>1.2190366757002054</v>
      </c>
      <c r="H44" s="47">
        <f t="shared" si="21"/>
        <v>1.4166848389839566</v>
      </c>
      <c r="I44" s="47">
        <f t="shared" si="22"/>
        <v>2.339679741436747</v>
      </c>
      <c r="J44" s="47">
        <f t="shared" si="23"/>
        <v>2.9789431991838402</v>
      </c>
      <c r="K44" s="47">
        <f t="shared" si="24"/>
        <v>3.6182066569309335</v>
      </c>
      <c r="L44" s="139">
        <f t="shared" si="25"/>
        <v>4.5412015593837243</v>
      </c>
      <c r="M44" s="47">
        <f t="shared" si="26"/>
        <v>4.1234279288296234</v>
      </c>
      <c r="N44" s="47">
        <f t="shared" si="26"/>
        <v>10.37791241514725</v>
      </c>
      <c r="O44" s="47">
        <f t="shared" si="26"/>
        <v>19.667021534144126</v>
      </c>
      <c r="P44" s="47">
        <f t="shared" si="26"/>
        <v>37.270668757999985</v>
      </c>
      <c r="Q44" s="139">
        <f t="shared" si="26"/>
        <v>93.803442839432464</v>
      </c>
      <c r="R44" s="46">
        <f t="shared" si="35"/>
        <v>3.8918928236250094</v>
      </c>
      <c r="S44" s="46">
        <f t="shared" si="35"/>
        <v>9.7951809877236098</v>
      </c>
      <c r="T44" s="46">
        <f t="shared" si="35"/>
        <v>18.562696206148896</v>
      </c>
      <c r="U44" s="46">
        <f t="shared" si="35"/>
        <v>35.17787888489574</v>
      </c>
      <c r="V44" s="147">
        <f t="shared" si="35"/>
        <v>88.53627426482673</v>
      </c>
      <c r="W44" s="47">
        <f t="shared" si="27"/>
        <v>0.23153510520461396</v>
      </c>
      <c r="X44" s="47">
        <f t="shared" si="27"/>
        <v>0.58273142742364037</v>
      </c>
      <c r="Y44" s="47">
        <f t="shared" si="27"/>
        <v>1.1043253279952303</v>
      </c>
      <c r="Z44" s="47">
        <f t="shared" si="27"/>
        <v>2.0927898731042447</v>
      </c>
      <c r="AA44" s="139">
        <f t="shared" si="27"/>
        <v>5.2671685746057335</v>
      </c>
      <c r="AB44" s="187">
        <f t="shared" si="36"/>
        <v>0.16216220098437539</v>
      </c>
      <c r="AC44" s="187">
        <f t="shared" si="36"/>
        <v>0.40813254115515041</v>
      </c>
      <c r="AD44" s="187">
        <f t="shared" si="36"/>
        <v>0.773445675256204</v>
      </c>
      <c r="AE44" s="187">
        <f t="shared" si="36"/>
        <v>1.4657449535373224</v>
      </c>
      <c r="AF44" s="188">
        <f t="shared" si="36"/>
        <v>3.6890114277011135</v>
      </c>
      <c r="AG44" s="187">
        <f t="shared" si="37"/>
        <v>2.3153510520461395E-2</v>
      </c>
      <c r="AH44" s="187">
        <f t="shared" si="37"/>
        <v>5.8273142742364038E-2</v>
      </c>
      <c r="AI44" s="187">
        <f t="shared" si="37"/>
        <v>0.11043253279952303</v>
      </c>
      <c r="AJ44" s="187">
        <f t="shared" si="37"/>
        <v>0.20927898731042446</v>
      </c>
      <c r="AK44" s="188">
        <f t="shared" si="37"/>
        <v>0.5267168574605734</v>
      </c>
      <c r="AL44" s="189">
        <f t="shared" si="33"/>
        <v>0.18531571150483678</v>
      </c>
      <c r="AM44" s="189">
        <f t="shared" si="32"/>
        <v>0.46640568389751447</v>
      </c>
      <c r="AN44" s="189">
        <f t="shared" si="32"/>
        <v>0.88387820805572703</v>
      </c>
      <c r="AO44" s="189">
        <f t="shared" si="32"/>
        <v>1.6750239408477468</v>
      </c>
      <c r="AP44" s="190">
        <f t="shared" si="32"/>
        <v>4.2157282851616866</v>
      </c>
    </row>
    <row r="45" spans="1:42" ht="13.15" customHeight="1" x14ac:dyDescent="0.2">
      <c r="A45" s="131"/>
      <c r="B45" s="526"/>
      <c r="C45" s="120" t="s">
        <v>65</v>
      </c>
      <c r="D45" s="46">
        <f t="shared" si="34"/>
        <v>28.187130950519464</v>
      </c>
      <c r="E45" s="46">
        <f t="shared" si="18"/>
        <v>52.124136136520512</v>
      </c>
      <c r="F45" s="51">
        <f t="shared" si="19"/>
        <v>2.5958403161615857</v>
      </c>
      <c r="G45" s="141">
        <f t="shared" si="20"/>
        <v>1.2190366757002054</v>
      </c>
      <c r="H45" s="47">
        <f t="shared" si="21"/>
        <v>1.0335819559617021</v>
      </c>
      <c r="I45" s="47">
        <f t="shared" si="22"/>
        <v>1.9565768584144922</v>
      </c>
      <c r="J45" s="47">
        <f t="shared" si="23"/>
        <v>2.5958403161615857</v>
      </c>
      <c r="K45" s="47">
        <f t="shared" si="24"/>
        <v>3.235103773908679</v>
      </c>
      <c r="L45" s="139">
        <f t="shared" si="25"/>
        <v>4.1580986763614689</v>
      </c>
      <c r="M45" s="47">
        <f t="shared" si="26"/>
        <v>2.8111171200487011</v>
      </c>
      <c r="N45" s="47">
        <f t="shared" si="26"/>
        <v>7.0750666106262914</v>
      </c>
      <c r="O45" s="47">
        <f t="shared" si="26"/>
        <v>13.407849461477372</v>
      </c>
      <c r="P45" s="47">
        <f t="shared" si="26"/>
        <v>25.409008434158839</v>
      </c>
      <c r="Q45" s="139">
        <f t="shared" si="26"/>
        <v>63.94981763638669</v>
      </c>
      <c r="R45" s="46">
        <f t="shared" si="35"/>
        <v>2.8111171200487011</v>
      </c>
      <c r="S45" s="46">
        <f t="shared" si="35"/>
        <v>7.0750666106262914</v>
      </c>
      <c r="T45" s="46">
        <f t="shared" si="35"/>
        <v>13.407849461477372</v>
      </c>
      <c r="U45" s="46">
        <f t="shared" si="35"/>
        <v>25.409008434158839</v>
      </c>
      <c r="V45" s="147">
        <f t="shared" si="35"/>
        <v>63.94981763638669</v>
      </c>
      <c r="W45" s="47">
        <f t="shared" si="27"/>
        <v>0</v>
      </c>
      <c r="X45" s="47">
        <f t="shared" si="27"/>
        <v>0</v>
      </c>
      <c r="Y45" s="47">
        <f t="shared" si="27"/>
        <v>0</v>
      </c>
      <c r="Z45" s="47">
        <f t="shared" si="27"/>
        <v>0</v>
      </c>
      <c r="AA45" s="139">
        <f t="shared" si="27"/>
        <v>0</v>
      </c>
      <c r="AB45" s="187">
        <f t="shared" si="36"/>
        <v>0.11712988000202922</v>
      </c>
      <c r="AC45" s="187">
        <f t="shared" si="36"/>
        <v>0.29479444210942879</v>
      </c>
      <c r="AD45" s="187">
        <f t="shared" si="36"/>
        <v>0.55866039422822378</v>
      </c>
      <c r="AE45" s="187">
        <f t="shared" si="36"/>
        <v>1.0587086847566183</v>
      </c>
      <c r="AF45" s="188">
        <f t="shared" si="36"/>
        <v>2.6645757348494454</v>
      </c>
      <c r="AG45" s="187">
        <f t="shared" si="37"/>
        <v>0</v>
      </c>
      <c r="AH45" s="187">
        <f t="shared" si="37"/>
        <v>0</v>
      </c>
      <c r="AI45" s="187">
        <f t="shared" si="37"/>
        <v>0</v>
      </c>
      <c r="AJ45" s="187">
        <f t="shared" si="37"/>
        <v>0</v>
      </c>
      <c r="AK45" s="188">
        <f t="shared" si="37"/>
        <v>0</v>
      </c>
      <c r="AL45" s="189">
        <f t="shared" si="33"/>
        <v>0.11712988000202922</v>
      </c>
      <c r="AM45" s="189">
        <f t="shared" si="32"/>
        <v>0.29479444210942879</v>
      </c>
      <c r="AN45" s="189">
        <f t="shared" si="32"/>
        <v>0.55866039422822378</v>
      </c>
      <c r="AO45" s="189">
        <f t="shared" si="32"/>
        <v>1.0587086847566183</v>
      </c>
      <c r="AP45" s="190">
        <f t="shared" si="32"/>
        <v>2.6645757348494454</v>
      </c>
    </row>
    <row r="46" spans="1:42" ht="13.15" customHeight="1" x14ac:dyDescent="0.2">
      <c r="A46" s="131"/>
      <c r="B46" s="527"/>
      <c r="C46" s="144" t="s">
        <v>66</v>
      </c>
      <c r="D46" s="145">
        <f t="shared" si="34"/>
        <v>33.102411121622964</v>
      </c>
      <c r="E46" s="145">
        <f t="shared" si="18"/>
        <v>61.213558300042159</v>
      </c>
      <c r="F46" s="113">
        <f t="shared" si="19"/>
        <v>2.7565809149325147</v>
      </c>
      <c r="G46" s="146">
        <f t="shared" si="20"/>
        <v>1.2190366757002054</v>
      </c>
      <c r="H46" s="112">
        <f t="shared" si="21"/>
        <v>1.194322554732631</v>
      </c>
      <c r="I46" s="112">
        <f t="shared" si="22"/>
        <v>2.117317457185421</v>
      </c>
      <c r="J46" s="112">
        <f t="shared" si="23"/>
        <v>2.7565809149325147</v>
      </c>
      <c r="K46" s="112">
        <f t="shared" si="24"/>
        <v>3.3958443726796079</v>
      </c>
      <c r="L46" s="140">
        <f t="shared" si="25"/>
        <v>4.3188392751323983</v>
      </c>
      <c r="M46" s="112">
        <f t="shared" si="26"/>
        <v>3.3013205488077504</v>
      </c>
      <c r="N46" s="112">
        <f t="shared" si="26"/>
        <v>8.3088188034796389</v>
      </c>
      <c r="O46" s="112">
        <f t="shared" si="26"/>
        <v>15.745914187214419</v>
      </c>
      <c r="P46" s="112">
        <f t="shared" si="26"/>
        <v>29.839838785181882</v>
      </c>
      <c r="Q46" s="140">
        <f t="shared" si="26"/>
        <v>75.101405611963358</v>
      </c>
      <c r="R46" s="134">
        <f t="shared" si="35"/>
        <v>3.3013205488077504</v>
      </c>
      <c r="S46" s="145">
        <f t="shared" si="35"/>
        <v>8.3088188034796389</v>
      </c>
      <c r="T46" s="145">
        <f t="shared" si="35"/>
        <v>15.745914187214419</v>
      </c>
      <c r="U46" s="145">
        <f t="shared" si="35"/>
        <v>29.839838785181882</v>
      </c>
      <c r="V46" s="148">
        <f t="shared" si="35"/>
        <v>75.101405611963358</v>
      </c>
      <c r="W46" s="112">
        <f t="shared" si="27"/>
        <v>0</v>
      </c>
      <c r="X46" s="112">
        <f t="shared" si="27"/>
        <v>0</v>
      </c>
      <c r="Y46" s="112">
        <f t="shared" si="27"/>
        <v>0</v>
      </c>
      <c r="Z46" s="112">
        <f t="shared" si="27"/>
        <v>0</v>
      </c>
      <c r="AA46" s="140">
        <f t="shared" si="27"/>
        <v>0</v>
      </c>
      <c r="AB46" s="191">
        <f t="shared" si="36"/>
        <v>0.14687937172795515</v>
      </c>
      <c r="AC46" s="192">
        <f t="shared" si="36"/>
        <v>0.36966846073073589</v>
      </c>
      <c r="AD46" s="192">
        <f t="shared" si="36"/>
        <v>0.70055299051029241</v>
      </c>
      <c r="AE46" s="192">
        <f t="shared" si="36"/>
        <v>1.3276071524813979</v>
      </c>
      <c r="AF46" s="193">
        <f t="shared" si="36"/>
        <v>3.3413438983243293</v>
      </c>
      <c r="AG46" s="192">
        <f t="shared" si="37"/>
        <v>0</v>
      </c>
      <c r="AH46" s="192">
        <f t="shared" si="37"/>
        <v>0</v>
      </c>
      <c r="AI46" s="192">
        <f t="shared" si="37"/>
        <v>0</v>
      </c>
      <c r="AJ46" s="192">
        <f t="shared" si="37"/>
        <v>0</v>
      </c>
      <c r="AK46" s="193">
        <f t="shared" si="37"/>
        <v>0</v>
      </c>
      <c r="AL46" s="194">
        <f t="shared" si="33"/>
        <v>0.14687937172795515</v>
      </c>
      <c r="AM46" s="194">
        <f t="shared" si="32"/>
        <v>0.36966846073073589</v>
      </c>
      <c r="AN46" s="194">
        <f t="shared" si="32"/>
        <v>0.70055299051029241</v>
      </c>
      <c r="AO46" s="194">
        <f t="shared" si="32"/>
        <v>1.3276071524813979</v>
      </c>
      <c r="AP46" s="195">
        <f t="shared" si="32"/>
        <v>3.3413438983243293</v>
      </c>
    </row>
    <row r="47" spans="1:42" ht="37.15" customHeight="1" x14ac:dyDescent="0.2">
      <c r="E47" s="45"/>
      <c r="F47" s="45"/>
      <c r="G47" s="48"/>
      <c r="H47" s="138"/>
      <c r="I47" s="131"/>
      <c r="J47" s="138"/>
      <c r="K47" s="138"/>
      <c r="L47" s="44"/>
      <c r="M47" s="44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42" ht="13.15" customHeight="1" x14ac:dyDescent="0.2">
      <c r="E48" s="45"/>
      <c r="F48" s="45"/>
      <c r="G48" s="45"/>
      <c r="H48" s="45"/>
      <c r="I48" s="45"/>
      <c r="J48" s="45"/>
      <c r="K48" s="45"/>
      <c r="M48" s="107"/>
      <c r="N48" s="107"/>
      <c r="T48" s="532"/>
      <c r="U48" s="532"/>
      <c r="V48" s="532"/>
      <c r="W48" s="532"/>
      <c r="X48" s="532"/>
      <c r="Y48" s="532"/>
      <c r="Z48" s="532"/>
      <c r="AA48" s="532"/>
      <c r="AB48" s="532"/>
    </row>
    <row r="49" spans="2:28" ht="13.15" customHeight="1" x14ac:dyDescent="0.2">
      <c r="E49" s="45"/>
      <c r="F49" s="45"/>
      <c r="G49" s="45"/>
      <c r="H49" s="45"/>
      <c r="I49" s="45"/>
      <c r="J49" s="45"/>
      <c r="K49" s="45"/>
      <c r="M49" s="107"/>
      <c r="N49" s="184"/>
      <c r="T49" s="128"/>
      <c r="U49" s="128"/>
      <c r="V49" s="46"/>
      <c r="W49" s="46"/>
      <c r="X49" s="128"/>
      <c r="Y49" s="128"/>
      <c r="Z49" s="128"/>
      <c r="AA49" s="128"/>
      <c r="AB49" s="128"/>
    </row>
    <row r="50" spans="2:28" ht="13.15" customHeight="1" x14ac:dyDescent="0.2">
      <c r="B50" s="137"/>
      <c r="C50" s="49"/>
      <c r="D50" s="49"/>
      <c r="E50" s="49"/>
      <c r="F50" s="49"/>
      <c r="G50" s="49"/>
      <c r="H50" s="49"/>
      <c r="I50" s="49"/>
      <c r="J50" s="50"/>
      <c r="K50" s="50"/>
      <c r="M50" s="107"/>
      <c r="N50" s="184"/>
      <c r="T50" s="128"/>
      <c r="U50" s="128"/>
      <c r="V50" s="164"/>
      <c r="W50" s="164"/>
      <c r="X50" s="128"/>
      <c r="Y50" s="128"/>
      <c r="Z50" s="128"/>
      <c r="AA50" s="128"/>
      <c r="AB50" s="128"/>
    </row>
    <row r="51" spans="2:28" x14ac:dyDescent="0.2">
      <c r="B51" s="137"/>
      <c r="C51" s="49"/>
      <c r="D51" s="49"/>
      <c r="E51" s="49"/>
      <c r="F51" s="49"/>
      <c r="G51" s="49"/>
      <c r="H51" s="49"/>
      <c r="I51" s="49"/>
      <c r="J51" s="50"/>
      <c r="K51" s="50"/>
      <c r="M51" s="107"/>
      <c r="N51" s="184"/>
      <c r="T51" s="128"/>
      <c r="U51" s="128"/>
      <c r="V51" s="164"/>
      <c r="W51" s="164"/>
      <c r="X51" s="128"/>
      <c r="Y51" s="128"/>
      <c r="Z51" s="128"/>
      <c r="AA51" s="128"/>
      <c r="AB51" s="128"/>
    </row>
    <row r="52" spans="2:28" x14ac:dyDescent="0.2">
      <c r="B52" s="137"/>
      <c r="C52" s="49"/>
      <c r="D52" s="49"/>
      <c r="E52" s="49"/>
      <c r="F52" s="49"/>
      <c r="G52" s="49"/>
      <c r="H52" s="49"/>
      <c r="I52" s="49"/>
      <c r="J52" s="50"/>
      <c r="K52" s="50"/>
      <c r="L52" s="46"/>
      <c r="M52" s="107"/>
      <c r="N52" s="184"/>
      <c r="P52" s="46"/>
      <c r="Q52" s="46"/>
      <c r="R52" s="46"/>
      <c r="T52" s="128"/>
      <c r="U52" s="128"/>
      <c r="V52" s="164"/>
      <c r="W52" s="164"/>
      <c r="X52" s="128"/>
      <c r="Y52" s="128"/>
      <c r="Z52" s="128"/>
      <c r="AA52" s="128"/>
      <c r="AB52" s="128"/>
    </row>
    <row r="53" spans="2:28" x14ac:dyDescent="0.2">
      <c r="B53" s="137"/>
      <c r="C53" s="49"/>
      <c r="D53" s="49"/>
      <c r="E53" s="49"/>
      <c r="F53" s="49"/>
      <c r="G53" s="49"/>
      <c r="H53" s="49"/>
      <c r="I53" s="49"/>
      <c r="J53" s="50"/>
      <c r="K53" s="50"/>
      <c r="L53" s="46"/>
      <c r="M53" s="107"/>
      <c r="N53" s="184"/>
      <c r="P53" s="46"/>
      <c r="Q53" s="46"/>
      <c r="R53" s="35"/>
      <c r="S53" s="35"/>
      <c r="T53" s="128"/>
      <c r="U53" s="38"/>
      <c r="V53" s="164"/>
      <c r="W53" s="164"/>
      <c r="X53" s="38"/>
      <c r="Y53" s="38"/>
      <c r="Z53" s="38"/>
      <c r="AA53" s="38"/>
      <c r="AB53" s="128"/>
    </row>
    <row r="54" spans="2:28" x14ac:dyDescent="0.2">
      <c r="B54" s="137"/>
      <c r="C54" s="49"/>
      <c r="D54" s="49"/>
      <c r="E54" s="49"/>
      <c r="F54" s="49"/>
      <c r="G54" s="49"/>
      <c r="H54" s="49"/>
      <c r="I54" s="49"/>
      <c r="J54" s="50"/>
      <c r="K54" s="50"/>
      <c r="L54" s="46"/>
      <c r="M54" s="107"/>
      <c r="N54" s="184"/>
      <c r="P54" s="46"/>
      <c r="Q54" s="46"/>
      <c r="R54" s="35"/>
      <c r="S54" s="35"/>
      <c r="T54" s="128"/>
      <c r="U54" s="38"/>
      <c r="V54" s="164"/>
      <c r="W54" s="164"/>
      <c r="X54" s="38"/>
      <c r="Y54" s="38"/>
      <c r="Z54" s="38"/>
      <c r="AA54" s="38"/>
      <c r="AB54" s="128"/>
    </row>
    <row r="55" spans="2:28" ht="17.45" customHeight="1" x14ac:dyDescent="0.2">
      <c r="B55" s="137"/>
      <c r="C55" s="49"/>
      <c r="D55" s="49"/>
      <c r="E55" s="49"/>
      <c r="F55" s="49"/>
      <c r="G55" s="49"/>
      <c r="H55" s="49"/>
      <c r="I55" s="49"/>
      <c r="J55" s="50"/>
      <c r="K55" s="50"/>
      <c r="L55" s="46"/>
      <c r="M55" s="107"/>
      <c r="N55" s="184"/>
      <c r="P55" s="46"/>
      <c r="Q55" s="46"/>
      <c r="R55" s="35"/>
      <c r="S55" s="52"/>
      <c r="T55" s="128"/>
      <c r="U55" s="165"/>
      <c r="V55" s="164"/>
      <c r="W55" s="164"/>
      <c r="X55" s="165"/>
      <c r="Y55" s="165"/>
      <c r="Z55" s="38"/>
      <c r="AA55" s="38"/>
      <c r="AB55" s="128"/>
    </row>
    <row r="56" spans="2:28" x14ac:dyDescent="0.2">
      <c r="B56" s="137"/>
      <c r="C56" s="49"/>
      <c r="D56" s="49"/>
      <c r="E56" s="49"/>
      <c r="F56" s="49"/>
      <c r="G56" s="49"/>
      <c r="H56" s="49"/>
      <c r="I56" s="49"/>
      <c r="J56" s="50"/>
      <c r="K56" s="50"/>
      <c r="L56" s="46"/>
      <c r="M56" s="46"/>
      <c r="N56" s="184"/>
      <c r="P56" s="46"/>
      <c r="Q56" s="46"/>
      <c r="R56" s="35"/>
      <c r="S56" s="52"/>
      <c r="T56" s="128"/>
      <c r="U56" s="165"/>
      <c r="V56" s="164"/>
      <c r="W56" s="164"/>
      <c r="X56" s="165"/>
      <c r="Y56" s="38"/>
      <c r="Z56" s="38"/>
      <c r="AA56" s="38"/>
      <c r="AB56" s="128"/>
    </row>
    <row r="57" spans="2:28" x14ac:dyDescent="0.2">
      <c r="B57" s="137"/>
      <c r="C57" s="49"/>
      <c r="D57" s="49"/>
      <c r="E57" s="49"/>
      <c r="F57" s="49"/>
      <c r="G57" s="49"/>
      <c r="H57" s="49"/>
      <c r="I57" s="49"/>
      <c r="J57" s="50"/>
      <c r="K57" s="50"/>
      <c r="L57" s="46"/>
      <c r="M57" s="46"/>
      <c r="N57" s="184"/>
      <c r="P57" s="46"/>
      <c r="Q57" s="46"/>
      <c r="R57" s="35"/>
      <c r="S57" s="40"/>
      <c r="T57" s="128"/>
      <c r="U57" s="166"/>
      <c r="V57" s="164"/>
      <c r="W57" s="164"/>
      <c r="X57" s="166"/>
      <c r="Y57" s="165"/>
      <c r="Z57" s="38"/>
      <c r="AA57" s="38"/>
      <c r="AB57" s="128"/>
    </row>
    <row r="58" spans="2:28" x14ac:dyDescent="0.2">
      <c r="B58" s="137"/>
      <c r="C58" s="49"/>
      <c r="D58" s="49"/>
      <c r="E58" s="49"/>
      <c r="F58" s="49"/>
      <c r="G58" s="49"/>
      <c r="H58" s="49"/>
      <c r="I58" s="49"/>
      <c r="J58" s="50"/>
      <c r="K58" s="50"/>
      <c r="L58" s="46"/>
      <c r="M58" s="46"/>
      <c r="N58" s="184"/>
      <c r="O58" s="46"/>
      <c r="P58" s="46"/>
      <c r="Q58" s="46"/>
      <c r="R58" s="35"/>
      <c r="S58" s="52"/>
      <c r="T58" s="165"/>
      <c r="U58" s="165"/>
      <c r="V58" s="167"/>
      <c r="W58" s="167"/>
      <c r="X58" s="165"/>
      <c r="Y58" s="165"/>
      <c r="Z58" s="38"/>
      <c r="AA58" s="38"/>
      <c r="AB58" s="128"/>
    </row>
    <row r="59" spans="2:28" x14ac:dyDescent="0.2">
      <c r="B59" s="137"/>
      <c r="C59" s="49"/>
      <c r="D59" s="49"/>
      <c r="E59" s="49"/>
      <c r="F59" s="49"/>
      <c r="G59" s="49"/>
      <c r="H59" s="49"/>
      <c r="I59" s="49"/>
      <c r="J59" s="50"/>
      <c r="K59" s="50"/>
      <c r="L59" s="46"/>
      <c r="M59" s="46"/>
      <c r="N59" s="184"/>
      <c r="O59" s="46"/>
      <c r="P59" s="46"/>
      <c r="Q59" s="46"/>
      <c r="R59" s="35"/>
      <c r="S59" s="53"/>
      <c r="T59" s="168"/>
      <c r="U59" s="168"/>
      <c r="V59" s="168"/>
      <c r="W59" s="168"/>
      <c r="X59" s="168"/>
      <c r="Y59" s="168"/>
      <c r="Z59" s="38"/>
      <c r="AA59" s="38"/>
      <c r="AB59" s="128"/>
    </row>
    <row r="60" spans="2:28" x14ac:dyDescent="0.2">
      <c r="B60" s="137"/>
      <c r="C60" s="49"/>
      <c r="D60" s="49"/>
      <c r="E60" s="49"/>
      <c r="F60" s="49"/>
      <c r="G60" s="49"/>
      <c r="H60" s="49"/>
      <c r="I60" s="49"/>
      <c r="J60" s="50"/>
      <c r="K60" s="50"/>
      <c r="L60" s="46"/>
      <c r="M60" s="46"/>
      <c r="N60" s="184"/>
      <c r="O60" s="46"/>
      <c r="P60" s="46"/>
      <c r="Q60" s="46"/>
      <c r="R60" s="35"/>
      <c r="S60" s="54"/>
      <c r="T60" s="54"/>
      <c r="U60" s="54"/>
      <c r="V60" s="54"/>
      <c r="W60" s="54"/>
      <c r="X60" s="54"/>
      <c r="Y60" s="54"/>
      <c r="Z60" s="54"/>
      <c r="AA60" s="35"/>
    </row>
    <row r="61" spans="2:28" x14ac:dyDescent="0.2">
      <c r="B61" s="137"/>
      <c r="C61" s="49"/>
      <c r="D61" s="49"/>
      <c r="E61" s="49"/>
      <c r="F61" s="49"/>
      <c r="G61" s="49"/>
      <c r="H61" s="49"/>
      <c r="I61" s="49"/>
      <c r="J61" s="50"/>
      <c r="K61" s="50"/>
      <c r="L61" s="46"/>
      <c r="M61" s="46"/>
      <c r="N61" s="46"/>
      <c r="O61" s="46"/>
      <c r="P61" s="46"/>
      <c r="Q61" s="46"/>
      <c r="R61" s="35"/>
      <c r="S61" s="54"/>
      <c r="T61" s="35"/>
      <c r="U61" s="35"/>
      <c r="V61" s="35"/>
      <c r="W61" s="35"/>
      <c r="X61" s="35"/>
      <c r="Y61" s="35"/>
      <c r="Z61" s="35"/>
      <c r="AA61" s="35"/>
    </row>
    <row r="62" spans="2:28" x14ac:dyDescent="0.2">
      <c r="B62" s="137"/>
      <c r="C62" s="49"/>
      <c r="D62" s="49"/>
      <c r="E62" s="49"/>
      <c r="F62" s="49"/>
      <c r="G62" s="49"/>
      <c r="H62" s="49"/>
      <c r="I62" s="49"/>
      <c r="J62" s="50"/>
      <c r="K62" s="50"/>
      <c r="L62" s="46"/>
      <c r="M62" s="46"/>
      <c r="N62" s="46"/>
      <c r="O62" s="46"/>
      <c r="P62" s="46"/>
      <c r="Q62" s="46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2:28" x14ac:dyDescent="0.2">
      <c r="B63" s="137"/>
      <c r="C63" s="49"/>
      <c r="D63" s="49"/>
      <c r="E63" s="49"/>
      <c r="F63" s="49"/>
      <c r="G63" s="49"/>
      <c r="H63" s="49"/>
      <c r="I63" s="49"/>
      <c r="J63" s="50"/>
      <c r="K63" s="50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</row>
    <row r="64" spans="2:28" x14ac:dyDescent="0.2">
      <c r="B64" s="137"/>
      <c r="C64" s="49"/>
      <c r="D64" s="49"/>
      <c r="E64" s="49"/>
      <c r="F64" s="49"/>
      <c r="G64" s="49"/>
      <c r="H64" s="49"/>
      <c r="I64" s="49"/>
      <c r="J64" s="50"/>
      <c r="K64" s="50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</row>
    <row r="65" spans="2:25" x14ac:dyDescent="0.2">
      <c r="B65" s="137"/>
      <c r="C65" s="49"/>
      <c r="D65" s="49"/>
      <c r="E65" s="49"/>
      <c r="F65" s="49"/>
      <c r="G65" s="49"/>
      <c r="H65" s="49"/>
      <c r="I65" s="49"/>
      <c r="J65" s="50"/>
      <c r="K65" s="50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</row>
  </sheetData>
  <mergeCells count="71">
    <mergeCell ref="AL28:AL29"/>
    <mergeCell ref="AM28:AM29"/>
    <mergeCell ref="AM13:AP13"/>
    <mergeCell ref="B31:B38"/>
    <mergeCell ref="B39:B46"/>
    <mergeCell ref="C27:Q27"/>
    <mergeCell ref="AE14:AF14"/>
    <mergeCell ref="AG14:AH14"/>
    <mergeCell ref="AE13:AH13"/>
    <mergeCell ref="C28:C29"/>
    <mergeCell ref="D28:D29"/>
    <mergeCell ref="E28:E29"/>
    <mergeCell ref="F28:F29"/>
    <mergeCell ref="G28:G29"/>
    <mergeCell ref="R28:R29"/>
    <mergeCell ref="B13:D13"/>
    <mergeCell ref="E13:R13"/>
    <mergeCell ref="S13:AD13"/>
    <mergeCell ref="AI13:AL13"/>
    <mergeCell ref="E14:J14"/>
    <mergeCell ref="K14:R14"/>
    <mergeCell ref="S14:X14"/>
    <mergeCell ref="Y14:AD14"/>
    <mergeCell ref="B15:D15"/>
    <mergeCell ref="E15:F15"/>
    <mergeCell ref="G15:H15"/>
    <mergeCell ref="I15:J15"/>
    <mergeCell ref="K15:L15"/>
    <mergeCell ref="M15:N15"/>
    <mergeCell ref="AO15:AP15"/>
    <mergeCell ref="O15:P15"/>
    <mergeCell ref="Q15:R15"/>
    <mergeCell ref="S15:T15"/>
    <mergeCell ref="U15:V15"/>
    <mergeCell ref="W15:X15"/>
    <mergeCell ref="Y15:Z15"/>
    <mergeCell ref="AA15:AB15"/>
    <mergeCell ref="AC15:AD15"/>
    <mergeCell ref="AI15:AJ15"/>
    <mergeCell ref="AK15:AL15"/>
    <mergeCell ref="AM15:AN15"/>
    <mergeCell ref="H28:L28"/>
    <mergeCell ref="M28:Q28"/>
    <mergeCell ref="R27:V27"/>
    <mergeCell ref="S28:S29"/>
    <mergeCell ref="T28:T29"/>
    <mergeCell ref="U28:U29"/>
    <mergeCell ref="V28:V29"/>
    <mergeCell ref="AL27:AP27"/>
    <mergeCell ref="W27:AA27"/>
    <mergeCell ref="AB27:AF27"/>
    <mergeCell ref="Z28:Z29"/>
    <mergeCell ref="AA28:AA29"/>
    <mergeCell ref="AB28:AB29"/>
    <mergeCell ref="AC28:AC29"/>
    <mergeCell ref="AD28:AD29"/>
    <mergeCell ref="AE28:AE29"/>
    <mergeCell ref="AF28:AF29"/>
    <mergeCell ref="AG28:AG29"/>
    <mergeCell ref="AH28:AH29"/>
    <mergeCell ref="AN28:AN29"/>
    <mergeCell ref="AO28:AO29"/>
    <mergeCell ref="AP28:AP29"/>
    <mergeCell ref="AI28:AI29"/>
    <mergeCell ref="T48:AB48"/>
    <mergeCell ref="W28:W29"/>
    <mergeCell ref="X28:X29"/>
    <mergeCell ref="Y28:Y29"/>
    <mergeCell ref="AG27:AK27"/>
    <mergeCell ref="AJ28:AJ29"/>
    <mergeCell ref="AK28:AK29"/>
  </mergeCells>
  <pageMargins left="0.42" right="0.9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2:AT65"/>
  <sheetViews>
    <sheetView showGridLines="0" zoomScaleNormal="100" workbookViewId="0"/>
  </sheetViews>
  <sheetFormatPr defaultColWidth="9.140625" defaultRowHeight="12.75" x14ac:dyDescent="0.2"/>
  <cols>
    <col min="1" max="1" width="3.42578125" style="45" customWidth="1"/>
    <col min="2" max="2" width="11" style="45" customWidth="1"/>
    <col min="3" max="3" width="9.85546875" style="45" customWidth="1"/>
    <col min="4" max="4" width="7.140625" style="45" customWidth="1"/>
    <col min="5" max="5" width="7.42578125" style="128" customWidth="1"/>
    <col min="6" max="6" width="8.7109375" style="128" customWidth="1"/>
    <col min="7" max="7" width="5.28515625" style="128" customWidth="1"/>
    <col min="8" max="8" width="6" style="128" customWidth="1"/>
    <col min="9" max="9" width="7.140625" style="44" customWidth="1"/>
    <col min="10" max="11" width="6.85546875" style="128" customWidth="1"/>
    <col min="12" max="12" width="6.28515625" style="128" customWidth="1"/>
    <col min="13" max="13" width="6.7109375" style="128" customWidth="1"/>
    <col min="14" max="14" width="6.7109375" style="45" customWidth="1"/>
    <col min="15" max="16" width="8.7109375" style="45" customWidth="1"/>
    <col min="17" max="17" width="7.42578125" style="45" customWidth="1"/>
    <col min="18" max="18" width="7.140625" style="45" customWidth="1"/>
    <col min="19" max="19" width="6.7109375" style="45" customWidth="1"/>
    <col min="20" max="22" width="7.7109375" style="45" customWidth="1"/>
    <col min="23" max="23" width="6.140625" style="45" customWidth="1"/>
    <col min="24" max="24" width="5.42578125" style="45" customWidth="1"/>
    <col min="25" max="25" width="6.7109375" style="45" customWidth="1"/>
    <col min="26" max="27" width="7.5703125" style="45" customWidth="1"/>
    <col min="28" max="28" width="5.28515625" style="45" customWidth="1"/>
    <col min="29" max="29" width="5.85546875" style="45" customWidth="1"/>
    <col min="30" max="30" width="7.28515625" style="45" customWidth="1"/>
    <col min="31" max="31" width="5.28515625" style="45" customWidth="1"/>
    <col min="32" max="32" width="7.85546875" style="45" customWidth="1"/>
    <col min="33" max="33" width="5.28515625" style="45" customWidth="1"/>
    <col min="34" max="35" width="7.28515625" style="45" customWidth="1"/>
    <col min="36" max="36" width="6.42578125" style="45" customWidth="1"/>
    <col min="37" max="37" width="7" style="45" customWidth="1"/>
    <col min="38" max="39" width="6.5703125" style="45" customWidth="1"/>
    <col min="40" max="40" width="9" style="45" customWidth="1"/>
    <col min="41" max="41" width="6.28515625" style="45" customWidth="1"/>
    <col min="42" max="50" width="5.28515625" style="45" customWidth="1"/>
    <col min="51" max="16384" width="9.140625" style="45"/>
  </cols>
  <sheetData>
    <row r="2" spans="2:46" x14ac:dyDescent="0.2">
      <c r="B2" s="129" t="s">
        <v>214</v>
      </c>
    </row>
    <row r="3" spans="2:46" x14ac:dyDescent="0.2">
      <c r="B3" s="129"/>
    </row>
    <row r="4" spans="2:46" x14ac:dyDescent="0.2">
      <c r="B4" s="132" t="s">
        <v>146</v>
      </c>
    </row>
    <row r="5" spans="2:46" x14ac:dyDescent="0.2">
      <c r="B5" s="130" t="s">
        <v>147</v>
      </c>
      <c r="G5" s="170">
        <f>Inputs!I6*7</f>
        <v>53.933160854721507</v>
      </c>
    </row>
    <row r="6" spans="2:46" x14ac:dyDescent="0.2">
      <c r="B6" s="130" t="s">
        <v>148</v>
      </c>
      <c r="G6" s="170">
        <f>Inputs!I7*7</f>
        <v>15.383723496032815</v>
      </c>
    </row>
    <row r="7" spans="2:46" x14ac:dyDescent="0.2">
      <c r="B7" s="130" t="s">
        <v>149</v>
      </c>
      <c r="G7" s="170">
        <f>G5+G6</f>
        <v>69.316884350754322</v>
      </c>
    </row>
    <row r="8" spans="2:46" x14ac:dyDescent="0.2">
      <c r="B8" s="130" t="s">
        <v>150</v>
      </c>
      <c r="G8" s="171">
        <f>Inputs!I12</f>
        <v>1.8412539498588361</v>
      </c>
    </row>
    <row r="9" spans="2:46" x14ac:dyDescent="0.2">
      <c r="B9" s="130" t="s">
        <v>151</v>
      </c>
      <c r="G9" s="171">
        <f>Inputs!I10*7</f>
        <v>2.2120000000000002</v>
      </c>
    </row>
    <row r="10" spans="2:46" x14ac:dyDescent="0.2">
      <c r="B10" s="130" t="s">
        <v>152</v>
      </c>
      <c r="G10" s="171">
        <f>Inputs!I11*7</f>
        <v>1.407</v>
      </c>
    </row>
    <row r="11" spans="2:46" x14ac:dyDescent="0.2">
      <c r="B11" s="130" t="s">
        <v>153</v>
      </c>
      <c r="G11" s="171">
        <f>G9+G10</f>
        <v>3.6190000000000002</v>
      </c>
    </row>
    <row r="12" spans="2:46" x14ac:dyDescent="0.2">
      <c r="B12" s="155"/>
      <c r="C12" s="131"/>
      <c r="D12" s="131"/>
      <c r="AQ12" s="131"/>
      <c r="AR12" s="131"/>
      <c r="AS12" s="131"/>
      <c r="AT12" s="131"/>
    </row>
    <row r="13" spans="2:46" x14ac:dyDescent="0.2">
      <c r="B13" s="555"/>
      <c r="C13" s="555"/>
      <c r="D13" s="555"/>
      <c r="E13" s="547" t="s">
        <v>166</v>
      </c>
      <c r="F13" s="548"/>
      <c r="G13" s="548"/>
      <c r="H13" s="548"/>
      <c r="I13" s="548"/>
      <c r="J13" s="548"/>
      <c r="K13" s="548"/>
      <c r="L13" s="548"/>
      <c r="M13" s="548"/>
      <c r="N13" s="548"/>
      <c r="O13" s="548"/>
      <c r="P13" s="548"/>
      <c r="Q13" s="548"/>
      <c r="R13" s="548"/>
      <c r="S13" s="547" t="s">
        <v>167</v>
      </c>
      <c r="T13" s="548"/>
      <c r="U13" s="548"/>
      <c r="V13" s="548"/>
      <c r="W13" s="548"/>
      <c r="X13" s="548"/>
      <c r="Y13" s="548"/>
      <c r="Z13" s="548"/>
      <c r="AA13" s="548"/>
      <c r="AB13" s="548"/>
      <c r="AC13" s="548"/>
      <c r="AD13" s="549"/>
      <c r="AE13" s="561" t="s">
        <v>168</v>
      </c>
      <c r="AF13" s="561"/>
      <c r="AG13" s="561"/>
      <c r="AH13" s="562"/>
      <c r="AI13" s="548" t="s">
        <v>272</v>
      </c>
      <c r="AJ13" s="548"/>
      <c r="AK13" s="548"/>
      <c r="AL13" s="549"/>
      <c r="AM13" s="555"/>
      <c r="AN13" s="555"/>
      <c r="AO13" s="555"/>
      <c r="AP13" s="555"/>
    </row>
    <row r="14" spans="2:46" s="136" customFormat="1" ht="13.15" customHeight="1" x14ac:dyDescent="0.2">
      <c r="B14" s="181"/>
      <c r="C14" s="181"/>
      <c r="D14" s="182"/>
      <c r="E14" s="550" t="s">
        <v>75</v>
      </c>
      <c r="F14" s="550"/>
      <c r="G14" s="550"/>
      <c r="H14" s="550"/>
      <c r="I14" s="550"/>
      <c r="J14" s="551"/>
      <c r="K14" s="545" t="s">
        <v>76</v>
      </c>
      <c r="L14" s="545"/>
      <c r="M14" s="545"/>
      <c r="N14" s="545"/>
      <c r="O14" s="545"/>
      <c r="P14" s="545"/>
      <c r="Q14" s="545"/>
      <c r="R14" s="546"/>
      <c r="S14" s="552" t="s">
        <v>158</v>
      </c>
      <c r="T14" s="553"/>
      <c r="U14" s="553"/>
      <c r="V14" s="553"/>
      <c r="W14" s="553"/>
      <c r="X14" s="554"/>
      <c r="Y14" s="532" t="s">
        <v>76</v>
      </c>
      <c r="Z14" s="532"/>
      <c r="AA14" s="532"/>
      <c r="AB14" s="532"/>
      <c r="AC14" s="532"/>
      <c r="AD14" s="544"/>
      <c r="AE14" s="558" t="s">
        <v>158</v>
      </c>
      <c r="AF14" s="558"/>
      <c r="AG14" s="559" t="s">
        <v>76</v>
      </c>
      <c r="AH14" s="560"/>
      <c r="AI14" s="46" t="s">
        <v>77</v>
      </c>
      <c r="AJ14" s="161"/>
      <c r="AK14" s="46" t="s">
        <v>77</v>
      </c>
      <c r="AL14" s="159">
        <v>6</v>
      </c>
      <c r="AM14" s="57"/>
      <c r="AN14" s="57"/>
      <c r="AO14" s="57"/>
      <c r="AP14" s="57"/>
    </row>
    <row r="15" spans="2:46" ht="13.15" customHeight="1" x14ac:dyDescent="0.2">
      <c r="B15" s="545"/>
      <c r="C15" s="545"/>
      <c r="D15" s="546"/>
      <c r="E15" s="532" t="s">
        <v>78</v>
      </c>
      <c r="F15" s="532"/>
      <c r="G15" s="532" t="s">
        <v>79</v>
      </c>
      <c r="H15" s="532"/>
      <c r="I15" s="532" t="s">
        <v>80</v>
      </c>
      <c r="J15" s="544"/>
      <c r="K15" s="532" t="s">
        <v>81</v>
      </c>
      <c r="L15" s="532"/>
      <c r="M15" s="532" t="s">
        <v>79</v>
      </c>
      <c r="N15" s="532"/>
      <c r="O15" s="532" t="s">
        <v>82</v>
      </c>
      <c r="P15" s="532"/>
      <c r="Q15" s="532" t="s">
        <v>83</v>
      </c>
      <c r="R15" s="544"/>
      <c r="S15" s="532" t="s">
        <v>144</v>
      </c>
      <c r="T15" s="532"/>
      <c r="U15" s="532" t="s">
        <v>79</v>
      </c>
      <c r="V15" s="532"/>
      <c r="W15" s="532" t="s">
        <v>82</v>
      </c>
      <c r="X15" s="544" t="s">
        <v>84</v>
      </c>
      <c r="Y15" s="532" t="s">
        <v>145</v>
      </c>
      <c r="Z15" s="532"/>
      <c r="AA15" s="532" t="s">
        <v>85</v>
      </c>
      <c r="AB15" s="532"/>
      <c r="AC15" s="532" t="s">
        <v>82</v>
      </c>
      <c r="AD15" s="544"/>
      <c r="AH15" s="158"/>
      <c r="AI15" s="532" t="s">
        <v>75</v>
      </c>
      <c r="AJ15" s="532"/>
      <c r="AK15" s="532" t="s">
        <v>76</v>
      </c>
      <c r="AL15" s="544"/>
      <c r="AM15" s="532"/>
      <c r="AN15" s="532"/>
      <c r="AO15" s="532"/>
      <c r="AP15" s="532"/>
    </row>
    <row r="16" spans="2:46" ht="13.15" customHeight="1" x14ac:dyDescent="0.2">
      <c r="B16" s="44" t="s">
        <v>0</v>
      </c>
      <c r="C16" s="44" t="s">
        <v>72</v>
      </c>
      <c r="D16" s="121" t="s">
        <v>73</v>
      </c>
      <c r="E16" s="46" t="s">
        <v>72</v>
      </c>
      <c r="F16" s="46" t="s">
        <v>73</v>
      </c>
      <c r="G16" s="46" t="s">
        <v>72</v>
      </c>
      <c r="H16" s="46" t="s">
        <v>73</v>
      </c>
      <c r="I16" s="46" t="s">
        <v>72</v>
      </c>
      <c r="J16" s="147" t="s">
        <v>73</v>
      </c>
      <c r="K16" s="46" t="s">
        <v>72</v>
      </c>
      <c r="L16" s="46" t="s">
        <v>73</v>
      </c>
      <c r="M16" s="46" t="s">
        <v>72</v>
      </c>
      <c r="N16" s="46" t="s">
        <v>73</v>
      </c>
      <c r="O16" s="46" t="s">
        <v>72</v>
      </c>
      <c r="P16" s="46" t="s">
        <v>73</v>
      </c>
      <c r="Q16" s="46" t="s">
        <v>72</v>
      </c>
      <c r="R16" s="147" t="s">
        <v>73</v>
      </c>
      <c r="S16" s="46" t="s">
        <v>72</v>
      </c>
      <c r="T16" s="46" t="s">
        <v>73</v>
      </c>
      <c r="U16" s="46" t="s">
        <v>72</v>
      </c>
      <c r="V16" s="46" t="s">
        <v>73</v>
      </c>
      <c r="W16" s="46" t="s">
        <v>72</v>
      </c>
      <c r="X16" s="147" t="s">
        <v>73</v>
      </c>
      <c r="Y16" s="46" t="s">
        <v>72</v>
      </c>
      <c r="Z16" s="46" t="s">
        <v>73</v>
      </c>
      <c r="AA16" s="46" t="s">
        <v>72</v>
      </c>
      <c r="AB16" s="46" t="s">
        <v>73</v>
      </c>
      <c r="AC16" s="46" t="s">
        <v>72</v>
      </c>
      <c r="AD16" s="147" t="s">
        <v>73</v>
      </c>
      <c r="AE16" s="62" t="s">
        <v>72</v>
      </c>
      <c r="AF16" s="156" t="s">
        <v>73</v>
      </c>
      <c r="AG16" s="156" t="s">
        <v>72</v>
      </c>
      <c r="AH16" s="157" t="s">
        <v>73</v>
      </c>
      <c r="AI16" s="46" t="s">
        <v>72</v>
      </c>
      <c r="AJ16" s="46" t="s">
        <v>73</v>
      </c>
      <c r="AK16" s="46" t="s">
        <v>72</v>
      </c>
      <c r="AL16" s="147" t="s">
        <v>73</v>
      </c>
      <c r="AM16" s="46"/>
      <c r="AN16" s="46"/>
      <c r="AO16" s="46"/>
      <c r="AP16" s="46"/>
    </row>
    <row r="17" spans="1:44" ht="13.15" customHeight="1" x14ac:dyDescent="0.2">
      <c r="B17" s="44" t="s">
        <v>9</v>
      </c>
      <c r="C17" s="357">
        <v>2.9383563982166468E-2</v>
      </c>
      <c r="D17" s="358">
        <v>3.1341912418392813E-2</v>
      </c>
      <c r="E17" s="170">
        <f>'Active transport'!N29</f>
        <v>1.2442611397300452</v>
      </c>
      <c r="F17" s="170">
        <f>'Active transport'!O29</f>
        <v>1.1848333278731662</v>
      </c>
      <c r="G17" s="51">
        <f t="shared" ref="G17:H24" si="0">E17*C17</f>
        <v>3.6560826809781156E-2</v>
      </c>
      <c r="H17" s="51">
        <f t="shared" si="0"/>
        <v>3.713494239259367E-2</v>
      </c>
      <c r="I17" s="47">
        <f t="shared" ref="I17:J24" si="1">G17/($G$25+$H$25)*$G$5/C17</f>
        <v>86.016437996475617</v>
      </c>
      <c r="J17" s="139">
        <f t="shared" si="1"/>
        <v>81.908161581958254</v>
      </c>
      <c r="K17" s="170">
        <f>'Active transport'!N38</f>
        <v>0.24082955855864754</v>
      </c>
      <c r="L17" s="170">
        <f>'Active transport'!O38</f>
        <v>1.5535027699118202</v>
      </c>
      <c r="M17" s="51">
        <f t="shared" ref="M17:N24" si="2">K17*C17</f>
        <v>7.0764307427049261E-3</v>
      </c>
      <c r="N17" s="51">
        <f t="shared" si="2"/>
        <v>4.8689747756306911E-2</v>
      </c>
      <c r="O17" s="51">
        <f t="shared" ref="O17:P24" si="3">M17/($M$25+$N$25)*$G$6/C17</f>
        <v>1.6478203203943</v>
      </c>
      <c r="P17" s="51">
        <f t="shared" si="3"/>
        <v>10.629481893212601</v>
      </c>
      <c r="Q17" s="169">
        <f t="shared" ref="Q17:R24" si="4">O17/(I17+O17)</f>
        <v>1.8796945893708623E-2</v>
      </c>
      <c r="R17" s="172">
        <f t="shared" si="4"/>
        <v>0.11486657206766498</v>
      </c>
      <c r="S17" s="170">
        <f>'Active transport'!AC29</f>
        <v>0.72201244280125276</v>
      </c>
      <c r="T17" s="170">
        <f>'Active transport'!AD29</f>
        <v>1.3676594491885232</v>
      </c>
      <c r="U17" s="133">
        <f t="shared" ref="U17:V24" si="5">S17*C17</f>
        <v>2.1215298808970919E-2</v>
      </c>
      <c r="V17" s="133">
        <f t="shared" si="5"/>
        <v>4.286506267465405E-2</v>
      </c>
      <c r="W17" s="160">
        <f>U17/($U$25+$V$25)*$G$9/C17</f>
        <v>2.4093394824788654</v>
      </c>
      <c r="X17" s="163">
        <f>V17/($U$25+$V$25)*$G$9/D17</f>
        <v>4.56384920006463</v>
      </c>
      <c r="Y17" s="170">
        <f>'Active transport'!AC38</f>
        <v>0.14287233563721177</v>
      </c>
      <c r="Z17" s="170">
        <f>'Active transport'!AD38</f>
        <v>0.89072851809547682</v>
      </c>
      <c r="AA17" s="133">
        <f t="shared" ref="AA17:AB24" si="6">Y17*C17</f>
        <v>4.1980984154775742E-3</v>
      </c>
      <c r="AB17" s="133">
        <f t="shared" si="6"/>
        <v>2.7917135202713252E-2</v>
      </c>
      <c r="AC17" s="133">
        <f>AA17/($AA$25+$AB$25)*$G$10/C17</f>
        <v>9.3784539627070215E-2</v>
      </c>
      <c r="AD17" s="162">
        <f>AB17/($AA$25+$AB$25)*$G$10/D17</f>
        <v>0.58469376614943003</v>
      </c>
      <c r="AE17" s="316">
        <f>W17/(I17/60)</f>
        <v>1.6806132910857694</v>
      </c>
      <c r="AF17" s="316">
        <f>X17/(J17/60)</f>
        <v>3.3431461128556692</v>
      </c>
      <c r="AG17" s="316">
        <f t="shared" ref="AG17:AH24" si="7">AC17/(O17/60)</f>
        <v>3.4148579841992324</v>
      </c>
      <c r="AH17" s="317">
        <f t="shared" si="7"/>
        <v>3.3004078958323442</v>
      </c>
      <c r="AI17" s="47">
        <f>MAX(2.5,1.2216*AE17+0.0838)</f>
        <v>2.5</v>
      </c>
      <c r="AJ17" s="47">
        <f>MAX(2.5,1.2216*AF17+0.0838)</f>
        <v>4.167787291464486</v>
      </c>
      <c r="AK17" s="46">
        <f t="shared" ref="AK17:AL24" si="8">$AL$14</f>
        <v>6</v>
      </c>
      <c r="AL17" s="147">
        <f t="shared" si="8"/>
        <v>6</v>
      </c>
      <c r="AM17" s="51"/>
      <c r="AN17" s="51"/>
      <c r="AO17" s="51"/>
      <c r="AP17" s="51"/>
    </row>
    <row r="18" spans="1:44" ht="13.15" customHeight="1" x14ac:dyDescent="0.2">
      <c r="B18" s="44" t="s">
        <v>86</v>
      </c>
      <c r="C18" s="357">
        <v>7.6838798206393985E-2</v>
      </c>
      <c r="D18" s="358">
        <v>6.5167292474270819E-2</v>
      </c>
      <c r="E18" s="170">
        <f>'Active transport'!N30</f>
        <v>1.0466576906809824</v>
      </c>
      <c r="F18" s="170">
        <f>'Active transport'!O30</f>
        <v>1.0631385253359023</v>
      </c>
      <c r="G18" s="51">
        <f t="shared" si="0"/>
        <v>8.0423919085406331E-2</v>
      </c>
      <c r="H18" s="51">
        <f t="shared" si="0"/>
        <v>6.9281859221229716E-2</v>
      </c>
      <c r="I18" s="47">
        <f t="shared" si="1"/>
        <v>72.356005889188125</v>
      </c>
      <c r="J18" s="139">
        <f t="shared" si="1"/>
        <v>73.495334802516282</v>
      </c>
      <c r="K18" s="170">
        <f>'Active transport'!N39</f>
        <v>4.6300177019618589</v>
      </c>
      <c r="L18" s="170">
        <f>'Active transport'!O39</f>
        <v>2.1702480915035403</v>
      </c>
      <c r="M18" s="51">
        <f t="shared" si="2"/>
        <v>0.35576499589307931</v>
      </c>
      <c r="N18" s="51">
        <f t="shared" si="2"/>
        <v>0.14142919212073926</v>
      </c>
      <c r="O18" s="51">
        <f t="shared" si="3"/>
        <v>31.679820777565087</v>
      </c>
      <c r="P18" s="51">
        <f t="shared" si="3"/>
        <v>14.849418513573363</v>
      </c>
      <c r="Q18" s="169">
        <f t="shared" si="4"/>
        <v>0.30450876195795179</v>
      </c>
      <c r="R18" s="172">
        <f t="shared" si="4"/>
        <v>0.16808489419222744</v>
      </c>
      <c r="S18" s="170">
        <f>'Active transport'!AC30</f>
        <v>1.0579246064363828</v>
      </c>
      <c r="T18" s="170">
        <f>'Active transport'!AD30</f>
        <v>0.82771406236415135</v>
      </c>
      <c r="U18" s="133">
        <f t="shared" si="5"/>
        <v>8.1289655351543991E-2</v>
      </c>
      <c r="V18" s="133">
        <f t="shared" si="5"/>
        <v>5.3939884387151485E-2</v>
      </c>
      <c r="W18" s="160">
        <f t="shared" ref="W18:X24" si="9">U18/($U$25+$V$25)*$G$9/C18</f>
        <v>3.5302709104069048</v>
      </c>
      <c r="X18" s="163">
        <f t="shared" si="9"/>
        <v>2.7620634388511172</v>
      </c>
      <c r="Y18" s="170">
        <f>'Active transport'!AC39</f>
        <v>4.1056758192350893</v>
      </c>
      <c r="Z18" s="170">
        <f>'Active transport'!AD39</f>
        <v>0.62920512676133533</v>
      </c>
      <c r="AA18" s="133">
        <f t="shared" si="6"/>
        <v>0.31547519577507632</v>
      </c>
      <c r="AB18" s="133">
        <f t="shared" si="6"/>
        <v>4.1003594521966585E-2</v>
      </c>
      <c r="AC18" s="133">
        <f t="shared" ref="AC18:AD24" si="10">AA18/($AA$25+$AB$25)*$G$10/C18</f>
        <v>2.6950557982245891</v>
      </c>
      <c r="AD18" s="162">
        <f t="shared" si="10"/>
        <v>0.41302406712342454</v>
      </c>
      <c r="AE18" s="316">
        <f t="shared" ref="AE18:AF24" si="11">W18/(I18/60)</f>
        <v>2.9274177315537142</v>
      </c>
      <c r="AF18" s="316">
        <f t="shared" si="11"/>
        <v>2.2548887868375709</v>
      </c>
      <c r="AG18" s="316">
        <f t="shared" si="7"/>
        <v>5.1043012215520456</v>
      </c>
      <c r="AH18" s="317">
        <f t="shared" si="7"/>
        <v>1.6688494572870696</v>
      </c>
      <c r="AI18" s="483">
        <f t="shared" ref="AI18:AI24" si="12">MAX(2.5,1.2216*AE18+0.0838)</f>
        <v>3.6599335008660172</v>
      </c>
      <c r="AJ18" s="483">
        <f t="shared" ref="AJ18:AJ24" si="13">MAX(2.5,1.2216*AF18+0.0838)</f>
        <v>2.8383721420007766</v>
      </c>
      <c r="AK18" s="46">
        <f t="shared" si="8"/>
        <v>6</v>
      </c>
      <c r="AL18" s="147">
        <f t="shared" si="8"/>
        <v>6</v>
      </c>
      <c r="AM18" s="51"/>
      <c r="AN18" s="51"/>
      <c r="AO18" s="51"/>
      <c r="AP18" s="51"/>
    </row>
    <row r="19" spans="1:44" ht="13.15" customHeight="1" x14ac:dyDescent="0.2">
      <c r="B19" s="44" t="s">
        <v>61</v>
      </c>
      <c r="C19" s="357">
        <v>0.11471305960133134</v>
      </c>
      <c r="D19" s="358">
        <v>0.1086156688511476</v>
      </c>
      <c r="E19" s="170">
        <f>'Active transport'!N31</f>
        <v>0.73539655618359334</v>
      </c>
      <c r="F19" s="170">
        <f>'Active transport'!O31</f>
        <v>1</v>
      </c>
      <c r="G19" s="51">
        <f t="shared" si="0"/>
        <v>8.435958898010236E-2</v>
      </c>
      <c r="H19" s="51">
        <f t="shared" si="0"/>
        <v>0.1086156688511476</v>
      </c>
      <c r="I19" s="47">
        <f t="shared" si="1"/>
        <v>50.838357204912647</v>
      </c>
      <c r="J19" s="139">
        <f t="shared" si="1"/>
        <v>69.130534780775804</v>
      </c>
      <c r="K19" s="170">
        <f>'Active transport'!N40</f>
        <v>4.2572172845957521</v>
      </c>
      <c r="L19" s="170">
        <f>'Active transport'!O40</f>
        <v>1</v>
      </c>
      <c r="M19" s="51">
        <f t="shared" si="2"/>
        <v>0.48835842010365049</v>
      </c>
      <c r="N19" s="51">
        <f t="shared" si="2"/>
        <v>0.1086156688511476</v>
      </c>
      <c r="O19" s="51">
        <f t="shared" si="3"/>
        <v>29.129020506767983</v>
      </c>
      <c r="P19" s="51">
        <f t="shared" si="3"/>
        <v>6.8422677442769881</v>
      </c>
      <c r="Q19" s="169">
        <f t="shared" si="4"/>
        <v>0.36426129429667647</v>
      </c>
      <c r="R19" s="172">
        <f t="shared" si="4"/>
        <v>9.0062068488531558E-2</v>
      </c>
      <c r="S19" s="170">
        <f>'Active transport'!AC31</f>
        <v>0.69743449595390872</v>
      </c>
      <c r="T19" s="170">
        <f>'Active transport'!AD31</f>
        <v>1</v>
      </c>
      <c r="U19" s="133">
        <f t="shared" si="5"/>
        <v>8.0004844902385214E-2</v>
      </c>
      <c r="V19" s="133">
        <f t="shared" si="5"/>
        <v>0.1086156688511476</v>
      </c>
      <c r="W19" s="160">
        <f t="shared" si="9"/>
        <v>2.3273234198361981</v>
      </c>
      <c r="X19" s="163">
        <f t="shared" si="9"/>
        <v>3.3369777854951459</v>
      </c>
      <c r="Y19" s="170">
        <f>'Active transport'!AC40</f>
        <v>3.9945006441280286</v>
      </c>
      <c r="Z19" s="170">
        <f>'Active transport'!AD40</f>
        <v>1</v>
      </c>
      <c r="AA19" s="133">
        <f t="shared" si="6"/>
        <v>0.45822139046741495</v>
      </c>
      <c r="AB19" s="133">
        <f t="shared" si="6"/>
        <v>0.1086156688511476</v>
      </c>
      <c r="AC19" s="133">
        <f t="shared" si="10"/>
        <v>2.6220779710695119</v>
      </c>
      <c r="AD19" s="162">
        <f t="shared" si="10"/>
        <v>0.65642196726742386</v>
      </c>
      <c r="AE19" s="316">
        <f t="shared" si="11"/>
        <v>2.7467332319046327</v>
      </c>
      <c r="AF19" s="316">
        <f t="shared" si="11"/>
        <v>2.896240680975994</v>
      </c>
      <c r="AG19" s="316">
        <f t="shared" si="7"/>
        <v>5.4009601259203723</v>
      </c>
      <c r="AH19" s="317">
        <f t="shared" si="7"/>
        <v>5.7561790195930458</v>
      </c>
      <c r="AI19" s="483">
        <f t="shared" si="12"/>
        <v>3.4392093160946993</v>
      </c>
      <c r="AJ19" s="483">
        <f t="shared" si="13"/>
        <v>3.6218476158802746</v>
      </c>
      <c r="AK19" s="46">
        <f t="shared" si="8"/>
        <v>6</v>
      </c>
      <c r="AL19" s="147">
        <f t="shared" si="8"/>
        <v>6</v>
      </c>
      <c r="AM19" s="51"/>
      <c r="AN19" s="51"/>
      <c r="AO19" s="51"/>
      <c r="AP19" s="51"/>
    </row>
    <row r="20" spans="1:44" ht="13.15" customHeight="1" x14ac:dyDescent="0.2">
      <c r="B20" s="44" t="s">
        <v>62</v>
      </c>
      <c r="C20" s="357">
        <v>9.1061802847374265E-2</v>
      </c>
      <c r="D20" s="358">
        <v>8.8435488816605956E-2</v>
      </c>
      <c r="E20" s="170">
        <f>'Active transport'!N32</f>
        <v>0.63290173065606392</v>
      </c>
      <c r="F20" s="170">
        <f>'Active transport'!O32</f>
        <v>1.0934346459852222</v>
      </c>
      <c r="G20" s="51">
        <f t="shared" si="0"/>
        <v>5.763317261876446E-2</v>
      </c>
      <c r="H20" s="51">
        <f t="shared" si="0"/>
        <v>9.6698427406715609E-2</v>
      </c>
      <c r="I20" s="47">
        <f t="shared" si="1"/>
        <v>43.752835103932227</v>
      </c>
      <c r="J20" s="139">
        <f t="shared" si="1"/>
        <v>75.589721824786679</v>
      </c>
      <c r="K20" s="170">
        <f>'Active transport'!N41</f>
        <v>3.619264903178347</v>
      </c>
      <c r="L20" s="170">
        <f>'Active transport'!O41</f>
        <v>0.77780071464373512</v>
      </c>
      <c r="M20" s="51">
        <f t="shared" si="2"/>
        <v>0.32957678706564775</v>
      </c>
      <c r="N20" s="51">
        <f t="shared" si="2"/>
        <v>6.8785186401424156E-2</v>
      </c>
      <c r="O20" s="51">
        <f t="shared" si="3"/>
        <v>24.763979505010976</v>
      </c>
      <c r="P20" s="51">
        <f t="shared" si="3"/>
        <v>5.3219207412824181</v>
      </c>
      <c r="Q20" s="169">
        <f t="shared" si="4"/>
        <v>0.3614292293993866</v>
      </c>
      <c r="R20" s="172">
        <f t="shared" si="4"/>
        <v>6.5774474136237673E-2</v>
      </c>
      <c r="S20" s="170">
        <f>'Active transport'!AC32</f>
        <v>0.61020796764142826</v>
      </c>
      <c r="T20" s="170">
        <f>'Active transport'!AD32</f>
        <v>0.84829147302570207</v>
      </c>
      <c r="U20" s="133">
        <f t="shared" si="5"/>
        <v>5.5566637645260673E-2</v>
      </c>
      <c r="V20" s="133">
        <f t="shared" si="5"/>
        <v>7.5019071075986668E-2</v>
      </c>
      <c r="W20" s="160">
        <f t="shared" si="9"/>
        <v>2.0362504325515869</v>
      </c>
      <c r="X20" s="163">
        <f t="shared" si="9"/>
        <v>2.830729801111723</v>
      </c>
      <c r="Y20" s="170">
        <f>'Active transport'!AC41</f>
        <v>3.4731171119276643</v>
      </c>
      <c r="Z20" s="170">
        <f>'Active transport'!AD41</f>
        <v>0.67214222576642479</v>
      </c>
      <c r="AA20" s="133">
        <f t="shared" si="6"/>
        <v>0.31626830571219888</v>
      </c>
      <c r="AB20" s="133">
        <f t="shared" si="6"/>
        <v>5.9441226289935298E-2</v>
      </c>
      <c r="AC20" s="133">
        <f t="shared" si="10"/>
        <v>2.2798303671617108</v>
      </c>
      <c r="AD20" s="162">
        <f t="shared" si="10"/>
        <v>0.44120892212110147</v>
      </c>
      <c r="AE20" s="316">
        <f t="shared" si="11"/>
        <v>2.7923910682102262</v>
      </c>
      <c r="AF20" s="316">
        <f t="shared" si="11"/>
        <v>2.2469164321095541</v>
      </c>
      <c r="AG20" s="316">
        <f t="shared" si="7"/>
        <v>5.5237415295883006</v>
      </c>
      <c r="AH20" s="317">
        <f t="shared" si="7"/>
        <v>4.9742445658608254</v>
      </c>
      <c r="AI20" s="483">
        <f t="shared" si="12"/>
        <v>3.4949849289256125</v>
      </c>
      <c r="AJ20" s="483">
        <f t="shared" si="13"/>
        <v>2.8286331134650315</v>
      </c>
      <c r="AK20" s="46">
        <f t="shared" si="8"/>
        <v>6</v>
      </c>
      <c r="AL20" s="147">
        <f t="shared" si="8"/>
        <v>6</v>
      </c>
      <c r="AM20" s="51"/>
      <c r="AN20" s="51"/>
      <c r="AO20" s="51"/>
      <c r="AP20" s="51"/>
    </row>
    <row r="21" spans="1:44" ht="13.15" customHeight="1" x14ac:dyDescent="0.2">
      <c r="B21" s="44" t="s">
        <v>63</v>
      </c>
      <c r="C21" s="357">
        <v>8.0048461346236666E-2</v>
      </c>
      <c r="D21" s="358">
        <v>9.4551259708900437E-2</v>
      </c>
      <c r="E21" s="170">
        <f>'Active transport'!N33</f>
        <v>0.43320769038424295</v>
      </c>
      <c r="F21" s="170">
        <f>'Active transport'!O33</f>
        <v>0.62864440907318142</v>
      </c>
      <c r="G21" s="51">
        <f t="shared" si="0"/>
        <v>3.4677609058615534E-2</v>
      </c>
      <c r="H21" s="51">
        <f t="shared" si="0"/>
        <v>5.9439120786826623E-2</v>
      </c>
      <c r="I21" s="47">
        <f t="shared" si="1"/>
        <v>29.947879307407458</v>
      </c>
      <c r="J21" s="139">
        <f t="shared" si="1"/>
        <v>43.458524186173818</v>
      </c>
      <c r="K21" s="170">
        <f>'Active transport'!N42</f>
        <v>4.0335264093771777</v>
      </c>
      <c r="L21" s="170">
        <f>'Active transport'!O42</f>
        <v>1.571589463272435</v>
      </c>
      <c r="M21" s="51">
        <f t="shared" si="2"/>
        <v>0.32287758287005375</v>
      </c>
      <c r="N21" s="51">
        <f t="shared" si="2"/>
        <v>0.14859576349764345</v>
      </c>
      <c r="O21" s="51">
        <f t="shared" si="3"/>
        <v>27.598467646570835</v>
      </c>
      <c r="P21" s="51">
        <f t="shared" si="3"/>
        <v>10.753235891794564</v>
      </c>
      <c r="Q21" s="169">
        <f t="shared" si="4"/>
        <v>0.4795867871272913</v>
      </c>
      <c r="R21" s="172">
        <f t="shared" si="4"/>
        <v>0.19835614774965904</v>
      </c>
      <c r="S21" s="170">
        <f>'Active transport'!AC33</f>
        <v>0.34667325053239095</v>
      </c>
      <c r="T21" s="170">
        <f>'Active transport'!AD33</f>
        <v>0.46207558373875701</v>
      </c>
      <c r="U21" s="133">
        <f t="shared" si="5"/>
        <v>2.7750660295016317E-2</v>
      </c>
      <c r="V21" s="133">
        <f t="shared" si="5"/>
        <v>4.3689828523224984E-2</v>
      </c>
      <c r="W21" s="160">
        <f t="shared" si="9"/>
        <v>1.156840935851982</v>
      </c>
      <c r="X21" s="163">
        <f t="shared" si="9"/>
        <v>1.5419359581559342</v>
      </c>
      <c r="Y21" s="170">
        <f>'Active transport'!AC42</f>
        <v>4.0058255728618546</v>
      </c>
      <c r="Z21" s="170">
        <f>'Active transport'!AD42</f>
        <v>1.5500717598094129</v>
      </c>
      <c r="AA21" s="133">
        <f t="shared" si="6"/>
        <v>0.3206601735289985</v>
      </c>
      <c r="AB21" s="133">
        <f t="shared" si="6"/>
        <v>0.14656123752917213</v>
      </c>
      <c r="AC21" s="133">
        <f t="shared" si="10"/>
        <v>2.6295119030681335</v>
      </c>
      <c r="AD21" s="162">
        <f t="shared" si="10"/>
        <v>1.0175011539797725</v>
      </c>
      <c r="AE21" s="316">
        <f t="shared" si="11"/>
        <v>2.3177085575455285</v>
      </c>
      <c r="AF21" s="316">
        <f t="shared" si="11"/>
        <v>2.1288379948896137</v>
      </c>
      <c r="AG21" s="316">
        <f t="shared" si="7"/>
        <v>5.7166476126326291</v>
      </c>
      <c r="AH21" s="317">
        <f t="shared" si="7"/>
        <v>5.6773672458326354</v>
      </c>
      <c r="AI21" s="483">
        <f t="shared" si="12"/>
        <v>2.9151127738976177</v>
      </c>
      <c r="AJ21" s="483">
        <f t="shared" si="13"/>
        <v>2.6843884945571523</v>
      </c>
      <c r="AK21" s="46">
        <f t="shared" si="8"/>
        <v>6</v>
      </c>
      <c r="AL21" s="147">
        <f t="shared" si="8"/>
        <v>6</v>
      </c>
      <c r="AM21" s="51"/>
      <c r="AN21" s="51"/>
      <c r="AO21" s="51"/>
      <c r="AP21" s="51"/>
    </row>
    <row r="22" spans="1:44" ht="13.15" customHeight="1" x14ac:dyDescent="0.2">
      <c r="B22" s="44" t="s">
        <v>64</v>
      </c>
      <c r="C22" s="357">
        <v>5.9797707019128878E-2</v>
      </c>
      <c r="D22" s="358">
        <v>6.0255602320657707E-2</v>
      </c>
      <c r="E22" s="170">
        <f>'Active transport'!N34</f>
        <v>0.55228351942404919</v>
      </c>
      <c r="F22" s="170">
        <f>'Active transport'!O34</f>
        <v>0.61938043592938763</v>
      </c>
      <c r="G22" s="51">
        <f t="shared" si="0"/>
        <v>3.3025288086012669E-2</v>
      </c>
      <c r="H22" s="51">
        <f t="shared" si="0"/>
        <v>3.7321141232556788E-2</v>
      </c>
      <c r="I22" s="47">
        <f t="shared" si="1"/>
        <v>38.179655048393499</v>
      </c>
      <c r="J22" s="139">
        <f t="shared" si="1"/>
        <v>42.818100768548604</v>
      </c>
      <c r="K22" s="170">
        <f>'Active transport'!N43</f>
        <v>2.7003475790656961</v>
      </c>
      <c r="L22" s="170">
        <f>'Active transport'!O43</f>
        <v>0.34795950341788229</v>
      </c>
      <c r="M22" s="51">
        <f t="shared" si="2"/>
        <v>0.16147459338278444</v>
      </c>
      <c r="N22" s="51">
        <f t="shared" si="2"/>
        <v>2.0966509461641452E-2</v>
      </c>
      <c r="O22" s="51">
        <f t="shared" si="3"/>
        <v>18.47650113857766</v>
      </c>
      <c r="P22" s="51">
        <f t="shared" si="3"/>
        <v>2.3808320865508144</v>
      </c>
      <c r="Q22" s="169">
        <f t="shared" si="4"/>
        <v>0.32611639020485789</v>
      </c>
      <c r="R22" s="172">
        <f t="shared" si="4"/>
        <v>5.2674519864957497E-2</v>
      </c>
      <c r="S22" s="170">
        <f>'Active transport'!AC34</f>
        <v>0.37502206911587044</v>
      </c>
      <c r="T22" s="170">
        <f>'Active transport'!AD34</f>
        <v>0.40100304010466736</v>
      </c>
      <c r="U22" s="133">
        <f t="shared" si="5"/>
        <v>2.2425459814698321E-2</v>
      </c>
      <c r="V22" s="133">
        <f t="shared" si="5"/>
        <v>2.4162679713921591E-2</v>
      </c>
      <c r="W22" s="160">
        <f t="shared" si="9"/>
        <v>1.2514403137100849</v>
      </c>
      <c r="X22" s="163">
        <f t="shared" si="9"/>
        <v>1.3381382367452943</v>
      </c>
      <c r="Y22" s="170">
        <f>'Active transport'!AC43</f>
        <v>4.1656647025461622</v>
      </c>
      <c r="Z22" s="170">
        <f>'Active transport'!AD43</f>
        <v>0.56704662893085733</v>
      </c>
      <c r="AA22" s="133">
        <f t="shared" si="6"/>
        <v>0.24909719742278205</v>
      </c>
      <c r="AB22" s="133">
        <f t="shared" si="6"/>
        <v>3.4167736170127298E-2</v>
      </c>
      <c r="AC22" s="133">
        <f t="shared" si="10"/>
        <v>2.7344338190218194</v>
      </c>
      <c r="AD22" s="162">
        <f t="shared" si="10"/>
        <v>0.3722218636951542</v>
      </c>
      <c r="AE22" s="316">
        <f t="shared" si="11"/>
        <v>1.9666604825903091</v>
      </c>
      <c r="AF22" s="316">
        <f t="shared" si="11"/>
        <v>1.8751017154803891</v>
      </c>
      <c r="AG22" s="316">
        <f t="shared" si="7"/>
        <v>8.8797130966939744</v>
      </c>
      <c r="AH22" s="317">
        <f t="shared" si="7"/>
        <v>9.3804649004307645</v>
      </c>
      <c r="AI22" s="483">
        <f t="shared" si="12"/>
        <v>2.5</v>
      </c>
      <c r="AJ22" s="483">
        <f t="shared" si="13"/>
        <v>2.5</v>
      </c>
      <c r="AK22" s="46">
        <f t="shared" si="8"/>
        <v>6</v>
      </c>
      <c r="AL22" s="147">
        <f t="shared" si="8"/>
        <v>6</v>
      </c>
      <c r="AM22" s="51"/>
      <c r="AN22" s="51"/>
      <c r="AO22" s="51"/>
      <c r="AP22" s="51"/>
    </row>
    <row r="23" spans="1:44" ht="13.15" customHeight="1" x14ac:dyDescent="0.2">
      <c r="B23" s="44" t="s">
        <v>65</v>
      </c>
      <c r="C23" s="357">
        <v>2.649993374697986E-2</v>
      </c>
      <c r="D23" s="358">
        <v>3.8241884516743388E-2</v>
      </c>
      <c r="E23" s="170">
        <f>'Active transport'!N35</f>
        <v>0.30408627982523373</v>
      </c>
      <c r="F23" s="170">
        <f>'Active transport'!O35</f>
        <v>0.44737895573459707</v>
      </c>
      <c r="G23" s="51">
        <f t="shared" si="0"/>
        <v>8.0582662687342724E-3</v>
      </c>
      <c r="H23" s="51">
        <f t="shared" si="0"/>
        <v>1.7108614360423713E-2</v>
      </c>
      <c r="I23" s="47">
        <f t="shared" si="1"/>
        <v>21.021647143815041</v>
      </c>
      <c r="J23" s="139">
        <f t="shared" si="1"/>
        <v>30.927546459597721</v>
      </c>
      <c r="K23" s="170">
        <f>'Active transport'!N44</f>
        <v>1.6209065204740101</v>
      </c>
      <c r="L23" s="170">
        <f>'Active transport'!O44</f>
        <v>0</v>
      </c>
      <c r="M23" s="51">
        <f t="shared" si="2"/>
        <v>4.2953915402608921E-2</v>
      </c>
      <c r="N23" s="51">
        <f t="shared" si="2"/>
        <v>0</v>
      </c>
      <c r="O23" s="51">
        <f t="shared" si="3"/>
        <v>11.090676401527565</v>
      </c>
      <c r="P23" s="51">
        <f t="shared" si="3"/>
        <v>0</v>
      </c>
      <c r="Q23" s="169">
        <f t="shared" si="4"/>
        <v>0.34537134585940282</v>
      </c>
      <c r="R23" s="172">
        <f t="shared" si="4"/>
        <v>0</v>
      </c>
      <c r="S23" s="170">
        <f>'Active transport'!AC35</f>
        <v>0.20024475498097025</v>
      </c>
      <c r="T23" s="170">
        <f>'Active transport'!AD35</f>
        <v>0.238247790598686</v>
      </c>
      <c r="U23" s="133">
        <f t="shared" si="5"/>
        <v>5.3064727401759271E-3</v>
      </c>
      <c r="V23" s="133">
        <f t="shared" si="5"/>
        <v>9.1110444944442117E-3</v>
      </c>
      <c r="W23" s="160">
        <f t="shared" si="9"/>
        <v>0.66821229903341617</v>
      </c>
      <c r="X23" s="163">
        <f t="shared" si="9"/>
        <v>0.79502758467111456</v>
      </c>
      <c r="Y23" s="170">
        <f>'Active transport'!AC44</f>
        <v>2.2498891746588798</v>
      </c>
      <c r="Z23" s="170">
        <f>'Active transport'!AD44</f>
        <v>0</v>
      </c>
      <c r="AA23" s="133">
        <f t="shared" si="6"/>
        <v>5.9621914066507513E-2</v>
      </c>
      <c r="AB23" s="133">
        <f t="shared" si="6"/>
        <v>0</v>
      </c>
      <c r="AC23" s="133">
        <f t="shared" si="10"/>
        <v>1.4768766781632625</v>
      </c>
      <c r="AD23" s="162">
        <f t="shared" si="10"/>
        <v>0</v>
      </c>
      <c r="AE23" s="316">
        <f t="shared" si="11"/>
        <v>1.9072120118713436</v>
      </c>
      <c r="AF23" s="316">
        <f t="shared" si="11"/>
        <v>1.5423679063123241</v>
      </c>
      <c r="AG23" s="316">
        <f>AC23/(O23/60)</f>
        <v>7.9898283460502713</v>
      </c>
      <c r="AH23" s="317" t="e">
        <f t="shared" si="7"/>
        <v>#DIV/0!</v>
      </c>
      <c r="AI23" s="483">
        <f t="shared" si="12"/>
        <v>2.5</v>
      </c>
      <c r="AJ23" s="483">
        <f t="shared" si="13"/>
        <v>2.5</v>
      </c>
      <c r="AK23" s="46">
        <f t="shared" si="8"/>
        <v>6</v>
      </c>
      <c r="AL23" s="147">
        <f t="shared" si="8"/>
        <v>6</v>
      </c>
      <c r="AM23" s="51"/>
      <c r="AN23" s="51"/>
      <c r="AO23" s="51"/>
      <c r="AP23" s="51"/>
    </row>
    <row r="24" spans="1:44" ht="13.15" customHeight="1" x14ac:dyDescent="0.2">
      <c r="B24" s="110" t="s">
        <v>66</v>
      </c>
      <c r="C24" s="359">
        <v>1.5935570999434524E-2</v>
      </c>
      <c r="D24" s="360">
        <v>1.9111993144235312E-2</v>
      </c>
      <c r="E24" s="176">
        <f>'Active transport'!N36</f>
        <v>0.61399357815396693</v>
      </c>
      <c r="F24" s="173">
        <f>'Active transport'!O36</f>
        <v>0.52539302938939492</v>
      </c>
      <c r="G24" s="113">
        <f t="shared" si="0"/>
        <v>9.7843382578693908E-3</v>
      </c>
      <c r="H24" s="113">
        <f t="shared" si="0"/>
        <v>1.0041307975719137E-2</v>
      </c>
      <c r="I24" s="112">
        <f t="shared" si="1"/>
        <v>42.445704409745794</v>
      </c>
      <c r="J24" s="140">
        <f t="shared" si="1"/>
        <v>36.320701091780727</v>
      </c>
      <c r="K24" s="176">
        <f>'Active transport'!N45</f>
        <v>0.19906232193167198</v>
      </c>
      <c r="L24" s="173">
        <f>'Active transport'!O45</f>
        <v>0</v>
      </c>
      <c r="M24" s="113">
        <f t="shared" si="2"/>
        <v>3.1721717644544512E-3</v>
      </c>
      <c r="N24" s="113">
        <f t="shared" si="2"/>
        <v>0</v>
      </c>
      <c r="O24" s="113">
        <f t="shared" si="3"/>
        <v>1.3620377044539607</v>
      </c>
      <c r="P24" s="113">
        <f t="shared" si="3"/>
        <v>0</v>
      </c>
      <c r="Q24" s="174">
        <f t="shared" si="4"/>
        <v>3.1091255534315073E-2</v>
      </c>
      <c r="R24" s="175">
        <f t="shared" si="4"/>
        <v>0</v>
      </c>
      <c r="S24" s="176">
        <f>'Active transport'!AC36</f>
        <v>0.28707008415257856</v>
      </c>
      <c r="T24" s="173">
        <f>'Active transport'!AD36</f>
        <v>0.38396622537171893</v>
      </c>
      <c r="U24" s="177">
        <f t="shared" si="5"/>
        <v>4.5746257078270597E-3</v>
      </c>
      <c r="V24" s="177">
        <f t="shared" si="5"/>
        <v>7.3383598669222025E-3</v>
      </c>
      <c r="W24" s="178">
        <f t="shared" si="9"/>
        <v>0.95794649369737683</v>
      </c>
      <c r="X24" s="179">
        <f t="shared" si="9"/>
        <v>1.2812867644458488</v>
      </c>
      <c r="Y24" s="176">
        <f>'Active transport'!AC45</f>
        <v>0.1373937576569885</v>
      </c>
      <c r="Z24" s="173">
        <f>'Active transport'!AD45</f>
        <v>0</v>
      </c>
      <c r="AA24" s="177">
        <f t="shared" si="6"/>
        <v>2.1894479800220411E-3</v>
      </c>
      <c r="AB24" s="177">
        <f t="shared" si="6"/>
        <v>0</v>
      </c>
      <c r="AC24" s="177">
        <f t="shared" si="10"/>
        <v>9.0188280691464076E-2</v>
      </c>
      <c r="AD24" s="180">
        <f t="shared" si="10"/>
        <v>0</v>
      </c>
      <c r="AE24" s="318">
        <f t="shared" si="11"/>
        <v>1.3541250032511083</v>
      </c>
      <c r="AF24" s="318">
        <f t="shared" si="11"/>
        <v>2.1166222995664592</v>
      </c>
      <c r="AG24" s="318">
        <f>AC24/(O24/60)</f>
        <v>3.972942029279011</v>
      </c>
      <c r="AH24" s="317" t="e">
        <f t="shared" si="7"/>
        <v>#DIV/0!</v>
      </c>
      <c r="AI24" s="483">
        <f t="shared" si="12"/>
        <v>2.5</v>
      </c>
      <c r="AJ24" s="483">
        <f t="shared" si="13"/>
        <v>2.6694658011503867</v>
      </c>
      <c r="AK24" s="145">
        <f t="shared" si="8"/>
        <v>6</v>
      </c>
      <c r="AL24" s="147">
        <f t="shared" si="8"/>
        <v>6</v>
      </c>
      <c r="AM24" s="51"/>
      <c r="AN24" s="51"/>
      <c r="AO24" s="51"/>
      <c r="AP24" s="51"/>
    </row>
    <row r="25" spans="1:44" ht="13.15" customHeight="1" x14ac:dyDescent="0.2">
      <c r="B25" s="44" t="s">
        <v>165</v>
      </c>
      <c r="C25" s="55">
        <f t="shared" ref="C25:P25" si="14">SUM(C17:C24)</f>
        <v>0.49427889774904599</v>
      </c>
      <c r="D25" s="55">
        <f t="shared" si="14"/>
        <v>0.50572110225095401</v>
      </c>
      <c r="E25" s="46">
        <f t="shared" si="14"/>
        <v>5.562788185038178</v>
      </c>
      <c r="F25" s="46">
        <f t="shared" si="14"/>
        <v>6.5622033293208508</v>
      </c>
      <c r="G25" s="51">
        <f t="shared" si="14"/>
        <v>0.34452300916528622</v>
      </c>
      <c r="H25" s="51">
        <f t="shared" si="14"/>
        <v>0.43564108222721287</v>
      </c>
      <c r="I25" s="46"/>
      <c r="J25" s="46"/>
      <c r="K25" s="46">
        <f t="shared" si="14"/>
        <v>21.301172279143159</v>
      </c>
      <c r="L25" s="46">
        <f t="shared" si="14"/>
        <v>7.4211005427494126</v>
      </c>
      <c r="M25" s="46">
        <f t="shared" si="14"/>
        <v>1.7112548972249837</v>
      </c>
      <c r="N25" s="46">
        <f t="shared" si="14"/>
        <v>0.53708206808890291</v>
      </c>
      <c r="O25" s="46">
        <f t="shared" si="14"/>
        <v>145.74832400086839</v>
      </c>
      <c r="P25" s="46">
        <f t="shared" si="14"/>
        <v>50.777156870690746</v>
      </c>
      <c r="Q25" s="46"/>
      <c r="R25" s="46"/>
      <c r="S25" s="46"/>
      <c r="T25" s="46"/>
      <c r="U25" s="51">
        <f>SUM(U17:U24)</f>
        <v>0.29813365526587848</v>
      </c>
      <c r="V25" s="51">
        <f>SUM(V17:V24)</f>
        <v>0.36474159958745284</v>
      </c>
      <c r="W25" s="131"/>
      <c r="X25" s="46"/>
      <c r="Y25" s="46"/>
      <c r="Z25" s="46"/>
      <c r="AA25" s="46">
        <f>SUM(AA17:AA24)</f>
        <v>1.7257317233684777</v>
      </c>
      <c r="AB25" s="51">
        <f>SUM(AB17:AB24)</f>
        <v>0.41770659856506215</v>
      </c>
      <c r="AC25" s="131"/>
      <c r="AD25" s="46"/>
      <c r="AE25" s="131"/>
      <c r="AI25" s="46"/>
      <c r="AJ25" s="135"/>
      <c r="AK25" s="46"/>
      <c r="AL25" s="135"/>
      <c r="AM25" s="46"/>
      <c r="AN25" s="46"/>
      <c r="AO25" s="46"/>
      <c r="AP25" s="46"/>
    </row>
    <row r="26" spans="1:44" ht="13.15" customHeight="1" x14ac:dyDescent="0.2">
      <c r="C26" s="55"/>
      <c r="D26" s="5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7"/>
      <c r="X26" s="46"/>
      <c r="Y26" s="46"/>
      <c r="Z26" s="46"/>
      <c r="AA26" s="46"/>
      <c r="AB26" s="46"/>
      <c r="AC26" s="47"/>
      <c r="AD26" s="46"/>
      <c r="AE26" s="46"/>
      <c r="AF26" s="46"/>
      <c r="AG26" s="46"/>
      <c r="AH26" s="46"/>
      <c r="AI26" s="46"/>
      <c r="AJ26" s="46"/>
      <c r="AK26" s="46"/>
      <c r="AL26" s="46"/>
      <c r="AQ26" s="131"/>
      <c r="AR26" s="131"/>
    </row>
    <row r="27" spans="1:44" ht="13.15" customHeight="1" x14ac:dyDescent="0.2">
      <c r="B27" s="158"/>
      <c r="C27" s="556" t="s">
        <v>155</v>
      </c>
      <c r="D27" s="556"/>
      <c r="E27" s="556"/>
      <c r="F27" s="556"/>
      <c r="G27" s="556"/>
      <c r="H27" s="556"/>
      <c r="I27" s="556"/>
      <c r="J27" s="556"/>
      <c r="K27" s="556"/>
      <c r="L27" s="556"/>
      <c r="M27" s="556"/>
      <c r="N27" s="556"/>
      <c r="O27" s="556"/>
      <c r="P27" s="556"/>
      <c r="Q27" s="557"/>
      <c r="R27" s="541" t="s">
        <v>162</v>
      </c>
      <c r="S27" s="537"/>
      <c r="T27" s="537"/>
      <c r="U27" s="537"/>
      <c r="V27" s="538"/>
      <c r="W27" s="537" t="s">
        <v>163</v>
      </c>
      <c r="X27" s="537"/>
      <c r="Y27" s="537"/>
      <c r="Z27" s="537"/>
      <c r="AA27" s="538"/>
      <c r="AB27" s="541" t="s">
        <v>87</v>
      </c>
      <c r="AC27" s="537"/>
      <c r="AD27" s="537"/>
      <c r="AE27" s="537"/>
      <c r="AF27" s="538"/>
      <c r="AG27" s="537" t="s">
        <v>88</v>
      </c>
      <c r="AH27" s="537"/>
      <c r="AI27" s="537"/>
      <c r="AJ27" s="537"/>
      <c r="AK27" s="538"/>
      <c r="AL27" s="541" t="s">
        <v>89</v>
      </c>
      <c r="AM27" s="537"/>
      <c r="AN27" s="537"/>
      <c r="AO27" s="537"/>
      <c r="AP27" s="538"/>
    </row>
    <row r="28" spans="1:44" ht="13.15" customHeight="1" x14ac:dyDescent="0.2">
      <c r="B28" s="121"/>
      <c r="C28" s="563" t="s">
        <v>0</v>
      </c>
      <c r="D28" s="565" t="s">
        <v>80</v>
      </c>
      <c r="E28" s="565" t="s">
        <v>164</v>
      </c>
      <c r="F28" s="567" t="s">
        <v>160</v>
      </c>
      <c r="G28" s="569" t="s">
        <v>161</v>
      </c>
      <c r="H28" s="542" t="s">
        <v>159</v>
      </c>
      <c r="I28" s="542"/>
      <c r="J28" s="542"/>
      <c r="K28" s="542"/>
      <c r="L28" s="543"/>
      <c r="M28" s="542" t="s">
        <v>156</v>
      </c>
      <c r="N28" s="542"/>
      <c r="O28" s="542"/>
      <c r="P28" s="542"/>
      <c r="Q28" s="543"/>
      <c r="R28" s="571">
        <v>0.1</v>
      </c>
      <c r="S28" s="535">
        <v>0.3</v>
      </c>
      <c r="T28" s="535">
        <v>0.5</v>
      </c>
      <c r="U28" s="535">
        <v>0.7</v>
      </c>
      <c r="V28" s="539">
        <v>0.9</v>
      </c>
      <c r="W28" s="533">
        <v>0.1</v>
      </c>
      <c r="X28" s="535">
        <v>0.3</v>
      </c>
      <c r="Y28" s="535">
        <v>0.5</v>
      </c>
      <c r="Z28" s="535">
        <v>0.7</v>
      </c>
      <c r="AA28" s="539">
        <v>0.9</v>
      </c>
      <c r="AB28" s="533">
        <v>0.1</v>
      </c>
      <c r="AC28" s="535">
        <v>0.3</v>
      </c>
      <c r="AD28" s="535">
        <v>0.5</v>
      </c>
      <c r="AE28" s="535">
        <v>0.7</v>
      </c>
      <c r="AF28" s="539">
        <v>0.9</v>
      </c>
      <c r="AG28" s="533">
        <v>0.1</v>
      </c>
      <c r="AH28" s="535">
        <v>0.3</v>
      </c>
      <c r="AI28" s="535">
        <v>0.5</v>
      </c>
      <c r="AJ28" s="535">
        <v>0.7</v>
      </c>
      <c r="AK28" s="539">
        <v>0.9</v>
      </c>
      <c r="AL28" s="533">
        <v>0.1</v>
      </c>
      <c r="AM28" s="535">
        <v>0.3</v>
      </c>
      <c r="AN28" s="535">
        <v>0.5</v>
      </c>
      <c r="AO28" s="535">
        <v>0.7</v>
      </c>
      <c r="AP28" s="539">
        <v>0.9</v>
      </c>
    </row>
    <row r="29" spans="1:44" ht="13.15" customHeight="1" x14ac:dyDescent="0.2">
      <c r="A29" s="131"/>
      <c r="B29" s="69"/>
      <c r="C29" s="564"/>
      <c r="D29" s="566"/>
      <c r="E29" s="566"/>
      <c r="F29" s="568"/>
      <c r="G29" s="570"/>
      <c r="H29" s="142">
        <v>0.1</v>
      </c>
      <c r="I29" s="142">
        <v>0.3</v>
      </c>
      <c r="J29" s="142">
        <v>0.5</v>
      </c>
      <c r="K29" s="142">
        <v>0.7</v>
      </c>
      <c r="L29" s="143">
        <v>0.9</v>
      </c>
      <c r="M29" s="142">
        <v>0.1</v>
      </c>
      <c r="N29" s="142">
        <v>0.3</v>
      </c>
      <c r="O29" s="142">
        <v>0.5</v>
      </c>
      <c r="P29" s="142">
        <v>0.7</v>
      </c>
      <c r="Q29" s="143">
        <v>0.9</v>
      </c>
      <c r="R29" s="572"/>
      <c r="S29" s="536"/>
      <c r="T29" s="536"/>
      <c r="U29" s="536"/>
      <c r="V29" s="540"/>
      <c r="W29" s="534"/>
      <c r="X29" s="536"/>
      <c r="Y29" s="536"/>
      <c r="Z29" s="536"/>
      <c r="AA29" s="540"/>
      <c r="AB29" s="534"/>
      <c r="AC29" s="536"/>
      <c r="AD29" s="536"/>
      <c r="AE29" s="536"/>
      <c r="AF29" s="540"/>
      <c r="AG29" s="534"/>
      <c r="AH29" s="536"/>
      <c r="AI29" s="536"/>
      <c r="AJ29" s="536"/>
      <c r="AK29" s="540"/>
      <c r="AL29" s="534"/>
      <c r="AM29" s="536"/>
      <c r="AN29" s="536"/>
      <c r="AO29" s="536"/>
      <c r="AP29" s="540"/>
    </row>
    <row r="30" spans="1:44" ht="13.15" customHeight="1" x14ac:dyDescent="0.2">
      <c r="A30" s="131"/>
      <c r="B30" s="121" t="s">
        <v>154</v>
      </c>
      <c r="C30" s="131"/>
      <c r="D30" s="46">
        <f>G7</f>
        <v>69.316884350754322</v>
      </c>
      <c r="E30" s="46">
        <f t="shared" ref="E30:E46" si="15">D30*$G$8</f>
        <v>127.62998710273453</v>
      </c>
      <c r="F30" s="51">
        <f t="shared" ref="F30:F46" si="16">LN(D30)-(1/2*(LN(1+(E30/D30)^2)))</f>
        <v>3.4989992913546972</v>
      </c>
      <c r="G30" s="183">
        <f t="shared" ref="G30:G46" si="17">SQRT((LN(1+(E30/D30)^2)))</f>
        <v>1.216297025064548</v>
      </c>
      <c r="H30" s="47">
        <f t="shared" ref="H30:H46" si="18">NORMINV(M$29,$F30,$G30)</f>
        <v>1.9402519347159854</v>
      </c>
      <c r="I30" s="47">
        <f t="shared" ref="I30:I46" si="19">NORMINV(N$29,$F30,$G30)</f>
        <v>2.8611725078055832</v>
      </c>
      <c r="J30" s="47">
        <f t="shared" ref="J30:J46" si="20">NORMINV(O$29,$F30,$G30)</f>
        <v>3.4989992913546972</v>
      </c>
      <c r="K30" s="47">
        <f t="shared" ref="K30:K46" si="21">NORMINV(P$29,$F30,$G30)</f>
        <v>4.1368260749038113</v>
      </c>
      <c r="L30" s="139">
        <f t="shared" ref="L30:L46" si="22">NORMINV(Q$29,$F30,$G30)</f>
        <v>5.057746647993409</v>
      </c>
      <c r="M30" s="47">
        <f t="shared" ref="M30:Q46" si="23">EXP(H30)</f>
        <v>6.960504342445013</v>
      </c>
      <c r="N30" s="47">
        <f t="shared" si="23"/>
        <v>17.482012720734499</v>
      </c>
      <c r="O30" s="47">
        <f t="shared" si="23"/>
        <v>33.082329615295947</v>
      </c>
      <c r="P30" s="47">
        <f t="shared" si="23"/>
        <v>62.603805995234666</v>
      </c>
      <c r="Q30" s="139">
        <f t="shared" si="23"/>
        <v>157.23580920727412</v>
      </c>
      <c r="R30" s="46">
        <f>M30*(1-($G$6/$G$7))</f>
        <v>5.4157367840060635</v>
      </c>
      <c r="S30" s="46">
        <f>N30*(1-($G$6/$G$7))</f>
        <v>13.602172298463973</v>
      </c>
      <c r="T30" s="46">
        <f>O30*(1-($G$6/$G$7))</f>
        <v>25.74025969722133</v>
      </c>
      <c r="U30" s="46">
        <f>P30*(1-($G$6/$G$7))</f>
        <v>48.709937996831314</v>
      </c>
      <c r="V30" s="154">
        <f>Q30*(1-($G$6/$G$7))</f>
        <v>122.33995035303303</v>
      </c>
      <c r="W30" s="47">
        <f t="shared" ref="W30:AA46" si="24">M30-R30</f>
        <v>1.5447675584389495</v>
      </c>
      <c r="X30" s="47">
        <f t="shared" si="24"/>
        <v>3.8798404222705258</v>
      </c>
      <c r="Y30" s="47">
        <f t="shared" si="24"/>
        <v>7.3420699180746176</v>
      </c>
      <c r="Z30" s="47">
        <f t="shared" si="24"/>
        <v>13.893867998403351</v>
      </c>
      <c r="AA30" s="139">
        <f t="shared" si="24"/>
        <v>34.895858854241084</v>
      </c>
      <c r="AB30" s="185"/>
      <c r="AC30" s="185"/>
      <c r="AD30" s="185"/>
      <c r="AE30" s="185"/>
      <c r="AF30" s="186"/>
      <c r="AG30" s="185"/>
      <c r="AH30" s="185"/>
      <c r="AI30" s="185"/>
      <c r="AJ30" s="185"/>
      <c r="AK30" s="186"/>
      <c r="AL30" s="185"/>
      <c r="AM30" s="185"/>
      <c r="AN30" s="185"/>
      <c r="AO30" s="185"/>
      <c r="AP30" s="186"/>
    </row>
    <row r="31" spans="1:44" ht="13.15" customHeight="1" x14ac:dyDescent="0.2">
      <c r="A31" s="131"/>
      <c r="B31" s="526" t="s">
        <v>90</v>
      </c>
      <c r="C31" s="120" t="s">
        <v>9</v>
      </c>
      <c r="D31" s="46">
        <f t="shared" ref="D31:D38" si="25">I17+O17</f>
        <v>87.664258316869919</v>
      </c>
      <c r="E31" s="46">
        <f t="shared" si="15"/>
        <v>161.41216188738207</v>
      </c>
      <c r="F31" s="51">
        <f t="shared" si="16"/>
        <v>3.7338250448711818</v>
      </c>
      <c r="G31" s="141">
        <f t="shared" si="17"/>
        <v>1.216297025064548</v>
      </c>
      <c r="H31" s="47">
        <f t="shared" si="18"/>
        <v>2.1750776882324701</v>
      </c>
      <c r="I31" s="47">
        <f t="shared" si="19"/>
        <v>3.0959982613220678</v>
      </c>
      <c r="J31" s="47">
        <f t="shared" si="20"/>
        <v>3.7338250448711818</v>
      </c>
      <c r="K31" s="47">
        <f t="shared" si="21"/>
        <v>4.3716518284202959</v>
      </c>
      <c r="L31" s="139">
        <f t="shared" si="22"/>
        <v>5.2925724015098936</v>
      </c>
      <c r="M31" s="47">
        <f t="shared" si="23"/>
        <v>8.8028689749549365</v>
      </c>
      <c r="N31" s="47">
        <f t="shared" si="23"/>
        <v>22.109298382401949</v>
      </c>
      <c r="O31" s="47">
        <f t="shared" si="23"/>
        <v>41.838837914929748</v>
      </c>
      <c r="P31" s="47">
        <f t="shared" si="23"/>
        <v>79.174306112991644</v>
      </c>
      <c r="Q31" s="139">
        <f t="shared" si="23"/>
        <v>198.85430114342057</v>
      </c>
      <c r="R31" s="46">
        <f t="shared" ref="R31:V38" si="26">M31*(1-$Q17)</f>
        <v>8.6374019231233028</v>
      </c>
      <c r="S31" s="46">
        <f t="shared" si="26"/>
        <v>21.693711096960079</v>
      </c>
      <c r="T31" s="46">
        <f t="shared" si="26"/>
        <v>41.052395542387167</v>
      </c>
      <c r="U31" s="46">
        <f t="shared" si="26"/>
        <v>77.686070964813823</v>
      </c>
      <c r="V31" s="147">
        <f t="shared" si="26"/>
        <v>195.11644760409646</v>
      </c>
      <c r="W31" s="47">
        <f t="shared" si="24"/>
        <v>0.16546705183163368</v>
      </c>
      <c r="X31" s="47">
        <f t="shared" si="24"/>
        <v>0.41558728544186962</v>
      </c>
      <c r="Y31" s="47">
        <f t="shared" si="24"/>
        <v>0.78644237254258087</v>
      </c>
      <c r="Z31" s="47">
        <f t="shared" si="24"/>
        <v>1.4882351481778215</v>
      </c>
      <c r="AA31" s="139">
        <f t="shared" si="24"/>
        <v>3.7378535393241066</v>
      </c>
      <c r="AB31" s="187">
        <f t="shared" ref="AB31:AF38" si="27">R31*$AI17/60</f>
        <v>0.3598917467968043</v>
      </c>
      <c r="AC31" s="187">
        <f t="shared" si="27"/>
        <v>0.90390462904000324</v>
      </c>
      <c r="AD31" s="187">
        <f t="shared" si="27"/>
        <v>1.7105164809327986</v>
      </c>
      <c r="AE31" s="187">
        <f t="shared" si="27"/>
        <v>3.2369196235339093</v>
      </c>
      <c r="AF31" s="188">
        <f t="shared" si="27"/>
        <v>8.1298519835040199</v>
      </c>
      <c r="AG31" s="187">
        <f t="shared" ref="AG31:AK38" si="28">W31*$AK17/60</f>
        <v>1.6546705183163368E-2</v>
      </c>
      <c r="AH31" s="187">
        <f t="shared" si="28"/>
        <v>4.1558728544186962E-2</v>
      </c>
      <c r="AI31" s="187">
        <f t="shared" si="28"/>
        <v>7.8644237254258093E-2</v>
      </c>
      <c r="AJ31" s="187">
        <f t="shared" si="28"/>
        <v>0.14882351481778217</v>
      </c>
      <c r="AK31" s="188">
        <f t="shared" si="28"/>
        <v>0.37378535393241064</v>
      </c>
      <c r="AL31" s="189">
        <f>AB31+AG31</f>
        <v>0.37643845197996767</v>
      </c>
      <c r="AM31" s="189">
        <f t="shared" ref="AM31:AP46" si="29">AC31+AH31</f>
        <v>0.9454633575841902</v>
      </c>
      <c r="AN31" s="189">
        <f t="shared" si="29"/>
        <v>1.7891607181870568</v>
      </c>
      <c r="AO31" s="189">
        <f t="shared" si="29"/>
        <v>3.3857431383516916</v>
      </c>
      <c r="AP31" s="190">
        <f t="shared" si="29"/>
        <v>8.5036373374364302</v>
      </c>
    </row>
    <row r="32" spans="1:44" ht="13.15" customHeight="1" x14ac:dyDescent="0.2">
      <c r="A32" s="131"/>
      <c r="B32" s="526"/>
      <c r="C32" s="120" t="s">
        <v>86</v>
      </c>
      <c r="D32" s="46">
        <f t="shared" si="25"/>
        <v>104.03582666675321</v>
      </c>
      <c r="E32" s="46">
        <f t="shared" si="15"/>
        <v>191.55637677698857</v>
      </c>
      <c r="F32" s="51">
        <f t="shared" si="16"/>
        <v>3.9050461004091721</v>
      </c>
      <c r="G32" s="141">
        <f t="shared" si="17"/>
        <v>1.216297025064548</v>
      </c>
      <c r="H32" s="47">
        <f t="shared" si="18"/>
        <v>2.3462987437704603</v>
      </c>
      <c r="I32" s="47">
        <f t="shared" si="19"/>
        <v>3.2672193168600581</v>
      </c>
      <c r="J32" s="47">
        <f t="shared" si="20"/>
        <v>3.9050461004091721</v>
      </c>
      <c r="K32" s="47">
        <f t="shared" si="21"/>
        <v>4.5428728839582861</v>
      </c>
      <c r="L32" s="139">
        <f t="shared" si="22"/>
        <v>5.4637934570478839</v>
      </c>
      <c r="M32" s="47">
        <f t="shared" si="23"/>
        <v>10.446831678404948</v>
      </c>
      <c r="N32" s="47">
        <f t="shared" si="23"/>
        <v>26.238277473596764</v>
      </c>
      <c r="O32" s="47">
        <f t="shared" si="23"/>
        <v>49.652368853936693</v>
      </c>
      <c r="P32" s="47">
        <f t="shared" si="23"/>
        <v>93.960349923436851</v>
      </c>
      <c r="Q32" s="139">
        <f t="shared" si="23"/>
        <v>235.99095005078135</v>
      </c>
      <c r="R32" s="46">
        <f t="shared" si="26"/>
        <v>7.2656798976307453</v>
      </c>
      <c r="S32" s="46">
        <f t="shared" si="26"/>
        <v>18.248492084202596</v>
      </c>
      <c r="T32" s="46">
        <f t="shared" si="26"/>
        <v>34.532787485944866</v>
      </c>
      <c r="U32" s="46">
        <f t="shared" si="26"/>
        <v>65.34860009511516</v>
      </c>
      <c r="V32" s="147">
        <f t="shared" si="26"/>
        <v>164.12963801753708</v>
      </c>
      <c r="W32" s="47">
        <f t="shared" si="24"/>
        <v>3.1811517807742025</v>
      </c>
      <c r="X32" s="47">
        <f t="shared" si="24"/>
        <v>7.9897853893941679</v>
      </c>
      <c r="Y32" s="47">
        <f t="shared" si="24"/>
        <v>15.119581367991827</v>
      </c>
      <c r="Z32" s="47">
        <f t="shared" si="24"/>
        <v>28.611749828321692</v>
      </c>
      <c r="AA32" s="139">
        <f t="shared" si="24"/>
        <v>71.861312033244275</v>
      </c>
      <c r="AB32" s="187">
        <f t="shared" si="27"/>
        <v>0.44319842106512564</v>
      </c>
      <c r="AC32" s="187">
        <f t="shared" si="27"/>
        <v>1.1131377919876901</v>
      </c>
      <c r="AD32" s="187">
        <f t="shared" si="27"/>
        <v>2.1064617633016063</v>
      </c>
      <c r="AE32" s="187">
        <f t="shared" si="27"/>
        <v>3.9861921787134693</v>
      </c>
      <c r="AF32" s="188">
        <f t="shared" si="27"/>
        <v>10.011726011089943</v>
      </c>
      <c r="AG32" s="187">
        <f t="shared" si="28"/>
        <v>0.31811517807742024</v>
      </c>
      <c r="AH32" s="187">
        <f t="shared" si="28"/>
        <v>0.79897853893941684</v>
      </c>
      <c r="AI32" s="187">
        <f t="shared" si="28"/>
        <v>1.5119581367991828</v>
      </c>
      <c r="AJ32" s="187">
        <f t="shared" si="28"/>
        <v>2.8611749828321691</v>
      </c>
      <c r="AK32" s="188">
        <f t="shared" si="28"/>
        <v>7.1861312033244271</v>
      </c>
      <c r="AL32" s="189">
        <f t="shared" ref="AL32:AL46" si="30">AB32+AG32</f>
        <v>0.76131359914254593</v>
      </c>
      <c r="AM32" s="189">
        <f t="shared" si="29"/>
        <v>1.912116330927107</v>
      </c>
      <c r="AN32" s="189">
        <f t="shared" si="29"/>
        <v>3.6184199001007888</v>
      </c>
      <c r="AO32" s="189">
        <f t="shared" si="29"/>
        <v>6.8473671615456384</v>
      </c>
      <c r="AP32" s="190">
        <f t="shared" si="29"/>
        <v>17.19785721441437</v>
      </c>
    </row>
    <row r="33" spans="1:42" ht="13.15" customHeight="1" x14ac:dyDescent="0.2">
      <c r="A33" s="131"/>
      <c r="B33" s="526"/>
      <c r="C33" s="120" t="s">
        <v>61</v>
      </c>
      <c r="D33" s="46">
        <f t="shared" si="25"/>
        <v>79.967377711680626</v>
      </c>
      <c r="E33" s="46">
        <f t="shared" si="15"/>
        <v>147.24025007148541</v>
      </c>
      <c r="F33" s="51">
        <f t="shared" si="16"/>
        <v>3.6419295463151506</v>
      </c>
      <c r="G33" s="141">
        <f t="shared" si="17"/>
        <v>1.216297025064548</v>
      </c>
      <c r="H33" s="47">
        <f t="shared" si="18"/>
        <v>2.0831821896764389</v>
      </c>
      <c r="I33" s="47">
        <f t="shared" si="19"/>
        <v>3.0041027627660366</v>
      </c>
      <c r="J33" s="47">
        <f t="shared" si="20"/>
        <v>3.6419295463151506</v>
      </c>
      <c r="K33" s="47">
        <f t="shared" si="21"/>
        <v>4.2797563298642647</v>
      </c>
      <c r="L33" s="139">
        <f t="shared" si="22"/>
        <v>5.2006769029538624</v>
      </c>
      <c r="M33" s="47">
        <f t="shared" si="23"/>
        <v>8.0299812236156338</v>
      </c>
      <c r="N33" s="47">
        <f t="shared" si="23"/>
        <v>20.168112394165448</v>
      </c>
      <c r="O33" s="47">
        <f t="shared" si="23"/>
        <v>38.16540764501196</v>
      </c>
      <c r="P33" s="47">
        <f t="shared" si="23"/>
        <v>72.22283931397196</v>
      </c>
      <c r="Q33" s="139">
        <f t="shared" si="23"/>
        <v>181.39498712975563</v>
      </c>
      <c r="R33" s="46">
        <f t="shared" si="26"/>
        <v>5.1049698699233925</v>
      </c>
      <c r="S33" s="46">
        <f t="shared" si="26"/>
        <v>12.821649669945899</v>
      </c>
      <c r="T33" s="46">
        <f t="shared" si="26"/>
        <v>24.26322685887963</v>
      </c>
      <c r="U33" s="46">
        <f t="shared" si="26"/>
        <v>45.91485438768364</v>
      </c>
      <c r="V33" s="147">
        <f t="shared" si="26"/>
        <v>115.31981433894187</v>
      </c>
      <c r="W33" s="47">
        <f t="shared" si="24"/>
        <v>2.9250113536922413</v>
      </c>
      <c r="X33" s="47">
        <f t="shared" si="24"/>
        <v>7.346462724219549</v>
      </c>
      <c r="Y33" s="47">
        <f t="shared" si="24"/>
        <v>13.90218078613233</v>
      </c>
      <c r="Z33" s="47">
        <f t="shared" si="24"/>
        <v>26.30798492628832</v>
      </c>
      <c r="AA33" s="139">
        <f t="shared" si="24"/>
        <v>66.075172790813767</v>
      </c>
      <c r="AB33" s="187">
        <f t="shared" si="27"/>
        <v>0.29261766558372126</v>
      </c>
      <c r="AC33" s="187">
        <f t="shared" si="27"/>
        <v>0.73493894987634101</v>
      </c>
      <c r="AD33" s="187">
        <f t="shared" si="27"/>
        <v>1.3907719308596325</v>
      </c>
      <c r="AE33" s="187">
        <f t="shared" si="27"/>
        <v>2.6318465826208861</v>
      </c>
      <c r="AF33" s="188">
        <f t="shared" si="27"/>
        <v>6.610149663413333</v>
      </c>
      <c r="AG33" s="187">
        <f t="shared" si="28"/>
        <v>0.29250113536922412</v>
      </c>
      <c r="AH33" s="187">
        <f t="shared" si="28"/>
        <v>0.7346462724219549</v>
      </c>
      <c r="AI33" s="187">
        <f t="shared" si="28"/>
        <v>1.390218078613233</v>
      </c>
      <c r="AJ33" s="187">
        <f t="shared" si="28"/>
        <v>2.6307984926288319</v>
      </c>
      <c r="AK33" s="188">
        <f t="shared" si="28"/>
        <v>6.6075172790813763</v>
      </c>
      <c r="AL33" s="189">
        <f t="shared" si="30"/>
        <v>0.58511880095294533</v>
      </c>
      <c r="AM33" s="189">
        <f t="shared" si="29"/>
        <v>1.4695852222982959</v>
      </c>
      <c r="AN33" s="189">
        <f t="shared" si="29"/>
        <v>2.7809900094728652</v>
      </c>
      <c r="AO33" s="189">
        <f t="shared" si="29"/>
        <v>5.2626450752497185</v>
      </c>
      <c r="AP33" s="190">
        <f t="shared" si="29"/>
        <v>13.217666942494709</v>
      </c>
    </row>
    <row r="34" spans="1:42" ht="13.15" customHeight="1" x14ac:dyDescent="0.2">
      <c r="A34" s="131"/>
      <c r="B34" s="526"/>
      <c r="C34" s="120" t="s">
        <v>62</v>
      </c>
      <c r="D34" s="46">
        <f t="shared" si="25"/>
        <v>68.516814608943207</v>
      </c>
      <c r="E34" s="46">
        <f t="shared" si="15"/>
        <v>126.15685553046228</v>
      </c>
      <c r="F34" s="51">
        <f t="shared" si="16"/>
        <v>3.4873899572989187</v>
      </c>
      <c r="G34" s="141">
        <f t="shared" si="17"/>
        <v>1.216297025064548</v>
      </c>
      <c r="H34" s="47">
        <f t="shared" si="18"/>
        <v>1.9286426006602069</v>
      </c>
      <c r="I34" s="47">
        <f t="shared" si="19"/>
        <v>2.8495631737498046</v>
      </c>
      <c r="J34" s="47">
        <f t="shared" si="20"/>
        <v>3.4873899572989187</v>
      </c>
      <c r="K34" s="47">
        <f t="shared" si="21"/>
        <v>4.1252167408480327</v>
      </c>
      <c r="L34" s="139">
        <f t="shared" si="22"/>
        <v>5.0461373139376304</v>
      </c>
      <c r="M34" s="47">
        <f t="shared" si="23"/>
        <v>6.8801647691318841</v>
      </c>
      <c r="N34" s="47">
        <f t="shared" si="23"/>
        <v>17.280231732814716</v>
      </c>
      <c r="O34" s="47">
        <f t="shared" si="23"/>
        <v>32.700486559859598</v>
      </c>
      <c r="P34" s="47">
        <f t="shared" si="23"/>
        <v>61.881219985085245</v>
      </c>
      <c r="Q34" s="139">
        <f t="shared" si="23"/>
        <v>155.4209611445805</v>
      </c>
      <c r="R34" s="46">
        <f t="shared" si="26"/>
        <v>4.3934721184837384</v>
      </c>
      <c r="S34" s="46">
        <f t="shared" si="26"/>
        <v>11.034650893780666</v>
      </c>
      <c r="T34" s="46">
        <f t="shared" si="26"/>
        <v>20.881574901544546</v>
      </c>
      <c r="U34" s="46">
        <f t="shared" si="26"/>
        <v>39.515538331581965</v>
      </c>
      <c r="V34" s="147">
        <f t="shared" si="26"/>
        <v>99.247282925582766</v>
      </c>
      <c r="W34" s="47">
        <f t="shared" si="24"/>
        <v>2.4866926506481457</v>
      </c>
      <c r="X34" s="47">
        <f t="shared" si="24"/>
        <v>6.2455808390340497</v>
      </c>
      <c r="Y34" s="47">
        <f t="shared" si="24"/>
        <v>11.818911658315052</v>
      </c>
      <c r="Z34" s="47">
        <f t="shared" si="24"/>
        <v>22.36568165350328</v>
      </c>
      <c r="AA34" s="139">
        <f t="shared" si="24"/>
        <v>56.173678218997736</v>
      </c>
      <c r="AB34" s="187">
        <f t="shared" si="27"/>
        <v>0.25591864732925917</v>
      </c>
      <c r="AC34" s="187">
        <f t="shared" si="27"/>
        <v>0.64276564282864945</v>
      </c>
      <c r="AD34" s="187">
        <f t="shared" si="27"/>
        <v>1.2163464928854919</v>
      </c>
      <c r="AE34" s="187">
        <f t="shared" si="27"/>
        <v>2.3017701821210221</v>
      </c>
      <c r="AF34" s="188">
        <f t="shared" si="27"/>
        <v>5.781129301028801</v>
      </c>
      <c r="AG34" s="187">
        <f t="shared" si="28"/>
        <v>0.24866926506481457</v>
      </c>
      <c r="AH34" s="187">
        <f t="shared" si="28"/>
        <v>0.62455808390340506</v>
      </c>
      <c r="AI34" s="187">
        <f t="shared" si="28"/>
        <v>1.1818911658315052</v>
      </c>
      <c r="AJ34" s="187">
        <f t="shared" si="28"/>
        <v>2.2365681653503278</v>
      </c>
      <c r="AK34" s="188">
        <f t="shared" si="28"/>
        <v>5.6173678218997738</v>
      </c>
      <c r="AL34" s="189">
        <f t="shared" si="30"/>
        <v>0.50458791239407375</v>
      </c>
      <c r="AM34" s="189">
        <f t="shared" si="29"/>
        <v>1.2673237267320545</v>
      </c>
      <c r="AN34" s="189">
        <f t="shared" si="29"/>
        <v>2.3982376587169973</v>
      </c>
      <c r="AO34" s="189">
        <f t="shared" si="29"/>
        <v>4.5383383474713499</v>
      </c>
      <c r="AP34" s="190">
        <f t="shared" si="29"/>
        <v>11.398497122928575</v>
      </c>
    </row>
    <row r="35" spans="1:42" ht="13.15" customHeight="1" x14ac:dyDescent="0.2">
      <c r="A35" s="131"/>
      <c r="B35" s="526"/>
      <c r="C35" s="120" t="s">
        <v>63</v>
      </c>
      <c r="D35" s="46">
        <f t="shared" si="25"/>
        <v>57.546346953978293</v>
      </c>
      <c r="E35" s="46">
        <f t="shared" si="15"/>
        <v>105.95743862895954</v>
      </c>
      <c r="F35" s="51">
        <f t="shared" si="16"/>
        <v>3.3129014305241631</v>
      </c>
      <c r="G35" s="141">
        <f t="shared" si="17"/>
        <v>1.216297025064548</v>
      </c>
      <c r="H35" s="47">
        <f t="shared" si="18"/>
        <v>1.7541540738854513</v>
      </c>
      <c r="I35" s="47">
        <f t="shared" si="19"/>
        <v>2.675074646975049</v>
      </c>
      <c r="J35" s="47">
        <f t="shared" si="20"/>
        <v>3.3129014305241631</v>
      </c>
      <c r="K35" s="47">
        <f t="shared" si="21"/>
        <v>3.9507282140732767</v>
      </c>
      <c r="L35" s="139">
        <f t="shared" si="22"/>
        <v>4.8716487871628749</v>
      </c>
      <c r="M35" s="47">
        <f t="shared" si="23"/>
        <v>5.7785574411879113</v>
      </c>
      <c r="N35" s="47">
        <f t="shared" si="23"/>
        <v>14.513433183040947</v>
      </c>
      <c r="O35" s="47">
        <f t="shared" si="23"/>
        <v>27.4646968905055</v>
      </c>
      <c r="P35" s="47">
        <f t="shared" si="23"/>
        <v>51.973200673756395</v>
      </c>
      <c r="Q35" s="139">
        <f t="shared" si="23"/>
        <v>130.53596558733477</v>
      </c>
      <c r="R35" s="46">
        <f t="shared" si="26"/>
        <v>3.0072376437380992</v>
      </c>
      <c r="S35" s="46">
        <f t="shared" si="26"/>
        <v>7.5529823925997226</v>
      </c>
      <c r="T35" s="46">
        <f t="shared" si="26"/>
        <v>14.292991149363059</v>
      </c>
      <c r="U35" s="46">
        <f t="shared" si="26"/>
        <v>27.047540345907596</v>
      </c>
      <c r="V35" s="147">
        <f t="shared" si="26"/>
        <v>67.932641246746229</v>
      </c>
      <c r="W35" s="47">
        <f t="shared" si="24"/>
        <v>2.7713197974498121</v>
      </c>
      <c r="X35" s="47">
        <f t="shared" si="24"/>
        <v>6.9604507904412243</v>
      </c>
      <c r="Y35" s="47">
        <f t="shared" si="24"/>
        <v>13.171705741142441</v>
      </c>
      <c r="Z35" s="47">
        <f t="shared" si="24"/>
        <v>24.925660327848799</v>
      </c>
      <c r="AA35" s="139">
        <f t="shared" si="24"/>
        <v>62.603324340588543</v>
      </c>
      <c r="AB35" s="187">
        <f t="shared" si="27"/>
        <v>0.14610728115677843</v>
      </c>
      <c r="AC35" s="187">
        <f t="shared" si="27"/>
        <v>0.36696325756152071</v>
      </c>
      <c r="AD35" s="187">
        <f t="shared" si="27"/>
        <v>0.69442801794523079</v>
      </c>
      <c r="AE35" s="187">
        <f t="shared" si="27"/>
        <v>1.3141105060811071</v>
      </c>
      <c r="AF35" s="188">
        <f t="shared" si="27"/>
        <v>3.3005218377165684</v>
      </c>
      <c r="AG35" s="187">
        <f t="shared" si="28"/>
        <v>0.27713197974498116</v>
      </c>
      <c r="AH35" s="187">
        <f t="shared" si="28"/>
        <v>0.69604507904412238</v>
      </c>
      <c r="AI35" s="187">
        <f t="shared" si="28"/>
        <v>1.3171705741142441</v>
      </c>
      <c r="AJ35" s="187">
        <f t="shared" si="28"/>
        <v>2.4925660327848798</v>
      </c>
      <c r="AK35" s="188">
        <f t="shared" si="28"/>
        <v>6.2603324340588546</v>
      </c>
      <c r="AL35" s="189">
        <f t="shared" si="30"/>
        <v>0.42323926090175956</v>
      </c>
      <c r="AM35" s="189">
        <f t="shared" si="29"/>
        <v>1.0630083366056431</v>
      </c>
      <c r="AN35" s="189">
        <f t="shared" si="29"/>
        <v>2.011598592059475</v>
      </c>
      <c r="AO35" s="189">
        <f t="shared" si="29"/>
        <v>3.8066765388659869</v>
      </c>
      <c r="AP35" s="190">
        <f t="shared" si="29"/>
        <v>9.5608542717754226</v>
      </c>
    </row>
    <row r="36" spans="1:42" ht="13.15" customHeight="1" x14ac:dyDescent="0.2">
      <c r="A36" s="131"/>
      <c r="B36" s="526"/>
      <c r="C36" s="120" t="s">
        <v>64</v>
      </c>
      <c r="D36" s="46">
        <f t="shared" si="25"/>
        <v>56.65615618697116</v>
      </c>
      <c r="E36" s="46">
        <f t="shared" si="15"/>
        <v>104.31837136307978</v>
      </c>
      <c r="F36" s="51">
        <f t="shared" si="16"/>
        <v>3.2973114255349003</v>
      </c>
      <c r="G36" s="141">
        <f t="shared" si="17"/>
        <v>1.216297025064548</v>
      </c>
      <c r="H36" s="47">
        <f t="shared" si="18"/>
        <v>1.7385640688961885</v>
      </c>
      <c r="I36" s="47">
        <f t="shared" si="19"/>
        <v>2.6594846419857863</v>
      </c>
      <c r="J36" s="47">
        <f t="shared" si="20"/>
        <v>3.2973114255349003</v>
      </c>
      <c r="K36" s="47">
        <f t="shared" si="21"/>
        <v>3.9351382090840139</v>
      </c>
      <c r="L36" s="139">
        <f t="shared" si="22"/>
        <v>4.8560587821736121</v>
      </c>
      <c r="M36" s="47">
        <f t="shared" si="23"/>
        <v>5.6891683009027822</v>
      </c>
      <c r="N36" s="47">
        <f t="shared" si="23"/>
        <v>14.288923289694452</v>
      </c>
      <c r="O36" s="47">
        <f t="shared" si="23"/>
        <v>27.039842475156945</v>
      </c>
      <c r="P36" s="47">
        <f t="shared" si="23"/>
        <v>51.169221519204896</v>
      </c>
      <c r="Q36" s="139">
        <f t="shared" si="23"/>
        <v>128.51669038605854</v>
      </c>
      <c r="R36" s="46">
        <f t="shared" si="26"/>
        <v>3.8338372713444624</v>
      </c>
      <c r="S36" s="46">
        <f t="shared" si="26"/>
        <v>9.6290712065451753</v>
      </c>
      <c r="T36" s="46">
        <f t="shared" si="26"/>
        <v>18.221706655450774</v>
      </c>
      <c r="U36" s="46">
        <f t="shared" si="26"/>
        <v>34.482099707769066</v>
      </c>
      <c r="V36" s="147">
        <f t="shared" si="26"/>
        <v>86.605291236281772</v>
      </c>
      <c r="W36" s="47">
        <f t="shared" si="24"/>
        <v>1.8553310295583199</v>
      </c>
      <c r="X36" s="47">
        <f t="shared" si="24"/>
        <v>4.6598520831492767</v>
      </c>
      <c r="Y36" s="47">
        <f t="shared" si="24"/>
        <v>8.8181358197061712</v>
      </c>
      <c r="Z36" s="47">
        <f t="shared" si="24"/>
        <v>16.68712181143583</v>
      </c>
      <c r="AA36" s="139">
        <f t="shared" si="24"/>
        <v>41.91139914977677</v>
      </c>
      <c r="AB36" s="187">
        <f t="shared" si="27"/>
        <v>0.15974321963935262</v>
      </c>
      <c r="AC36" s="187">
        <f t="shared" si="27"/>
        <v>0.40121130027271568</v>
      </c>
      <c r="AD36" s="187">
        <f t="shared" si="27"/>
        <v>0.75923777731044895</v>
      </c>
      <c r="AE36" s="187">
        <f t="shared" si="27"/>
        <v>1.4367541544903777</v>
      </c>
      <c r="AF36" s="188">
        <f t="shared" si="27"/>
        <v>3.6085538015117407</v>
      </c>
      <c r="AG36" s="187">
        <f t="shared" si="28"/>
        <v>0.18553310295583197</v>
      </c>
      <c r="AH36" s="187">
        <f t="shared" si="28"/>
        <v>0.46598520831492768</v>
      </c>
      <c r="AI36" s="187">
        <f t="shared" si="28"/>
        <v>0.8818135819706171</v>
      </c>
      <c r="AJ36" s="187">
        <f t="shared" si="28"/>
        <v>1.668712181143583</v>
      </c>
      <c r="AK36" s="188">
        <f t="shared" si="28"/>
        <v>4.1911399149776773</v>
      </c>
      <c r="AL36" s="189">
        <f t="shared" si="30"/>
        <v>0.34527632259518459</v>
      </c>
      <c r="AM36" s="189">
        <f t="shared" si="29"/>
        <v>0.86719650858764341</v>
      </c>
      <c r="AN36" s="189">
        <f t="shared" si="29"/>
        <v>1.641051359281066</v>
      </c>
      <c r="AO36" s="189">
        <f t="shared" si="29"/>
        <v>3.1054663356339605</v>
      </c>
      <c r="AP36" s="190">
        <f t="shared" si="29"/>
        <v>7.7996937164894184</v>
      </c>
    </row>
    <row r="37" spans="1:42" ht="13.15" customHeight="1" x14ac:dyDescent="0.2">
      <c r="A37" s="131"/>
      <c r="B37" s="526"/>
      <c r="C37" s="120" t="s">
        <v>65</v>
      </c>
      <c r="D37" s="46">
        <f t="shared" si="25"/>
        <v>32.112323545342605</v>
      </c>
      <c r="E37" s="46">
        <f t="shared" si="15"/>
        <v>59.126942567006971</v>
      </c>
      <c r="F37" s="51">
        <f t="shared" si="16"/>
        <v>2.7295506409403996</v>
      </c>
      <c r="G37" s="141">
        <f t="shared" si="17"/>
        <v>1.216297025064548</v>
      </c>
      <c r="H37" s="47">
        <f t="shared" si="18"/>
        <v>1.1708032843016878</v>
      </c>
      <c r="I37" s="47">
        <f t="shared" si="19"/>
        <v>2.091723857391286</v>
      </c>
      <c r="J37" s="47">
        <f t="shared" si="20"/>
        <v>2.7295506409403996</v>
      </c>
      <c r="K37" s="47">
        <f t="shared" si="21"/>
        <v>3.3673774244895132</v>
      </c>
      <c r="L37" s="139">
        <f t="shared" si="22"/>
        <v>4.2882979975791109</v>
      </c>
      <c r="M37" s="47">
        <f t="shared" si="23"/>
        <v>3.2245818544342013</v>
      </c>
      <c r="N37" s="47">
        <f t="shared" si="23"/>
        <v>8.0988644248825423</v>
      </c>
      <c r="O37" s="47">
        <f t="shared" si="23"/>
        <v>15.325998596018723</v>
      </c>
      <c r="P37" s="47">
        <f t="shared" si="23"/>
        <v>29.002366337126873</v>
      </c>
      <c r="Q37" s="139">
        <f t="shared" si="23"/>
        <v>72.842385018748999</v>
      </c>
      <c r="R37" s="46">
        <f t="shared" si="26"/>
        <v>2.1109036795344522</v>
      </c>
      <c r="S37" s="46">
        <f t="shared" si="26"/>
        <v>5.301748718528021</v>
      </c>
      <c r="T37" s="46">
        <f t="shared" si="26"/>
        <v>10.032837834272419</v>
      </c>
      <c r="U37" s="46">
        <f t="shared" si="26"/>
        <v>18.985780042165928</v>
      </c>
      <c r="V37" s="147">
        <f t="shared" si="26"/>
        <v>47.684712469214858</v>
      </c>
      <c r="W37" s="47">
        <f t="shared" si="24"/>
        <v>1.1136781748997491</v>
      </c>
      <c r="X37" s="47">
        <f t="shared" si="24"/>
        <v>2.7971157063545213</v>
      </c>
      <c r="Y37" s="47">
        <f t="shared" si="24"/>
        <v>5.2931607617463037</v>
      </c>
      <c r="Z37" s="47">
        <f t="shared" si="24"/>
        <v>10.016586294960945</v>
      </c>
      <c r="AA37" s="139">
        <f t="shared" si="24"/>
        <v>25.157672549534141</v>
      </c>
      <c r="AB37" s="187">
        <f t="shared" si="27"/>
        <v>8.7954319980602172E-2</v>
      </c>
      <c r="AC37" s="187">
        <f t="shared" si="27"/>
        <v>0.2209061966053342</v>
      </c>
      <c r="AD37" s="187">
        <f t="shared" si="27"/>
        <v>0.41803490976135083</v>
      </c>
      <c r="AE37" s="187">
        <f t="shared" si="27"/>
        <v>0.79107416842358036</v>
      </c>
      <c r="AF37" s="188">
        <f t="shared" si="27"/>
        <v>1.9868630195506189</v>
      </c>
      <c r="AG37" s="187">
        <f t="shared" si="28"/>
        <v>0.1113678174899749</v>
      </c>
      <c r="AH37" s="187">
        <f t="shared" si="28"/>
        <v>0.27971157063545216</v>
      </c>
      <c r="AI37" s="187">
        <f t="shared" si="28"/>
        <v>0.52931607617463039</v>
      </c>
      <c r="AJ37" s="187">
        <f t="shared" si="28"/>
        <v>1.0016586294960945</v>
      </c>
      <c r="AK37" s="188">
        <f t="shared" si="28"/>
        <v>2.5157672549534142</v>
      </c>
      <c r="AL37" s="189">
        <f t="shared" si="30"/>
        <v>0.19932213747057709</v>
      </c>
      <c r="AM37" s="189">
        <f t="shared" si="29"/>
        <v>0.50061776724078633</v>
      </c>
      <c r="AN37" s="189">
        <f t="shared" si="29"/>
        <v>0.94735098593598122</v>
      </c>
      <c r="AO37" s="189">
        <f t="shared" si="29"/>
        <v>1.7927327979196748</v>
      </c>
      <c r="AP37" s="190">
        <f t="shared" si="29"/>
        <v>4.5026302745040336</v>
      </c>
    </row>
    <row r="38" spans="1:42" ht="13.15" customHeight="1" x14ac:dyDescent="0.2">
      <c r="B38" s="527"/>
      <c r="C38" s="144" t="s">
        <v>66</v>
      </c>
      <c r="D38" s="145">
        <f t="shared" si="25"/>
        <v>43.807742114199755</v>
      </c>
      <c r="E38" s="145">
        <f t="shared" si="15"/>
        <v>80.661178202167577</v>
      </c>
      <c r="F38" s="113">
        <f t="shared" si="16"/>
        <v>3.04012133576982</v>
      </c>
      <c r="G38" s="146">
        <f t="shared" si="17"/>
        <v>1.216297025064548</v>
      </c>
      <c r="H38" s="112">
        <f t="shared" si="18"/>
        <v>1.4813739791311082</v>
      </c>
      <c r="I38" s="112">
        <f t="shared" si="19"/>
        <v>2.402294552220706</v>
      </c>
      <c r="J38" s="112">
        <f t="shared" si="20"/>
        <v>3.04012133576982</v>
      </c>
      <c r="K38" s="112">
        <f t="shared" si="21"/>
        <v>3.6779481193189336</v>
      </c>
      <c r="L38" s="140">
        <f t="shared" si="22"/>
        <v>4.5988686924085318</v>
      </c>
      <c r="M38" s="112">
        <f t="shared" si="23"/>
        <v>4.39898564505057</v>
      </c>
      <c r="N38" s="112">
        <f t="shared" si="23"/>
        <v>11.048498675038365</v>
      </c>
      <c r="O38" s="112">
        <f t="shared" si="23"/>
        <v>20.907779942767537</v>
      </c>
      <c r="P38" s="112">
        <f t="shared" si="23"/>
        <v>39.565127805355367</v>
      </c>
      <c r="Q38" s="140">
        <f t="shared" si="23"/>
        <v>99.371831919257687</v>
      </c>
      <c r="R38" s="134">
        <f t="shared" si="26"/>
        <v>4.2622156582685191</v>
      </c>
      <c r="S38" s="145">
        <f t="shared" si="26"/>
        <v>10.704986979462207</v>
      </c>
      <c r="T38" s="145">
        <f t="shared" si="26"/>
        <v>20.257730813911724</v>
      </c>
      <c r="U38" s="145">
        <f t="shared" si="26"/>
        <v>38.334998306511231</v>
      </c>
      <c r="V38" s="148">
        <f t="shared" si="26"/>
        <v>96.282236900143047</v>
      </c>
      <c r="W38" s="112">
        <f t="shared" si="24"/>
        <v>0.13676998678205088</v>
      </c>
      <c r="X38" s="112">
        <f t="shared" si="24"/>
        <v>0.3435116955761579</v>
      </c>
      <c r="Y38" s="112">
        <f t="shared" si="24"/>
        <v>0.65004912885581234</v>
      </c>
      <c r="Z38" s="112">
        <f t="shared" si="24"/>
        <v>1.2301294988441356</v>
      </c>
      <c r="AA38" s="140">
        <f t="shared" si="24"/>
        <v>3.0895950191146397</v>
      </c>
      <c r="AB38" s="191">
        <f t="shared" si="27"/>
        <v>0.17759231909452164</v>
      </c>
      <c r="AC38" s="192">
        <f t="shared" si="27"/>
        <v>0.44604112414425862</v>
      </c>
      <c r="AD38" s="192">
        <f t="shared" si="27"/>
        <v>0.84407211724632181</v>
      </c>
      <c r="AE38" s="192">
        <f t="shared" si="27"/>
        <v>1.5972915961046348</v>
      </c>
      <c r="AF38" s="193">
        <f t="shared" si="27"/>
        <v>4.0117598708392936</v>
      </c>
      <c r="AG38" s="192">
        <f t="shared" si="28"/>
        <v>1.3676998678205089E-2</v>
      </c>
      <c r="AH38" s="192">
        <f t="shared" si="28"/>
        <v>3.4351169557615788E-2</v>
      </c>
      <c r="AI38" s="192">
        <f t="shared" si="28"/>
        <v>6.5004912885581231E-2</v>
      </c>
      <c r="AJ38" s="192">
        <f t="shared" si="28"/>
        <v>0.12301294988441355</v>
      </c>
      <c r="AK38" s="193">
        <f t="shared" si="28"/>
        <v>0.30895950191146399</v>
      </c>
      <c r="AL38" s="194">
        <f t="shared" si="30"/>
        <v>0.19126931777272674</v>
      </c>
      <c r="AM38" s="194">
        <f t="shared" si="29"/>
        <v>0.48039229370187442</v>
      </c>
      <c r="AN38" s="194">
        <f t="shared" si="29"/>
        <v>0.909077030131903</v>
      </c>
      <c r="AO38" s="194">
        <f t="shared" si="29"/>
        <v>1.7203045459890483</v>
      </c>
      <c r="AP38" s="195">
        <f t="shared" si="29"/>
        <v>4.3207193727507578</v>
      </c>
    </row>
    <row r="39" spans="1:42" ht="13.15" customHeight="1" x14ac:dyDescent="0.2">
      <c r="B39" s="526" t="s">
        <v>91</v>
      </c>
      <c r="C39" s="120" t="s">
        <v>9</v>
      </c>
      <c r="D39" s="46">
        <f t="shared" ref="D39:D46" si="31">J17+P17</f>
        <v>92.537643475170853</v>
      </c>
      <c r="E39" s="46">
        <f t="shared" si="15"/>
        <v>170.38530155928709</v>
      </c>
      <c r="F39" s="51">
        <f t="shared" si="16"/>
        <v>3.7879262916319458</v>
      </c>
      <c r="G39" s="141">
        <f t="shared" si="17"/>
        <v>1.216297025064548</v>
      </c>
      <c r="H39" s="47">
        <f t="shared" si="18"/>
        <v>2.2291789349932341</v>
      </c>
      <c r="I39" s="47">
        <f t="shared" si="19"/>
        <v>3.1500995080828318</v>
      </c>
      <c r="J39" s="47">
        <f t="shared" si="20"/>
        <v>3.7879262916319458</v>
      </c>
      <c r="K39" s="47">
        <f t="shared" si="21"/>
        <v>4.4257530751810599</v>
      </c>
      <c r="L39" s="139">
        <f t="shared" si="22"/>
        <v>5.3466736482706576</v>
      </c>
      <c r="M39" s="47">
        <f t="shared" si="23"/>
        <v>9.2922334187622209</v>
      </c>
      <c r="N39" s="47">
        <f t="shared" si="23"/>
        <v>23.338386823529039</v>
      </c>
      <c r="O39" s="47">
        <f t="shared" si="23"/>
        <v>44.164720499804581</v>
      </c>
      <c r="P39" s="47">
        <f t="shared" si="23"/>
        <v>83.575722331391063</v>
      </c>
      <c r="Q39" s="139">
        <f t="shared" si="23"/>
        <v>209.90890444997885</v>
      </c>
      <c r="R39" s="46">
        <f t="shared" ref="R39:V46" si="32">M39*(1-$R17)</f>
        <v>8.224866419096406</v>
      </c>
      <c r="S39" s="46">
        <f t="shared" si="32"/>
        <v>20.657586331521099</v>
      </c>
      <c r="T39" s="46">
        <f t="shared" si="32"/>
        <v>39.0916704496655</v>
      </c>
      <c r="U39" s="46">
        <f t="shared" si="32"/>
        <v>73.975665599105184</v>
      </c>
      <c r="V39" s="147">
        <f t="shared" si="32"/>
        <v>185.79738814933077</v>
      </c>
      <c r="W39" s="47">
        <f t="shared" si="24"/>
        <v>1.0673669996658148</v>
      </c>
      <c r="X39" s="47">
        <f t="shared" si="24"/>
        <v>2.6808004920079398</v>
      </c>
      <c r="Y39" s="47">
        <f t="shared" si="24"/>
        <v>5.0730500501390807</v>
      </c>
      <c r="Z39" s="47">
        <f t="shared" si="24"/>
        <v>9.6000567322858785</v>
      </c>
      <c r="AA39" s="139">
        <f t="shared" si="24"/>
        <v>24.111516300648077</v>
      </c>
      <c r="AB39" s="187">
        <f t="shared" ref="AB39:AF46" si="33">R39*$AJ17/60</f>
        <v>0.57132489559171695</v>
      </c>
      <c r="AC39" s="187">
        <f t="shared" si="33"/>
        <v>1.434940429747402</v>
      </c>
      <c r="AD39" s="187">
        <f t="shared" si="33"/>
        <v>2.7154294550372273</v>
      </c>
      <c r="AE39" s="187">
        <f t="shared" si="33"/>
        <v>5.1385806493596196</v>
      </c>
      <c r="AF39" s="188">
        <f t="shared" si="33"/>
        <v>12.906066551934584</v>
      </c>
      <c r="AG39" s="187">
        <f t="shared" ref="AG39:AK46" si="34">W39*$AL17/60</f>
        <v>0.10673669996658149</v>
      </c>
      <c r="AH39" s="187">
        <f t="shared" si="34"/>
        <v>0.26808004920079398</v>
      </c>
      <c r="AI39" s="187">
        <f t="shared" si="34"/>
        <v>0.50730500501390807</v>
      </c>
      <c r="AJ39" s="187">
        <f t="shared" si="34"/>
        <v>0.96000567322858787</v>
      </c>
      <c r="AK39" s="188">
        <f t="shared" si="34"/>
        <v>2.4111516300648077</v>
      </c>
      <c r="AL39" s="189">
        <f t="shared" si="30"/>
        <v>0.67806159555829848</v>
      </c>
      <c r="AM39" s="189">
        <f t="shared" si="29"/>
        <v>1.703020478948196</v>
      </c>
      <c r="AN39" s="189">
        <f t="shared" si="29"/>
        <v>3.2227344600511354</v>
      </c>
      <c r="AO39" s="189">
        <f t="shared" si="29"/>
        <v>6.0985863225882078</v>
      </c>
      <c r="AP39" s="190">
        <f t="shared" si="29"/>
        <v>15.317218181999392</v>
      </c>
    </row>
    <row r="40" spans="1:42" ht="13.15" customHeight="1" x14ac:dyDescent="0.2">
      <c r="B40" s="526"/>
      <c r="C40" s="120" t="s">
        <v>86</v>
      </c>
      <c r="D40" s="46">
        <f t="shared" si="31"/>
        <v>88.344753316089651</v>
      </c>
      <c r="E40" s="46">
        <f t="shared" si="15"/>
        <v>162.66512599255458</v>
      </c>
      <c r="F40" s="51">
        <f t="shared" si="16"/>
        <v>3.7415575851950305</v>
      </c>
      <c r="G40" s="141">
        <f t="shared" si="17"/>
        <v>1.216297025064548</v>
      </c>
      <c r="H40" s="47">
        <f t="shared" si="18"/>
        <v>2.1828102285563187</v>
      </c>
      <c r="I40" s="47">
        <f t="shared" si="19"/>
        <v>3.1037308016459164</v>
      </c>
      <c r="J40" s="47">
        <f t="shared" si="20"/>
        <v>3.7415575851950305</v>
      </c>
      <c r="K40" s="47">
        <f t="shared" si="21"/>
        <v>4.3793843687441445</v>
      </c>
      <c r="L40" s="139">
        <f t="shared" si="22"/>
        <v>5.3003049418337422</v>
      </c>
      <c r="M40" s="47">
        <f t="shared" si="23"/>
        <v>8.8712013652729027</v>
      </c>
      <c r="N40" s="47">
        <f t="shared" si="23"/>
        <v>22.280922112236048</v>
      </c>
      <c r="O40" s="47">
        <f t="shared" si="23"/>
        <v>42.163612464112191</v>
      </c>
      <c r="P40" s="47">
        <f t="shared" si="23"/>
        <v>79.78889774259099</v>
      </c>
      <c r="Q40" s="139">
        <f t="shared" si="23"/>
        <v>200.39791036455043</v>
      </c>
      <c r="R40" s="46">
        <f t="shared" si="32"/>
        <v>7.3800864224330631</v>
      </c>
      <c r="S40" s="46">
        <f t="shared" si="32"/>
        <v>18.535835676495591</v>
      </c>
      <c r="T40" s="46">
        <f t="shared" si="32"/>
        <v>35.076546124319812</v>
      </c>
      <c r="U40" s="46">
        <f t="shared" si="32"/>
        <v>66.377589307813125</v>
      </c>
      <c r="V40" s="147">
        <f t="shared" si="32"/>
        <v>166.71404880458147</v>
      </c>
      <c r="W40" s="47">
        <f t="shared" si="24"/>
        <v>1.4911149428398396</v>
      </c>
      <c r="X40" s="47">
        <f t="shared" si="24"/>
        <v>3.7450864357404576</v>
      </c>
      <c r="Y40" s="47">
        <f t="shared" si="24"/>
        <v>7.0870663397923792</v>
      </c>
      <c r="Z40" s="47">
        <f t="shared" si="24"/>
        <v>13.411308434777865</v>
      </c>
      <c r="AA40" s="139">
        <f t="shared" si="24"/>
        <v>33.68386155996896</v>
      </c>
      <c r="AB40" s="187">
        <f t="shared" si="33"/>
        <v>0.34912386178320298</v>
      </c>
      <c r="AC40" s="187">
        <f t="shared" si="33"/>
        <v>0.87685999354782007</v>
      </c>
      <c r="AD40" s="187">
        <f t="shared" si="33"/>
        <v>1.6593381892812442</v>
      </c>
      <c r="AE40" s="187">
        <f t="shared" si="33"/>
        <v>3.1400716724077564</v>
      </c>
      <c r="AF40" s="188">
        <f t="shared" si="33"/>
        <v>7.8866085301180311</v>
      </c>
      <c r="AG40" s="187">
        <f t="shared" si="34"/>
        <v>0.14911149428398396</v>
      </c>
      <c r="AH40" s="187">
        <f t="shared" si="34"/>
        <v>0.37450864357404579</v>
      </c>
      <c r="AI40" s="187">
        <f t="shared" si="34"/>
        <v>0.70870663397923794</v>
      </c>
      <c r="AJ40" s="187">
        <f t="shared" si="34"/>
        <v>1.3411308434777864</v>
      </c>
      <c r="AK40" s="188">
        <f t="shared" si="34"/>
        <v>3.3683861559968959</v>
      </c>
      <c r="AL40" s="189">
        <f t="shared" si="30"/>
        <v>0.49823535606718694</v>
      </c>
      <c r="AM40" s="189">
        <f t="shared" si="29"/>
        <v>1.2513686371218657</v>
      </c>
      <c r="AN40" s="189">
        <f t="shared" si="29"/>
        <v>2.3680448232604823</v>
      </c>
      <c r="AO40" s="189">
        <f t="shared" si="29"/>
        <v>4.4812025158855429</v>
      </c>
      <c r="AP40" s="190">
        <f t="shared" si="29"/>
        <v>11.254994686114927</v>
      </c>
    </row>
    <row r="41" spans="1:42" ht="13.15" customHeight="1" x14ac:dyDescent="0.2">
      <c r="B41" s="526"/>
      <c r="C41" s="120" t="s">
        <v>61</v>
      </c>
      <c r="D41" s="46">
        <f t="shared" si="31"/>
        <v>75.972802525052799</v>
      </c>
      <c r="E41" s="46">
        <f t="shared" si="15"/>
        <v>139.88522273109882</v>
      </c>
      <c r="F41" s="51">
        <f t="shared" si="16"/>
        <v>3.5906861881357219</v>
      </c>
      <c r="G41" s="141">
        <f t="shared" si="17"/>
        <v>1.216297025064548</v>
      </c>
      <c r="H41" s="47">
        <f t="shared" si="18"/>
        <v>2.0319388314970102</v>
      </c>
      <c r="I41" s="47">
        <f t="shared" si="19"/>
        <v>2.9528594045866079</v>
      </c>
      <c r="J41" s="47">
        <f t="shared" si="20"/>
        <v>3.5906861881357219</v>
      </c>
      <c r="K41" s="47">
        <f t="shared" si="21"/>
        <v>4.228512971684836</v>
      </c>
      <c r="L41" s="139">
        <f t="shared" si="22"/>
        <v>5.1494335447744337</v>
      </c>
      <c r="M41" s="47">
        <f t="shared" si="23"/>
        <v>7.6288631094192141</v>
      </c>
      <c r="N41" s="47">
        <f t="shared" si="23"/>
        <v>19.160663561451177</v>
      </c>
      <c r="O41" s="47">
        <f t="shared" si="23"/>
        <v>36.258947851920219</v>
      </c>
      <c r="P41" s="47">
        <f t="shared" si="23"/>
        <v>68.615123641819068</v>
      </c>
      <c r="Q41" s="139">
        <f t="shared" si="23"/>
        <v>172.33384325706677</v>
      </c>
      <c r="R41" s="46">
        <f t="shared" si="32"/>
        <v>6.941791917569069</v>
      </c>
      <c r="S41" s="46">
        <f t="shared" si="32"/>
        <v>17.435014567494051</v>
      </c>
      <c r="T41" s="46">
        <f t="shared" si="32"/>
        <v>32.993392007158484</v>
      </c>
      <c r="U41" s="46">
        <f t="shared" si="32"/>
        <v>62.435503677040494</v>
      </c>
      <c r="V41" s="147">
        <f t="shared" si="32"/>
        <v>156.81310086275695</v>
      </c>
      <c r="W41" s="47">
        <f t="shared" si="24"/>
        <v>0.68707119185014509</v>
      </c>
      <c r="X41" s="47">
        <f t="shared" si="24"/>
        <v>1.725648993957126</v>
      </c>
      <c r="Y41" s="47">
        <f t="shared" si="24"/>
        <v>3.2655558447617352</v>
      </c>
      <c r="Z41" s="47">
        <f t="shared" si="24"/>
        <v>6.1796199647785741</v>
      </c>
      <c r="AA41" s="139">
        <f t="shared" si="24"/>
        <v>15.520742394309821</v>
      </c>
      <c r="AB41" s="187">
        <f t="shared" si="33"/>
        <v>0.4190352084430749</v>
      </c>
      <c r="AC41" s="187">
        <f t="shared" si="33"/>
        <v>1.0524494324019364</v>
      </c>
      <c r="AD41" s="187">
        <f t="shared" si="33"/>
        <v>1.9916173030155044</v>
      </c>
      <c r="AE41" s="187">
        <f t="shared" si="33"/>
        <v>3.7688646689828871</v>
      </c>
      <c r="AF41" s="188">
        <f t="shared" si="33"/>
        <v>9.4658859249761562</v>
      </c>
      <c r="AG41" s="187">
        <f t="shared" si="34"/>
        <v>6.8707119185014515E-2</v>
      </c>
      <c r="AH41" s="187">
        <f t="shared" si="34"/>
        <v>0.1725648993957126</v>
      </c>
      <c r="AI41" s="187">
        <f t="shared" si="34"/>
        <v>0.3265555844761735</v>
      </c>
      <c r="AJ41" s="187">
        <f t="shared" si="34"/>
        <v>0.61796199647785743</v>
      </c>
      <c r="AK41" s="188">
        <f t="shared" si="34"/>
        <v>1.5520742394309821</v>
      </c>
      <c r="AL41" s="189">
        <f t="shared" si="30"/>
        <v>0.48774232762808944</v>
      </c>
      <c r="AM41" s="189">
        <f t="shared" si="29"/>
        <v>1.225014331797649</v>
      </c>
      <c r="AN41" s="189">
        <f t="shared" si="29"/>
        <v>2.318172887491678</v>
      </c>
      <c r="AO41" s="189">
        <f t="shared" si="29"/>
        <v>4.3868266654607444</v>
      </c>
      <c r="AP41" s="190">
        <f t="shared" si="29"/>
        <v>11.017960164407139</v>
      </c>
    </row>
    <row r="42" spans="1:42" ht="13.15" customHeight="1" x14ac:dyDescent="0.2">
      <c r="B42" s="526"/>
      <c r="C42" s="120" t="s">
        <v>62</v>
      </c>
      <c r="D42" s="46">
        <f t="shared" si="31"/>
        <v>80.911642566069091</v>
      </c>
      <c r="E42" s="46">
        <f t="shared" si="15"/>
        <v>148.97888146434104</v>
      </c>
      <c r="F42" s="51">
        <f t="shared" si="16"/>
        <v>3.6536685001735272</v>
      </c>
      <c r="G42" s="141">
        <f t="shared" si="17"/>
        <v>1.216297025064548</v>
      </c>
      <c r="H42" s="47">
        <f t="shared" si="18"/>
        <v>2.0949211435348154</v>
      </c>
      <c r="I42" s="47">
        <f t="shared" si="19"/>
        <v>3.0158417166244131</v>
      </c>
      <c r="J42" s="47">
        <f t="shared" si="20"/>
        <v>3.6536685001735272</v>
      </c>
      <c r="K42" s="47">
        <f t="shared" si="21"/>
        <v>4.2914952837226412</v>
      </c>
      <c r="L42" s="139">
        <f t="shared" si="22"/>
        <v>5.212415856812239</v>
      </c>
      <c r="M42" s="47">
        <f t="shared" si="23"/>
        <v>8.1248002519223714</v>
      </c>
      <c r="N42" s="47">
        <f t="shared" si="23"/>
        <v>20.406260002079129</v>
      </c>
      <c r="O42" s="47">
        <f t="shared" si="23"/>
        <v>38.616069578963675</v>
      </c>
      <c r="P42" s="47">
        <f t="shared" si="23"/>
        <v>73.075655684845245</v>
      </c>
      <c r="Q42" s="139">
        <f t="shared" si="23"/>
        <v>183.53692195380899</v>
      </c>
      <c r="R42" s="46">
        <f t="shared" si="32"/>
        <v>7.5903957878902055</v>
      </c>
      <c r="S42" s="46">
        <f t="shared" si="32"/>
        <v>19.064048981355032</v>
      </c>
      <c r="T42" s="46">
        <f t="shared" si="32"/>
        <v>36.07611790919897</v>
      </c>
      <c r="U42" s="46">
        <f t="shared" si="32"/>
        <v>68.269142860013773</v>
      </c>
      <c r="V42" s="147">
        <f t="shared" si="32"/>
        <v>171.4648774277135</v>
      </c>
      <c r="W42" s="47">
        <f t="shared" si="24"/>
        <v>0.5344044640321659</v>
      </c>
      <c r="X42" s="47">
        <f t="shared" si="24"/>
        <v>1.3422110207240969</v>
      </c>
      <c r="Y42" s="47">
        <f t="shared" si="24"/>
        <v>2.5399516697647044</v>
      </c>
      <c r="Z42" s="47">
        <f t="shared" si="24"/>
        <v>4.8065128248314721</v>
      </c>
      <c r="AA42" s="139">
        <f t="shared" si="24"/>
        <v>12.072044526095482</v>
      </c>
      <c r="AB42" s="187">
        <f t="shared" si="33"/>
        <v>0.35784074783219555</v>
      </c>
      <c r="AC42" s="187">
        <f t="shared" si="33"/>
        <v>0.8987533370896692</v>
      </c>
      <c r="AD42" s="187">
        <f t="shared" si="33"/>
        <v>1.7007683620538179</v>
      </c>
      <c r="AE42" s="187">
        <f t="shared" si="33"/>
        <v>3.2184726353618296</v>
      </c>
      <c r="AF42" s="188">
        <f t="shared" si="33"/>
        <v>8.083520501470888</v>
      </c>
      <c r="AG42" s="187">
        <f t="shared" si="34"/>
        <v>5.3440446403216588E-2</v>
      </c>
      <c r="AH42" s="187">
        <f t="shared" si="34"/>
        <v>0.1342211020724097</v>
      </c>
      <c r="AI42" s="187">
        <f t="shared" si="34"/>
        <v>0.25399516697647045</v>
      </c>
      <c r="AJ42" s="187">
        <f t="shared" si="34"/>
        <v>0.4806512824831472</v>
      </c>
      <c r="AK42" s="188">
        <f t="shared" si="34"/>
        <v>1.2072044526095482</v>
      </c>
      <c r="AL42" s="189">
        <f t="shared" si="30"/>
        <v>0.41128119423541215</v>
      </c>
      <c r="AM42" s="189">
        <f t="shared" si="29"/>
        <v>1.032974439162079</v>
      </c>
      <c r="AN42" s="189">
        <f t="shared" si="29"/>
        <v>1.9547635290302883</v>
      </c>
      <c r="AO42" s="189">
        <f t="shared" si="29"/>
        <v>3.6991239178449766</v>
      </c>
      <c r="AP42" s="190">
        <f t="shared" si="29"/>
        <v>9.2907249540804369</v>
      </c>
    </row>
    <row r="43" spans="1:42" ht="13.15" customHeight="1" x14ac:dyDescent="0.2">
      <c r="B43" s="526"/>
      <c r="C43" s="120" t="s">
        <v>63</v>
      </c>
      <c r="D43" s="46">
        <f t="shared" si="31"/>
        <v>54.211760077968378</v>
      </c>
      <c r="E43" s="46">
        <f t="shared" si="15"/>
        <v>99.817617372358839</v>
      </c>
      <c r="F43" s="51">
        <f t="shared" si="16"/>
        <v>3.2532086339276356</v>
      </c>
      <c r="G43" s="141">
        <f t="shared" si="17"/>
        <v>1.216297025064548</v>
      </c>
      <c r="H43" s="47">
        <f t="shared" si="18"/>
        <v>1.6944612772889238</v>
      </c>
      <c r="I43" s="47">
        <f t="shared" si="19"/>
        <v>2.6153818503785216</v>
      </c>
      <c r="J43" s="47">
        <f t="shared" si="20"/>
        <v>3.2532086339276356</v>
      </c>
      <c r="K43" s="47">
        <f t="shared" si="21"/>
        <v>3.8910354174767492</v>
      </c>
      <c r="L43" s="139">
        <f t="shared" si="22"/>
        <v>4.8119559905663474</v>
      </c>
      <c r="M43" s="47">
        <f t="shared" si="23"/>
        <v>5.4437125235589123</v>
      </c>
      <c r="N43" s="47">
        <f t="shared" si="23"/>
        <v>13.672436206174297</v>
      </c>
      <c r="O43" s="47">
        <f t="shared" si="23"/>
        <v>25.873224579015211</v>
      </c>
      <c r="P43" s="47">
        <f t="shared" si="23"/>
        <v>48.961555937913495</v>
      </c>
      <c r="Q43" s="139">
        <f t="shared" si="23"/>
        <v>122.97191433586406</v>
      </c>
      <c r="R43" s="46">
        <f t="shared" si="32"/>
        <v>4.3639186779291919</v>
      </c>
      <c r="S43" s="47">
        <f t="shared" si="32"/>
        <v>10.960424429964601</v>
      </c>
      <c r="T43" s="46">
        <f t="shared" si="32"/>
        <v>20.741111421659959</v>
      </c>
      <c r="U43" s="46">
        <f t="shared" si="32"/>
        <v>39.249730314239528</v>
      </c>
      <c r="V43" s="147">
        <f t="shared" si="32"/>
        <v>98.579679126800997</v>
      </c>
      <c r="W43" s="47">
        <f t="shared" si="24"/>
        <v>1.0797938456297205</v>
      </c>
      <c r="X43" s="47">
        <f t="shared" si="24"/>
        <v>2.712011776209696</v>
      </c>
      <c r="Y43" s="47">
        <f t="shared" si="24"/>
        <v>5.1321131573552528</v>
      </c>
      <c r="Z43" s="47">
        <f t="shared" si="24"/>
        <v>9.7118256236739668</v>
      </c>
      <c r="AA43" s="139">
        <f t="shared" si="24"/>
        <v>24.39223520906306</v>
      </c>
      <c r="AB43" s="187">
        <f t="shared" si="33"/>
        <v>0.19524088483693636</v>
      </c>
      <c r="AC43" s="187">
        <f t="shared" si="33"/>
        <v>0.49036728725433515</v>
      </c>
      <c r="AD43" s="187">
        <f t="shared" si="33"/>
        <v>0.92795334774386562</v>
      </c>
      <c r="AE43" s="187">
        <f t="shared" si="33"/>
        <v>1.7560254078335944</v>
      </c>
      <c r="AF43" s="188">
        <f t="shared" si="33"/>
        <v>4.4104359407520075</v>
      </c>
      <c r="AG43" s="187">
        <f t="shared" si="34"/>
        <v>0.10797938456297204</v>
      </c>
      <c r="AH43" s="187">
        <f t="shared" si="34"/>
        <v>0.27120117762096962</v>
      </c>
      <c r="AI43" s="187">
        <f t="shared" si="34"/>
        <v>0.51321131573552525</v>
      </c>
      <c r="AJ43" s="187">
        <f t="shared" si="34"/>
        <v>0.97118256236739664</v>
      </c>
      <c r="AK43" s="188">
        <f t="shared" si="34"/>
        <v>2.4392235209063058</v>
      </c>
      <c r="AL43" s="189">
        <f t="shared" si="30"/>
        <v>0.30322026939990843</v>
      </c>
      <c r="AM43" s="189">
        <f t="shared" si="29"/>
        <v>0.76156846487530472</v>
      </c>
      <c r="AN43" s="189">
        <f t="shared" si="29"/>
        <v>1.4411646634793909</v>
      </c>
      <c r="AO43" s="189">
        <f t="shared" si="29"/>
        <v>2.727207970200991</v>
      </c>
      <c r="AP43" s="190">
        <f t="shared" si="29"/>
        <v>6.8496594616583133</v>
      </c>
    </row>
    <row r="44" spans="1:42" ht="13.15" customHeight="1" x14ac:dyDescent="0.2">
      <c r="B44" s="526"/>
      <c r="C44" s="120" t="s">
        <v>64</v>
      </c>
      <c r="D44" s="46">
        <f t="shared" si="31"/>
        <v>45.198932855099414</v>
      </c>
      <c r="E44" s="46">
        <f t="shared" si="15"/>
        <v>83.222713648856114</v>
      </c>
      <c r="F44" s="51">
        <f t="shared" si="16"/>
        <v>3.0713842505685891</v>
      </c>
      <c r="G44" s="141">
        <f t="shared" si="17"/>
        <v>1.216297025064548</v>
      </c>
      <c r="H44" s="47">
        <f t="shared" si="18"/>
        <v>1.5126368939298773</v>
      </c>
      <c r="I44" s="47">
        <f t="shared" si="19"/>
        <v>2.4335574670194751</v>
      </c>
      <c r="J44" s="47">
        <f t="shared" si="20"/>
        <v>3.0713842505685891</v>
      </c>
      <c r="K44" s="47">
        <f t="shared" si="21"/>
        <v>3.7092110341177027</v>
      </c>
      <c r="L44" s="139">
        <f t="shared" si="22"/>
        <v>4.6301316072073009</v>
      </c>
      <c r="M44" s="47">
        <f t="shared" si="23"/>
        <v>4.5386830547639354</v>
      </c>
      <c r="N44" s="47">
        <f t="shared" si="23"/>
        <v>11.399362890260569</v>
      </c>
      <c r="O44" s="47">
        <f t="shared" si="23"/>
        <v>21.571742714309636</v>
      </c>
      <c r="P44" s="47">
        <f t="shared" si="23"/>
        <v>40.821586979211766</v>
      </c>
      <c r="Q44" s="139">
        <f t="shared" si="23"/>
        <v>102.52755658801428</v>
      </c>
      <c r="R44" s="46">
        <f t="shared" si="32"/>
        <v>4.2996101040350263</v>
      </c>
      <c r="S44" s="46">
        <f t="shared" si="32"/>
        <v>10.79890692324968</v>
      </c>
      <c r="T44" s="46">
        <f t="shared" si="32"/>
        <v>20.43546152418298</v>
      </c>
      <c r="U44" s="46">
        <f t="shared" si="32"/>
        <v>38.671329484956182</v>
      </c>
      <c r="V44" s="147">
        <f t="shared" si="32"/>
        <v>97.126966771813358</v>
      </c>
      <c r="W44" s="47">
        <f t="shared" si="24"/>
        <v>0.23907295072890911</v>
      </c>
      <c r="X44" s="47">
        <f t="shared" si="24"/>
        <v>0.60045596701088932</v>
      </c>
      <c r="Y44" s="47">
        <f t="shared" si="24"/>
        <v>1.1362811901266561</v>
      </c>
      <c r="Z44" s="47">
        <f t="shared" si="24"/>
        <v>2.1502574942555839</v>
      </c>
      <c r="AA44" s="139">
        <f t="shared" si="24"/>
        <v>5.4005898162009203</v>
      </c>
      <c r="AB44" s="187">
        <f t="shared" si="33"/>
        <v>0.17915042100145942</v>
      </c>
      <c r="AC44" s="187">
        <f t="shared" si="33"/>
        <v>0.44995445513540333</v>
      </c>
      <c r="AD44" s="187">
        <f t="shared" si="33"/>
        <v>0.85147756350762416</v>
      </c>
      <c r="AE44" s="187">
        <f t="shared" si="33"/>
        <v>1.6113053952065075</v>
      </c>
      <c r="AF44" s="188">
        <f t="shared" si="33"/>
        <v>4.0469569488255566</v>
      </c>
      <c r="AG44" s="187">
        <f t="shared" si="34"/>
        <v>2.3907295072890911E-2</v>
      </c>
      <c r="AH44" s="187">
        <f t="shared" si="34"/>
        <v>6.004559670108893E-2</v>
      </c>
      <c r="AI44" s="187">
        <f t="shared" si="34"/>
        <v>0.1136281190126656</v>
      </c>
      <c r="AJ44" s="187">
        <f t="shared" si="34"/>
        <v>0.21502574942555838</v>
      </c>
      <c r="AK44" s="188">
        <f t="shared" si="34"/>
        <v>0.54005898162009203</v>
      </c>
      <c r="AL44" s="189">
        <f t="shared" si="30"/>
        <v>0.20305771607435033</v>
      </c>
      <c r="AM44" s="189">
        <f t="shared" si="29"/>
        <v>0.51000005183649222</v>
      </c>
      <c r="AN44" s="189">
        <f t="shared" si="29"/>
        <v>0.96510568252028972</v>
      </c>
      <c r="AO44" s="189">
        <f t="shared" si="29"/>
        <v>1.8263311446320658</v>
      </c>
      <c r="AP44" s="190">
        <f t="shared" si="29"/>
        <v>4.5870159304456486</v>
      </c>
    </row>
    <row r="45" spans="1:42" ht="13.15" customHeight="1" x14ac:dyDescent="0.2">
      <c r="A45" s="131"/>
      <c r="B45" s="526"/>
      <c r="C45" s="120" t="s">
        <v>65</v>
      </c>
      <c r="D45" s="46">
        <f t="shared" si="31"/>
        <v>30.927546459597721</v>
      </c>
      <c r="E45" s="46">
        <f t="shared" si="15"/>
        <v>56.945467078176968</v>
      </c>
      <c r="F45" s="51">
        <f t="shared" si="16"/>
        <v>2.6919580313732201</v>
      </c>
      <c r="G45" s="141">
        <f t="shared" si="17"/>
        <v>1.216297025064548</v>
      </c>
      <c r="H45" s="47">
        <f t="shared" si="18"/>
        <v>1.1332106747345083</v>
      </c>
      <c r="I45" s="47">
        <f t="shared" si="19"/>
        <v>2.0541312478241061</v>
      </c>
      <c r="J45" s="47">
        <f t="shared" si="20"/>
        <v>2.6919580313732201</v>
      </c>
      <c r="K45" s="47">
        <f t="shared" si="21"/>
        <v>3.3297848149223337</v>
      </c>
      <c r="L45" s="139">
        <f t="shared" si="22"/>
        <v>4.2507053880119319</v>
      </c>
      <c r="M45" s="47">
        <f t="shared" si="23"/>
        <v>3.1056116190089145</v>
      </c>
      <c r="N45" s="47">
        <f t="shared" si="23"/>
        <v>7.8000586104229708</v>
      </c>
      <c r="O45" s="47">
        <f t="shared" si="23"/>
        <v>14.760549262304757</v>
      </c>
      <c r="P45" s="47">
        <f t="shared" si="23"/>
        <v>27.932330435797947</v>
      </c>
      <c r="Q45" s="139">
        <f t="shared" si="23"/>
        <v>70.15488130948421</v>
      </c>
      <c r="R45" s="46">
        <f t="shared" si="32"/>
        <v>3.1056116190089145</v>
      </c>
      <c r="S45" s="46">
        <f t="shared" si="32"/>
        <v>7.8000586104229708</v>
      </c>
      <c r="T45" s="46">
        <f t="shared" si="32"/>
        <v>14.760549262304757</v>
      </c>
      <c r="U45" s="46">
        <f t="shared" si="32"/>
        <v>27.932330435797947</v>
      </c>
      <c r="V45" s="147">
        <f t="shared" si="32"/>
        <v>70.15488130948421</v>
      </c>
      <c r="W45" s="47">
        <f t="shared" si="24"/>
        <v>0</v>
      </c>
      <c r="X45" s="47">
        <f t="shared" si="24"/>
        <v>0</v>
      </c>
      <c r="Y45" s="47">
        <f t="shared" si="24"/>
        <v>0</v>
      </c>
      <c r="Z45" s="47">
        <f t="shared" si="24"/>
        <v>0</v>
      </c>
      <c r="AA45" s="139">
        <f t="shared" si="24"/>
        <v>0</v>
      </c>
      <c r="AB45" s="187">
        <f t="shared" si="33"/>
        <v>0.12940048412537145</v>
      </c>
      <c r="AC45" s="187">
        <f t="shared" si="33"/>
        <v>0.32500244210095713</v>
      </c>
      <c r="AD45" s="187">
        <f t="shared" si="33"/>
        <v>0.61502288592936483</v>
      </c>
      <c r="AE45" s="187">
        <f t="shared" si="33"/>
        <v>1.163847101491581</v>
      </c>
      <c r="AF45" s="188">
        <f t="shared" si="33"/>
        <v>2.9231200545618421</v>
      </c>
      <c r="AG45" s="187">
        <f t="shared" si="34"/>
        <v>0</v>
      </c>
      <c r="AH45" s="187">
        <f t="shared" si="34"/>
        <v>0</v>
      </c>
      <c r="AI45" s="187">
        <f t="shared" si="34"/>
        <v>0</v>
      </c>
      <c r="AJ45" s="187">
        <f t="shared" si="34"/>
        <v>0</v>
      </c>
      <c r="AK45" s="188">
        <f t="shared" si="34"/>
        <v>0</v>
      </c>
      <c r="AL45" s="189">
        <f t="shared" si="30"/>
        <v>0.12940048412537145</v>
      </c>
      <c r="AM45" s="189">
        <f t="shared" si="29"/>
        <v>0.32500244210095713</v>
      </c>
      <c r="AN45" s="189">
        <f t="shared" si="29"/>
        <v>0.61502288592936483</v>
      </c>
      <c r="AO45" s="189">
        <f t="shared" si="29"/>
        <v>1.163847101491581</v>
      </c>
      <c r="AP45" s="190">
        <f t="shared" si="29"/>
        <v>2.9231200545618421</v>
      </c>
    </row>
    <row r="46" spans="1:42" ht="13.15" customHeight="1" x14ac:dyDescent="0.2">
      <c r="A46" s="131"/>
      <c r="B46" s="527"/>
      <c r="C46" s="144" t="s">
        <v>66</v>
      </c>
      <c r="D46" s="145">
        <f t="shared" si="31"/>
        <v>36.320701091780727</v>
      </c>
      <c r="E46" s="145">
        <f t="shared" si="15"/>
        <v>66.875634346883402</v>
      </c>
      <c r="F46" s="113">
        <f t="shared" si="16"/>
        <v>2.852698630144149</v>
      </c>
      <c r="G46" s="146">
        <f t="shared" si="17"/>
        <v>1.216297025064548</v>
      </c>
      <c r="H46" s="112">
        <f t="shared" si="18"/>
        <v>1.2939512735054373</v>
      </c>
      <c r="I46" s="112">
        <f t="shared" si="19"/>
        <v>2.2148718465950354</v>
      </c>
      <c r="J46" s="112">
        <f t="shared" si="20"/>
        <v>2.852698630144149</v>
      </c>
      <c r="K46" s="112">
        <f t="shared" si="21"/>
        <v>3.4905254136932626</v>
      </c>
      <c r="L46" s="140">
        <f t="shared" si="22"/>
        <v>4.4114459867828604</v>
      </c>
      <c r="M46" s="112">
        <f t="shared" si="23"/>
        <v>3.6471690849624276</v>
      </c>
      <c r="N46" s="112">
        <f t="shared" si="23"/>
        <v>9.1602351210639288</v>
      </c>
      <c r="O46" s="112">
        <f t="shared" si="23"/>
        <v>17.334498176472835</v>
      </c>
      <c r="P46" s="112">
        <f t="shared" si="23"/>
        <v>32.803178418332983</v>
      </c>
      <c r="Q46" s="140">
        <f t="shared" si="23"/>
        <v>82.388510110228538</v>
      </c>
      <c r="R46" s="134">
        <f t="shared" si="32"/>
        <v>3.6471690849624276</v>
      </c>
      <c r="S46" s="145">
        <f t="shared" si="32"/>
        <v>9.1602351210639288</v>
      </c>
      <c r="T46" s="145">
        <f t="shared" si="32"/>
        <v>17.334498176472835</v>
      </c>
      <c r="U46" s="145">
        <f t="shared" si="32"/>
        <v>32.803178418332983</v>
      </c>
      <c r="V46" s="148">
        <f t="shared" si="32"/>
        <v>82.388510110228538</v>
      </c>
      <c r="W46" s="112">
        <f t="shared" si="24"/>
        <v>0</v>
      </c>
      <c r="X46" s="112">
        <f t="shared" si="24"/>
        <v>0</v>
      </c>
      <c r="Y46" s="112">
        <f t="shared" si="24"/>
        <v>0</v>
      </c>
      <c r="Z46" s="112">
        <f t="shared" si="24"/>
        <v>0</v>
      </c>
      <c r="AA46" s="140">
        <f t="shared" si="24"/>
        <v>0</v>
      </c>
      <c r="AB46" s="191">
        <f t="shared" si="33"/>
        <v>0.16226655238866916</v>
      </c>
      <c r="AC46" s="192">
        <f t="shared" si="33"/>
        <v>0.40754890643628044</v>
      </c>
      <c r="AD46" s="192">
        <f t="shared" si="33"/>
        <v>0.7712308343699662</v>
      </c>
      <c r="AE46" s="192">
        <f t="shared" si="33"/>
        <v>1.4594493826129056</v>
      </c>
      <c r="AF46" s="193">
        <f t="shared" si="33"/>
        <v>3.6655551691164661</v>
      </c>
      <c r="AG46" s="192">
        <f t="shared" si="34"/>
        <v>0</v>
      </c>
      <c r="AH46" s="192">
        <f t="shared" si="34"/>
        <v>0</v>
      </c>
      <c r="AI46" s="192">
        <f t="shared" si="34"/>
        <v>0</v>
      </c>
      <c r="AJ46" s="192">
        <f t="shared" si="34"/>
        <v>0</v>
      </c>
      <c r="AK46" s="193">
        <f t="shared" si="34"/>
        <v>0</v>
      </c>
      <c r="AL46" s="194">
        <f t="shared" si="30"/>
        <v>0.16226655238866916</v>
      </c>
      <c r="AM46" s="194">
        <f t="shared" si="29"/>
        <v>0.40754890643628044</v>
      </c>
      <c r="AN46" s="194">
        <f t="shared" si="29"/>
        <v>0.7712308343699662</v>
      </c>
      <c r="AO46" s="194">
        <f t="shared" si="29"/>
        <v>1.4594493826129056</v>
      </c>
      <c r="AP46" s="195">
        <f t="shared" si="29"/>
        <v>3.6655551691164661</v>
      </c>
    </row>
    <row r="47" spans="1:42" ht="37.15" customHeight="1" x14ac:dyDescent="0.2">
      <c r="E47" s="45"/>
      <c r="F47" s="45"/>
      <c r="G47" s="48"/>
      <c r="H47" s="138"/>
      <c r="I47" s="131"/>
      <c r="J47" s="138"/>
      <c r="K47" s="138"/>
      <c r="L47" s="44"/>
      <c r="M47" s="44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42" ht="13.15" customHeight="1" x14ac:dyDescent="0.2">
      <c r="E48" s="45"/>
      <c r="F48" s="45"/>
      <c r="G48" s="45"/>
      <c r="H48" s="45"/>
      <c r="I48" s="45"/>
      <c r="J48" s="45"/>
      <c r="K48" s="45"/>
      <c r="M48" s="107"/>
      <c r="N48" s="107"/>
      <c r="T48" s="532"/>
      <c r="U48" s="532"/>
      <c r="V48" s="532"/>
      <c r="W48" s="532"/>
      <c r="X48" s="532"/>
      <c r="Y48" s="532"/>
      <c r="Z48" s="532"/>
      <c r="AA48" s="532"/>
      <c r="AB48" s="532"/>
    </row>
    <row r="49" spans="2:28" ht="13.15" customHeight="1" x14ac:dyDescent="0.2">
      <c r="E49" s="45"/>
      <c r="F49" s="45"/>
      <c r="G49" s="45"/>
      <c r="H49" s="45"/>
      <c r="I49" s="45"/>
      <c r="J49" s="45"/>
      <c r="K49" s="45"/>
      <c r="M49" s="107"/>
      <c r="N49" s="184"/>
      <c r="T49" s="128"/>
      <c r="U49" s="128"/>
      <c r="V49" s="46"/>
      <c r="W49" s="46"/>
      <c r="X49" s="128"/>
      <c r="Y49" s="128"/>
      <c r="Z49" s="128"/>
      <c r="AA49" s="128"/>
      <c r="AB49" s="128"/>
    </row>
    <row r="50" spans="2:28" ht="13.15" customHeight="1" x14ac:dyDescent="0.2">
      <c r="B50" s="137"/>
      <c r="C50" s="49"/>
      <c r="D50" s="49"/>
      <c r="E50" s="49"/>
      <c r="F50" s="49"/>
      <c r="G50" s="49"/>
      <c r="H50" s="49"/>
      <c r="I50" s="49"/>
      <c r="J50" s="50"/>
      <c r="K50" s="50"/>
      <c r="M50" s="107"/>
      <c r="N50" s="184"/>
      <c r="T50" s="128"/>
      <c r="U50" s="128"/>
      <c r="V50" s="164"/>
      <c r="W50" s="164"/>
      <c r="X50" s="128"/>
      <c r="Y50" s="128"/>
      <c r="Z50" s="128"/>
      <c r="AA50" s="128"/>
      <c r="AB50" s="128"/>
    </row>
    <row r="51" spans="2:28" x14ac:dyDescent="0.2">
      <c r="B51" s="137"/>
      <c r="C51" s="49"/>
      <c r="D51" s="49"/>
      <c r="E51" s="49"/>
      <c r="F51" s="49"/>
      <c r="G51" s="49"/>
      <c r="H51" s="49"/>
      <c r="I51" s="49"/>
      <c r="J51" s="50"/>
      <c r="K51" s="50"/>
      <c r="M51" s="107"/>
      <c r="N51" s="184"/>
      <c r="T51" s="128"/>
      <c r="U51" s="128"/>
      <c r="V51" s="164"/>
      <c r="W51" s="164"/>
      <c r="X51" s="128"/>
      <c r="Y51" s="128"/>
      <c r="Z51" s="128"/>
      <c r="AA51" s="128"/>
      <c r="AB51" s="128"/>
    </row>
    <row r="52" spans="2:28" x14ac:dyDescent="0.2">
      <c r="B52" s="137"/>
      <c r="C52" s="49"/>
      <c r="D52" s="49"/>
      <c r="E52" s="49"/>
      <c r="F52" s="49"/>
      <c r="G52" s="49"/>
      <c r="H52" s="49"/>
      <c r="I52" s="49"/>
      <c r="J52" s="50"/>
      <c r="K52" s="50"/>
      <c r="L52" s="46"/>
      <c r="M52" s="107"/>
      <c r="N52" s="184"/>
      <c r="P52" s="46"/>
      <c r="Q52" s="46"/>
      <c r="R52" s="46"/>
      <c r="T52" s="128"/>
      <c r="U52" s="128"/>
      <c r="V52" s="164"/>
      <c r="W52" s="164"/>
      <c r="X52" s="128"/>
      <c r="Y52" s="128"/>
      <c r="Z52" s="128"/>
      <c r="AA52" s="128"/>
      <c r="AB52" s="128"/>
    </row>
    <row r="53" spans="2:28" x14ac:dyDescent="0.2">
      <c r="B53" s="137"/>
      <c r="C53" s="49"/>
      <c r="D53" s="49"/>
      <c r="E53" s="49"/>
      <c r="F53" s="49"/>
      <c r="G53" s="49"/>
      <c r="H53" s="49"/>
      <c r="I53" s="49"/>
      <c r="J53" s="50"/>
      <c r="K53" s="50"/>
      <c r="L53" s="46"/>
      <c r="M53" s="107"/>
      <c r="N53" s="184"/>
      <c r="P53" s="46"/>
      <c r="Q53" s="46"/>
      <c r="R53" s="35"/>
      <c r="S53" s="35"/>
      <c r="T53" s="128"/>
      <c r="U53" s="38"/>
      <c r="V53" s="164"/>
      <c r="W53" s="164"/>
      <c r="X53" s="38"/>
      <c r="Y53" s="38"/>
      <c r="Z53" s="38"/>
      <c r="AA53" s="38"/>
      <c r="AB53" s="128"/>
    </row>
    <row r="54" spans="2:28" x14ac:dyDescent="0.2">
      <c r="B54" s="137"/>
      <c r="C54" s="49"/>
      <c r="D54" s="49"/>
      <c r="E54" s="49"/>
      <c r="F54" s="49"/>
      <c r="G54" s="49"/>
      <c r="H54" s="49"/>
      <c r="I54" s="49"/>
      <c r="J54" s="50"/>
      <c r="K54" s="50"/>
      <c r="L54" s="46"/>
      <c r="M54" s="107"/>
      <c r="N54" s="184"/>
      <c r="P54" s="46"/>
      <c r="Q54" s="46"/>
      <c r="R54" s="35"/>
      <c r="S54" s="35"/>
      <c r="T54" s="128"/>
      <c r="U54" s="38"/>
      <c r="V54" s="164"/>
      <c r="W54" s="164"/>
      <c r="X54" s="38"/>
      <c r="Y54" s="38"/>
      <c r="Z54" s="38"/>
      <c r="AA54" s="38"/>
      <c r="AB54" s="128"/>
    </row>
    <row r="55" spans="2:28" ht="17.45" customHeight="1" x14ac:dyDescent="0.2">
      <c r="B55" s="137"/>
      <c r="C55" s="49"/>
      <c r="D55" s="49"/>
      <c r="E55" s="49"/>
      <c r="F55" s="49"/>
      <c r="G55" s="49"/>
      <c r="H55" s="49"/>
      <c r="I55" s="49"/>
      <c r="J55" s="50"/>
      <c r="K55" s="50"/>
      <c r="L55" s="46"/>
      <c r="M55" s="107"/>
      <c r="N55" s="184"/>
      <c r="P55" s="46"/>
      <c r="Q55" s="46"/>
      <c r="R55" s="35"/>
      <c r="S55" s="52"/>
      <c r="T55" s="128"/>
      <c r="U55" s="165"/>
      <c r="V55" s="164"/>
      <c r="W55" s="164"/>
      <c r="X55" s="165"/>
      <c r="Y55" s="165"/>
      <c r="Z55" s="38"/>
      <c r="AA55" s="38"/>
      <c r="AB55" s="128"/>
    </row>
    <row r="56" spans="2:28" x14ac:dyDescent="0.2">
      <c r="B56" s="137"/>
      <c r="C56" s="49"/>
      <c r="D56" s="49"/>
      <c r="E56" s="49"/>
      <c r="F56" s="49"/>
      <c r="G56" s="49"/>
      <c r="H56" s="49"/>
      <c r="I56" s="49"/>
      <c r="J56" s="50"/>
      <c r="K56" s="50"/>
      <c r="L56" s="46"/>
      <c r="M56" s="46"/>
      <c r="N56" s="184"/>
      <c r="P56" s="46"/>
      <c r="Q56" s="46"/>
      <c r="R56" s="35"/>
      <c r="S56" s="52"/>
      <c r="T56" s="128"/>
      <c r="U56" s="165"/>
      <c r="V56" s="164"/>
      <c r="W56" s="164"/>
      <c r="X56" s="165"/>
      <c r="Y56" s="38"/>
      <c r="Z56" s="38"/>
      <c r="AA56" s="38"/>
      <c r="AB56" s="128"/>
    </row>
    <row r="57" spans="2:28" x14ac:dyDescent="0.2">
      <c r="B57" s="137"/>
      <c r="C57" s="49"/>
      <c r="D57" s="49"/>
      <c r="E57" s="49"/>
      <c r="F57" s="49"/>
      <c r="G57" s="49"/>
      <c r="H57" s="49"/>
      <c r="I57" s="49"/>
      <c r="J57" s="50"/>
      <c r="K57" s="50"/>
      <c r="L57" s="46"/>
      <c r="M57" s="46"/>
      <c r="N57" s="184"/>
      <c r="P57" s="46"/>
      <c r="Q57" s="46"/>
      <c r="R57" s="35"/>
      <c r="S57" s="40"/>
      <c r="T57" s="128"/>
      <c r="U57" s="166"/>
      <c r="V57" s="164"/>
      <c r="W57" s="164"/>
      <c r="X57" s="166"/>
      <c r="Y57" s="165"/>
      <c r="Z57" s="38"/>
      <c r="AA57" s="38"/>
      <c r="AB57" s="128"/>
    </row>
    <row r="58" spans="2:28" x14ac:dyDescent="0.2">
      <c r="B58" s="137"/>
      <c r="C58" s="49"/>
      <c r="D58" s="49"/>
      <c r="E58" s="49"/>
      <c r="F58" s="49"/>
      <c r="G58" s="49"/>
      <c r="H58" s="49"/>
      <c r="I58" s="49"/>
      <c r="J58" s="50"/>
      <c r="K58" s="50"/>
      <c r="L58" s="46"/>
      <c r="M58" s="46"/>
      <c r="N58" s="184"/>
      <c r="O58" s="46"/>
      <c r="P58" s="46"/>
      <c r="Q58" s="46"/>
      <c r="R58" s="35"/>
      <c r="S58" s="52"/>
      <c r="T58" s="165"/>
      <c r="U58" s="165"/>
      <c r="V58" s="167"/>
      <c r="W58" s="167"/>
      <c r="X58" s="165"/>
      <c r="Y58" s="165"/>
      <c r="Z58" s="38"/>
      <c r="AA58" s="38"/>
      <c r="AB58" s="128"/>
    </row>
    <row r="59" spans="2:28" x14ac:dyDescent="0.2">
      <c r="B59" s="137"/>
      <c r="C59" s="49"/>
      <c r="D59" s="49"/>
      <c r="E59" s="49"/>
      <c r="F59" s="49"/>
      <c r="G59" s="49"/>
      <c r="H59" s="49"/>
      <c r="I59" s="49"/>
      <c r="J59" s="50"/>
      <c r="K59" s="50"/>
      <c r="L59" s="46"/>
      <c r="M59" s="46"/>
      <c r="N59" s="184"/>
      <c r="O59" s="46"/>
      <c r="P59" s="46"/>
      <c r="Q59" s="46"/>
      <c r="R59" s="35"/>
      <c r="S59" s="53"/>
      <c r="T59" s="168"/>
      <c r="U59" s="168"/>
      <c r="V59" s="168"/>
      <c r="W59" s="168"/>
      <c r="X59" s="168"/>
      <c r="Y59" s="168"/>
      <c r="Z59" s="38"/>
      <c r="AA59" s="38"/>
      <c r="AB59" s="128"/>
    </row>
    <row r="60" spans="2:28" x14ac:dyDescent="0.2">
      <c r="B60" s="137"/>
      <c r="C60" s="49"/>
      <c r="D60" s="49"/>
      <c r="E60" s="49"/>
      <c r="F60" s="49"/>
      <c r="G60" s="49"/>
      <c r="H60" s="49"/>
      <c r="I60" s="49"/>
      <c r="J60" s="50"/>
      <c r="K60" s="50"/>
      <c r="L60" s="46"/>
      <c r="M60" s="46"/>
      <c r="N60" s="184"/>
      <c r="O60" s="46"/>
      <c r="P60" s="46"/>
      <c r="Q60" s="46"/>
      <c r="R60" s="35"/>
      <c r="S60" s="54"/>
      <c r="T60" s="54"/>
      <c r="U60" s="54"/>
      <c r="V60" s="54"/>
      <c r="W60" s="54"/>
      <c r="X60" s="54"/>
      <c r="Y60" s="54"/>
      <c r="Z60" s="54"/>
      <c r="AA60" s="35"/>
    </row>
    <row r="61" spans="2:28" x14ac:dyDescent="0.2">
      <c r="B61" s="137"/>
      <c r="C61" s="49"/>
      <c r="D61" s="49"/>
      <c r="E61" s="49"/>
      <c r="F61" s="49"/>
      <c r="G61" s="49"/>
      <c r="H61" s="49"/>
      <c r="I61" s="49"/>
      <c r="J61" s="50"/>
      <c r="K61" s="50"/>
      <c r="L61" s="46"/>
      <c r="M61" s="46"/>
      <c r="N61" s="46"/>
      <c r="O61" s="46"/>
      <c r="P61" s="46"/>
      <c r="Q61" s="46"/>
      <c r="R61" s="35"/>
      <c r="S61" s="54"/>
      <c r="T61" s="35"/>
      <c r="U61" s="35"/>
      <c r="V61" s="35"/>
      <c r="W61" s="35"/>
      <c r="X61" s="35"/>
      <c r="Y61" s="35"/>
      <c r="Z61" s="35"/>
      <c r="AA61" s="35"/>
    </row>
    <row r="62" spans="2:28" x14ac:dyDescent="0.2">
      <c r="B62" s="137"/>
      <c r="C62" s="49"/>
      <c r="D62" s="49"/>
      <c r="E62" s="49"/>
      <c r="F62" s="49"/>
      <c r="G62" s="49"/>
      <c r="H62" s="49"/>
      <c r="I62" s="49"/>
      <c r="J62" s="50"/>
      <c r="K62" s="50"/>
      <c r="L62" s="46"/>
      <c r="M62" s="46"/>
      <c r="N62" s="46"/>
      <c r="O62" s="46"/>
      <c r="P62" s="46"/>
      <c r="Q62" s="46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2:28" x14ac:dyDescent="0.2">
      <c r="B63" s="137"/>
      <c r="C63" s="49"/>
      <c r="D63" s="49"/>
      <c r="E63" s="49"/>
      <c r="F63" s="49"/>
      <c r="G63" s="49"/>
      <c r="H63" s="49"/>
      <c r="I63" s="49"/>
      <c r="J63" s="50"/>
      <c r="K63" s="50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</row>
    <row r="64" spans="2:28" x14ac:dyDescent="0.2">
      <c r="B64" s="137"/>
      <c r="C64" s="49"/>
      <c r="D64" s="49"/>
      <c r="E64" s="49"/>
      <c r="F64" s="49"/>
      <c r="G64" s="49"/>
      <c r="H64" s="49"/>
      <c r="I64" s="49"/>
      <c r="J64" s="50"/>
      <c r="K64" s="50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</row>
    <row r="65" spans="2:25" x14ac:dyDescent="0.2">
      <c r="B65" s="137"/>
      <c r="C65" s="49"/>
      <c r="D65" s="49"/>
      <c r="E65" s="49"/>
      <c r="F65" s="49"/>
      <c r="G65" s="49"/>
      <c r="H65" s="49"/>
      <c r="I65" s="49"/>
      <c r="J65" s="50"/>
      <c r="K65" s="50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</row>
  </sheetData>
  <mergeCells count="71">
    <mergeCell ref="AO28:AO29"/>
    <mergeCell ref="AP28:AP29"/>
    <mergeCell ref="B31:B38"/>
    <mergeCell ref="B39:B46"/>
    <mergeCell ref="T48:AB48"/>
    <mergeCell ref="AI28:AI29"/>
    <mergeCell ref="AJ28:AJ29"/>
    <mergeCell ref="AK28:AK29"/>
    <mergeCell ref="AL28:AL29"/>
    <mergeCell ref="AM28:AM29"/>
    <mergeCell ref="AN28:AN29"/>
    <mergeCell ref="AC28:AC29"/>
    <mergeCell ref="AD28:AD29"/>
    <mergeCell ref="AE28:AE29"/>
    <mergeCell ref="AF28:AF29"/>
    <mergeCell ref="AG28:AG29"/>
    <mergeCell ref="AH28:AH29"/>
    <mergeCell ref="W28:W29"/>
    <mergeCell ref="X28:X29"/>
    <mergeCell ref="Y28:Y29"/>
    <mergeCell ref="Z28:Z29"/>
    <mergeCell ref="AA28:AA29"/>
    <mergeCell ref="AB28:AB29"/>
    <mergeCell ref="V28:V29"/>
    <mergeCell ref="C28:C29"/>
    <mergeCell ref="D28:D29"/>
    <mergeCell ref="E28:E29"/>
    <mergeCell ref="F28:F29"/>
    <mergeCell ref="G28:G29"/>
    <mergeCell ref="H28:L28"/>
    <mergeCell ref="M28:Q28"/>
    <mergeCell ref="R28:R29"/>
    <mergeCell ref="S28:S29"/>
    <mergeCell ref="T28:T29"/>
    <mergeCell ref="U28:U29"/>
    <mergeCell ref="C27:Q27"/>
    <mergeCell ref="R27:V27"/>
    <mergeCell ref="W27:AA27"/>
    <mergeCell ref="AB27:AF27"/>
    <mergeCell ref="AG27:AK27"/>
    <mergeCell ref="AL27:AP27"/>
    <mergeCell ref="AA15:AB15"/>
    <mergeCell ref="AC15:AD15"/>
    <mergeCell ref="AI15:AJ15"/>
    <mergeCell ref="AK15:AL15"/>
    <mergeCell ref="AM15:AN15"/>
    <mergeCell ref="AO15:AP15"/>
    <mergeCell ref="Y15:Z15"/>
    <mergeCell ref="B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AI13:AL13"/>
    <mergeCell ref="AM13:AP13"/>
    <mergeCell ref="AG14:AH14"/>
    <mergeCell ref="B13:D13"/>
    <mergeCell ref="E13:R13"/>
    <mergeCell ref="S13:AD13"/>
    <mergeCell ref="AE13:AH13"/>
    <mergeCell ref="E14:J14"/>
    <mergeCell ref="K14:R14"/>
    <mergeCell ref="S14:X14"/>
    <mergeCell ref="Y14:AD14"/>
    <mergeCell ref="AE14:AF14"/>
  </mergeCells>
  <pageMargins left="0.42" right="0.9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M23"/>
  <sheetViews>
    <sheetView showGridLines="0" zoomScaleNormal="100" workbookViewId="0"/>
  </sheetViews>
  <sheetFormatPr defaultRowHeight="12.75" x14ac:dyDescent="0.2"/>
  <cols>
    <col min="1" max="1" width="6.140625" style="231" customWidth="1"/>
    <col min="2" max="2" width="31.5703125" style="231" customWidth="1"/>
    <col min="3" max="5" width="9.140625" style="231"/>
    <col min="6" max="6" width="17.85546875" style="231" customWidth="1"/>
    <col min="7" max="8" width="9.140625" style="231"/>
    <col min="9" max="9" width="9.5703125" style="231" bestFit="1" customWidth="1"/>
    <col min="10" max="17" width="9.140625" style="231"/>
    <col min="18" max="18" width="11.140625" style="231" customWidth="1"/>
    <col min="19" max="16384" width="9.140625" style="231"/>
  </cols>
  <sheetData>
    <row r="1" spans="2:13" x14ac:dyDescent="0.2">
      <c r="B1" s="232"/>
      <c r="C1" s="232"/>
      <c r="D1" s="232"/>
      <c r="E1" s="232"/>
      <c r="F1" s="232"/>
      <c r="G1" s="232"/>
      <c r="H1" s="232"/>
      <c r="I1" s="232"/>
      <c r="J1" s="233"/>
      <c r="K1" s="234"/>
      <c r="L1" s="232"/>
      <c r="M1" s="232"/>
    </row>
    <row r="3" spans="2:13" x14ac:dyDescent="0.2">
      <c r="B3" s="234"/>
      <c r="C3" s="239"/>
      <c r="F3" s="573" t="s">
        <v>203</v>
      </c>
    </row>
    <row r="4" spans="2:13" x14ac:dyDescent="0.2">
      <c r="B4" s="251" t="s">
        <v>198</v>
      </c>
      <c r="C4" s="245"/>
      <c r="D4" s="247" t="s">
        <v>187</v>
      </c>
      <c r="E4" s="246" t="s">
        <v>188</v>
      </c>
      <c r="F4" s="574"/>
    </row>
    <row r="5" spans="2:13" x14ac:dyDescent="0.2">
      <c r="B5" s="249" t="s">
        <v>189</v>
      </c>
      <c r="C5" s="387"/>
      <c r="D5" s="380">
        <v>0.94399999999999995</v>
      </c>
      <c r="E5" s="381">
        <v>4.5</v>
      </c>
      <c r="F5" s="388">
        <f>D5^(1/E5^0.5)</f>
        <v>0.97319906938028322</v>
      </c>
    </row>
    <row r="6" spans="2:13" x14ac:dyDescent="0.2">
      <c r="B6" s="575" t="s">
        <v>190</v>
      </c>
      <c r="C6" s="234" t="s">
        <v>72</v>
      </c>
      <c r="D6" s="361">
        <v>0.8</v>
      </c>
      <c r="E6" s="339">
        <v>30.9</v>
      </c>
      <c r="F6" s="236">
        <f t="shared" ref="F6:F11" si="0">D6^(1/E6^0.5)</f>
        <v>0.96065247560449929</v>
      </c>
    </row>
    <row r="7" spans="2:13" x14ac:dyDescent="0.2">
      <c r="B7" s="577"/>
      <c r="C7" s="246" t="s">
        <v>73</v>
      </c>
      <c r="D7" s="382">
        <v>0.86</v>
      </c>
      <c r="E7" s="341">
        <v>30.1</v>
      </c>
      <c r="F7" s="248">
        <f t="shared" si="0"/>
        <v>0.97288384048792509</v>
      </c>
      <c r="I7" s="364"/>
      <c r="K7" s="365"/>
    </row>
    <row r="8" spans="2:13" x14ac:dyDescent="0.2">
      <c r="B8" s="250" t="s">
        <v>184</v>
      </c>
      <c r="C8" s="234"/>
      <c r="D8" s="361">
        <v>0.84</v>
      </c>
      <c r="E8" s="339">
        <v>7.5</v>
      </c>
      <c r="F8" s="236">
        <f t="shared" si="0"/>
        <v>0.93831941951583364</v>
      </c>
    </row>
    <row r="9" spans="2:13" x14ac:dyDescent="0.2">
      <c r="B9" s="249" t="s">
        <v>191</v>
      </c>
      <c r="C9" s="234"/>
      <c r="D9" s="361">
        <v>0.72</v>
      </c>
      <c r="E9" s="339">
        <v>31.5</v>
      </c>
      <c r="F9" s="236">
        <f t="shared" si="0"/>
        <v>0.94314906211536642</v>
      </c>
    </row>
    <row r="10" spans="2:13" x14ac:dyDescent="0.2">
      <c r="B10" s="575" t="s">
        <v>192</v>
      </c>
      <c r="C10" s="383" t="s">
        <v>186</v>
      </c>
      <c r="D10" s="384">
        <v>0.85961557225572693</v>
      </c>
      <c r="E10" s="385">
        <v>11.25</v>
      </c>
      <c r="F10" s="386">
        <f t="shared" si="0"/>
        <v>0.95590188686474464</v>
      </c>
    </row>
    <row r="11" spans="2:13" x14ac:dyDescent="0.2">
      <c r="B11" s="576"/>
      <c r="C11" s="246" t="s">
        <v>61</v>
      </c>
      <c r="D11" s="382">
        <v>0.92794549014833527</v>
      </c>
      <c r="E11" s="341">
        <v>11.25</v>
      </c>
      <c r="F11" s="248">
        <f t="shared" si="0"/>
        <v>0.97795094343237232</v>
      </c>
    </row>
    <row r="12" spans="2:13" x14ac:dyDescent="0.2">
      <c r="B12" s="249" t="s">
        <v>193</v>
      </c>
      <c r="C12" s="234"/>
      <c r="D12" s="361">
        <v>0.83</v>
      </c>
      <c r="E12" s="339">
        <v>10</v>
      </c>
      <c r="F12" s="236">
        <f>D12^(1/E12^0.375)</f>
        <v>0.9244331578735252</v>
      </c>
    </row>
    <row r="13" spans="2:13" ht="12.75" customHeight="1" x14ac:dyDescent="0.2">
      <c r="B13" s="253" t="s">
        <v>194</v>
      </c>
      <c r="C13" s="254"/>
      <c r="D13" s="362">
        <v>0.81</v>
      </c>
      <c r="E13" s="366">
        <v>11</v>
      </c>
      <c r="F13" s="255">
        <f>D13^(1/E13^0.25)</f>
        <v>0.89073615217571622</v>
      </c>
    </row>
    <row r="14" spans="2:13" ht="12.75" customHeight="1" x14ac:dyDescent="0.2">
      <c r="B14" s="253" t="s">
        <v>195</v>
      </c>
      <c r="C14" s="254"/>
      <c r="D14" s="362">
        <v>0.72</v>
      </c>
      <c r="E14" s="366">
        <f>3*6</f>
        <v>18</v>
      </c>
      <c r="F14" s="255">
        <f>IF(('[2]user page'!$N$39=0),D14^(1/E14^0.25),IF(('[2]user page'!$N$39=1),D14^(1/E14^0.5),IF(('[2]user page'!$N$39=2),D14^(1/E14^0.375),IF(('[2]user page'!$N$39=4),D14^(1/E14),IF(('[2]user page'!$N$39=3),D14^(1/(LN(E14))),"")))))</f>
        <v>0.92549259217415814</v>
      </c>
    </row>
    <row r="15" spans="2:13" ht="12.75" customHeight="1" x14ac:dyDescent="0.2">
      <c r="B15" s="253" t="s">
        <v>196</v>
      </c>
      <c r="C15" s="254"/>
      <c r="D15" s="362">
        <v>0.78</v>
      </c>
      <c r="E15" s="366">
        <f>0.5*3.5*7</f>
        <v>12.25</v>
      </c>
      <c r="F15" s="255">
        <f>IF(('[2]user page'!$N$39=0),D15^(1/E15^0.25),IF(('[2]user page'!$N$39=1),D15^(1/E15^0.5),IF(('[2]user page'!$N$39=2),D15^(1/E15^0.375),IF(('[2]user page'!$N$39=4),D15^(1/E15),IF(('[2]user page'!$N$39=3),D15^(1/(LN(E15))),"")))))</f>
        <v>0.93147217571033913</v>
      </c>
    </row>
    <row r="16" spans="2:13" ht="12.75" customHeight="1" x14ac:dyDescent="0.2">
      <c r="B16" s="253" t="s">
        <v>197</v>
      </c>
      <c r="C16" s="254"/>
      <c r="D16" s="362">
        <v>0.89</v>
      </c>
      <c r="E16" s="366">
        <v>11</v>
      </c>
      <c r="F16" s="255">
        <f>D16^(1/E16^0.375)</f>
        <v>0.95369008020895385</v>
      </c>
    </row>
    <row r="17" spans="2:6" x14ac:dyDescent="0.2">
      <c r="B17" s="256" t="s">
        <v>185</v>
      </c>
      <c r="C17" s="254"/>
      <c r="D17" s="362">
        <v>0.86</v>
      </c>
      <c r="E17" s="366">
        <v>11.25</v>
      </c>
      <c r="F17" s="255">
        <f>D17^(1/E17)</f>
        <v>0.98668298749634353</v>
      </c>
    </row>
    <row r="18" spans="2:6" x14ac:dyDescent="0.2">
      <c r="B18" s="256" t="s">
        <v>185</v>
      </c>
      <c r="C18" s="254"/>
      <c r="D18" s="362">
        <v>0.8</v>
      </c>
      <c r="E18" s="366">
        <v>22.5</v>
      </c>
      <c r="F18" s="255">
        <f>(D18/D17)^(1/(E18-E17))</f>
        <v>0.9935921153695555</v>
      </c>
    </row>
    <row r="19" spans="2:6" x14ac:dyDescent="0.2">
      <c r="B19" s="257" t="s">
        <v>185</v>
      </c>
      <c r="C19" s="258"/>
      <c r="D19" s="363">
        <v>0.75</v>
      </c>
      <c r="E19" s="367">
        <v>56.25</v>
      </c>
      <c r="F19" s="259">
        <f>(D19/D18)^(1/(E19-E18))</f>
        <v>0.99808957471175141</v>
      </c>
    </row>
    <row r="20" spans="2:6" x14ac:dyDescent="0.2">
      <c r="B20" s="243"/>
      <c r="C20" s="240"/>
      <c r="D20" s="241"/>
      <c r="E20" s="242"/>
      <c r="F20" s="244"/>
    </row>
    <row r="21" spans="2:6" x14ac:dyDescent="0.2">
      <c r="B21" s="252" t="s">
        <v>199</v>
      </c>
      <c r="C21" s="237"/>
      <c r="D21" s="237"/>
      <c r="E21" s="237"/>
      <c r="F21" s="238"/>
    </row>
    <row r="22" spans="2:6" x14ac:dyDescent="0.2">
      <c r="B22" s="260" t="s">
        <v>202</v>
      </c>
      <c r="C22" s="237"/>
      <c r="D22" s="237"/>
      <c r="E22" s="237"/>
      <c r="F22" s="238"/>
    </row>
    <row r="23" spans="2:6" x14ac:dyDescent="0.2">
      <c r="B23" s="235"/>
      <c r="C23" s="235"/>
      <c r="D23" s="235"/>
      <c r="E23" s="235"/>
    </row>
  </sheetData>
  <mergeCells count="3">
    <mergeCell ref="F3:F4"/>
    <mergeCell ref="B10:B11"/>
    <mergeCell ref="B6:B7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2:AB42"/>
  <sheetViews>
    <sheetView showGridLines="0" zoomScaleNormal="100" workbookViewId="0"/>
  </sheetViews>
  <sheetFormatPr defaultColWidth="9.140625" defaultRowHeight="12.75" x14ac:dyDescent="0.2"/>
  <cols>
    <col min="1" max="1" width="4" style="10" customWidth="1"/>
    <col min="2" max="2" width="9.140625" style="196"/>
    <col min="3" max="3" width="9.140625" style="197"/>
    <col min="4" max="6" width="9.140625" style="196"/>
    <col min="7" max="10" width="9.140625" style="10"/>
    <col min="11" max="11" width="9.140625" style="10" customWidth="1"/>
    <col min="12" max="16384" width="9.140625" style="10"/>
  </cols>
  <sheetData>
    <row r="2" spans="2:28" x14ac:dyDescent="0.2">
      <c r="B2" s="203" t="s">
        <v>270</v>
      </c>
      <c r="C2" s="199"/>
      <c r="D2" s="199"/>
      <c r="E2" s="199"/>
      <c r="F2" s="199"/>
      <c r="G2" s="199"/>
      <c r="H2" s="200"/>
    </row>
    <row r="3" spans="2:28" x14ac:dyDescent="0.2">
      <c r="B3" s="203"/>
      <c r="C3" s="199"/>
      <c r="D3" s="199"/>
      <c r="E3" s="199"/>
      <c r="F3" s="199"/>
      <c r="G3" s="199"/>
      <c r="H3" s="200"/>
    </row>
    <row r="4" spans="2:28" x14ac:dyDescent="0.2">
      <c r="B4" s="201"/>
      <c r="C4" s="202"/>
      <c r="D4" s="578" t="s">
        <v>265</v>
      </c>
      <c r="E4" s="579"/>
      <c r="F4" s="579"/>
      <c r="G4" s="579"/>
      <c r="H4" s="579"/>
    </row>
    <row r="5" spans="2:28" x14ac:dyDescent="0.2">
      <c r="B5" s="211" t="s">
        <v>172</v>
      </c>
      <c r="C5" s="323" t="s">
        <v>0</v>
      </c>
      <c r="D5" s="204">
        <v>1</v>
      </c>
      <c r="E5" s="204">
        <v>2</v>
      </c>
      <c r="F5" s="204">
        <v>3</v>
      </c>
      <c r="G5" s="204">
        <v>4</v>
      </c>
      <c r="H5" s="204">
        <v>5</v>
      </c>
      <c r="I5" s="200"/>
    </row>
    <row r="6" spans="2:28" x14ac:dyDescent="0.2">
      <c r="B6" s="205" t="str">
        <f t="shared" ref="B6:H6" si="0">B25</f>
        <v>men</v>
      </c>
      <c r="C6" s="324">
        <f t="shared" si="0"/>
        <v>1</v>
      </c>
      <c r="D6" s="446">
        <f t="shared" si="0"/>
        <v>0</v>
      </c>
      <c r="E6" s="446">
        <f t="shared" si="0"/>
        <v>0</v>
      </c>
      <c r="F6" s="446">
        <f t="shared" si="0"/>
        <v>0</v>
      </c>
      <c r="G6" s="446">
        <f t="shared" si="0"/>
        <v>0</v>
      </c>
      <c r="H6" s="446">
        <f t="shared" si="0"/>
        <v>0</v>
      </c>
      <c r="I6" s="200"/>
    </row>
    <row r="7" spans="2:28" x14ac:dyDescent="0.2">
      <c r="B7" s="205"/>
      <c r="C7" s="324">
        <f t="shared" ref="C7:H7" si="1">C26</f>
        <v>2</v>
      </c>
      <c r="D7" s="446">
        <f t="shared" si="1"/>
        <v>0</v>
      </c>
      <c r="E7" s="446">
        <f t="shared" si="1"/>
        <v>0</v>
      </c>
      <c r="F7" s="446">
        <f t="shared" si="1"/>
        <v>0</v>
      </c>
      <c r="G7" s="446">
        <f t="shared" si="1"/>
        <v>0</v>
      </c>
      <c r="H7" s="446">
        <f t="shared" si="1"/>
        <v>0</v>
      </c>
      <c r="I7" s="200"/>
    </row>
    <row r="8" spans="2:28" x14ac:dyDescent="0.2">
      <c r="B8" s="205"/>
      <c r="C8" s="324">
        <f t="shared" ref="C8:C21" si="2">C27</f>
        <v>3</v>
      </c>
      <c r="D8" s="451">
        <v>64.877499999999998</v>
      </c>
      <c r="E8" s="451">
        <v>64.877499999999998</v>
      </c>
      <c r="F8" s="451">
        <v>64.877499999999998</v>
      </c>
      <c r="G8" s="451">
        <v>64.877499999999998</v>
      </c>
      <c r="H8" s="451">
        <v>64.877499999999998</v>
      </c>
      <c r="I8" s="200"/>
    </row>
    <row r="9" spans="2:28" x14ac:dyDescent="0.2">
      <c r="B9" s="205"/>
      <c r="C9" s="324">
        <f t="shared" si="2"/>
        <v>4</v>
      </c>
      <c r="D9" s="451">
        <v>67.693749999999994</v>
      </c>
      <c r="E9" s="451">
        <v>67.693749999999994</v>
      </c>
      <c r="F9" s="451">
        <v>67.693749999999994</v>
      </c>
      <c r="G9" s="451">
        <v>67.693749999999994</v>
      </c>
      <c r="H9" s="451">
        <v>67.693749999999994</v>
      </c>
      <c r="I9" s="200"/>
    </row>
    <row r="10" spans="2:28" x14ac:dyDescent="0.2">
      <c r="B10" s="205"/>
      <c r="C10" s="324">
        <f t="shared" si="2"/>
        <v>5</v>
      </c>
      <c r="D10" s="451">
        <v>57.774999999999999</v>
      </c>
      <c r="E10" s="451">
        <v>57.774999999999999</v>
      </c>
      <c r="F10" s="451">
        <v>57.774999999999999</v>
      </c>
      <c r="G10" s="451">
        <v>57.774999999999999</v>
      </c>
      <c r="H10" s="451">
        <v>57.774999999999999</v>
      </c>
      <c r="I10" s="200"/>
    </row>
    <row r="11" spans="2:28" x14ac:dyDescent="0.2">
      <c r="B11" s="205"/>
      <c r="C11" s="324">
        <f t="shared" si="2"/>
        <v>6</v>
      </c>
      <c r="D11" s="451">
        <v>23.0833333333333</v>
      </c>
      <c r="E11" s="451">
        <v>23.0833333333333</v>
      </c>
      <c r="F11" s="451">
        <v>23.0833333333333</v>
      </c>
      <c r="G11" s="451">
        <v>23.0833333333333</v>
      </c>
      <c r="H11" s="451">
        <v>23.0833333333333</v>
      </c>
      <c r="I11" s="200"/>
    </row>
    <row r="12" spans="2:28" x14ac:dyDescent="0.2">
      <c r="B12" s="205"/>
      <c r="C12" s="324">
        <f t="shared" si="2"/>
        <v>7</v>
      </c>
      <c r="D12" s="451">
        <v>1.875</v>
      </c>
      <c r="E12" s="451">
        <v>1.875</v>
      </c>
      <c r="F12" s="451">
        <v>1.875</v>
      </c>
      <c r="G12" s="451">
        <v>1.875</v>
      </c>
      <c r="H12" s="451">
        <v>1.875</v>
      </c>
      <c r="I12" s="200"/>
    </row>
    <row r="13" spans="2:28" x14ac:dyDescent="0.2">
      <c r="B13" s="206"/>
      <c r="C13" s="198">
        <f t="shared" si="2"/>
        <v>8</v>
      </c>
      <c r="D13" s="452">
        <v>0.33333333333333298</v>
      </c>
      <c r="E13" s="453">
        <v>0.33333333333333298</v>
      </c>
      <c r="F13" s="453">
        <v>0.33333333333333298</v>
      </c>
      <c r="G13" s="453">
        <v>0.33333333333333298</v>
      </c>
      <c r="H13" s="453">
        <v>0.33333333333333298</v>
      </c>
      <c r="I13" s="37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</row>
    <row r="14" spans="2:28" x14ac:dyDescent="0.2">
      <c r="B14" s="205" t="str">
        <f>B33</f>
        <v>women</v>
      </c>
      <c r="C14" s="324">
        <f t="shared" si="2"/>
        <v>1</v>
      </c>
      <c r="D14" s="446">
        <f t="shared" ref="D14:H15" si="3">D33</f>
        <v>0</v>
      </c>
      <c r="E14" s="446">
        <f t="shared" si="3"/>
        <v>0</v>
      </c>
      <c r="F14" s="446">
        <f t="shared" si="3"/>
        <v>0</v>
      </c>
      <c r="G14" s="446">
        <f t="shared" si="3"/>
        <v>0</v>
      </c>
      <c r="H14" s="446">
        <f t="shared" si="3"/>
        <v>0</v>
      </c>
      <c r="I14" s="37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</row>
    <row r="15" spans="2:28" x14ac:dyDescent="0.2">
      <c r="B15" s="205"/>
      <c r="C15" s="324">
        <f t="shared" si="2"/>
        <v>2</v>
      </c>
      <c r="D15" s="446">
        <f t="shared" si="3"/>
        <v>0</v>
      </c>
      <c r="E15" s="446">
        <f t="shared" si="3"/>
        <v>0</v>
      </c>
      <c r="F15" s="446">
        <f t="shared" si="3"/>
        <v>0</v>
      </c>
      <c r="G15" s="446">
        <f t="shared" si="3"/>
        <v>0</v>
      </c>
      <c r="H15" s="446">
        <f t="shared" si="3"/>
        <v>0</v>
      </c>
      <c r="I15" s="37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</row>
    <row r="16" spans="2:28" x14ac:dyDescent="0.2">
      <c r="B16" s="205"/>
      <c r="C16" s="324">
        <f t="shared" si="2"/>
        <v>3</v>
      </c>
      <c r="D16" s="451">
        <v>37.5</v>
      </c>
      <c r="E16" s="451">
        <v>37.5</v>
      </c>
      <c r="F16" s="451">
        <v>37.5</v>
      </c>
      <c r="G16" s="451">
        <v>37.5</v>
      </c>
      <c r="H16" s="451">
        <v>37.5</v>
      </c>
      <c r="I16" s="200"/>
    </row>
    <row r="17" spans="2:15" x14ac:dyDescent="0.2">
      <c r="B17" s="205"/>
      <c r="C17" s="324">
        <f t="shared" si="2"/>
        <v>4</v>
      </c>
      <c r="D17" s="451">
        <v>37.563333333333297</v>
      </c>
      <c r="E17" s="451">
        <v>37.563333333333297</v>
      </c>
      <c r="F17" s="451">
        <v>37.563333333333297</v>
      </c>
      <c r="G17" s="451">
        <v>37.563333333333297</v>
      </c>
      <c r="H17" s="451">
        <v>37.563333333333297</v>
      </c>
      <c r="I17" s="200"/>
    </row>
    <row r="18" spans="2:15" x14ac:dyDescent="0.2">
      <c r="B18" s="205"/>
      <c r="C18" s="324">
        <f t="shared" si="2"/>
        <v>5</v>
      </c>
      <c r="D18" s="451">
        <v>37.753333333333302</v>
      </c>
      <c r="E18" s="451">
        <v>37.753333333333302</v>
      </c>
      <c r="F18" s="451">
        <v>37.753333333333302</v>
      </c>
      <c r="G18" s="451">
        <v>37.753333333333302</v>
      </c>
      <c r="H18" s="451">
        <v>37.753333333333302</v>
      </c>
      <c r="I18" s="200"/>
    </row>
    <row r="19" spans="2:15" x14ac:dyDescent="0.2">
      <c r="B19" s="205"/>
      <c r="C19" s="324">
        <f t="shared" si="2"/>
        <v>6</v>
      </c>
      <c r="D19" s="451">
        <v>9</v>
      </c>
      <c r="E19" s="451">
        <v>9</v>
      </c>
      <c r="F19" s="451">
        <v>9</v>
      </c>
      <c r="G19" s="451">
        <v>9</v>
      </c>
      <c r="H19" s="451">
        <v>9</v>
      </c>
      <c r="I19" s="200"/>
    </row>
    <row r="20" spans="2:15" x14ac:dyDescent="0.2">
      <c r="B20" s="205"/>
      <c r="C20" s="324">
        <f t="shared" si="2"/>
        <v>7</v>
      </c>
      <c r="D20" s="451">
        <v>0.5</v>
      </c>
      <c r="E20" s="451">
        <v>0.5</v>
      </c>
      <c r="F20" s="451">
        <v>0.5</v>
      </c>
      <c r="G20" s="451">
        <v>0.5</v>
      </c>
      <c r="H20" s="451">
        <v>0.5</v>
      </c>
      <c r="I20" s="200"/>
    </row>
    <row r="21" spans="2:15" x14ac:dyDescent="0.2">
      <c r="B21" s="206"/>
      <c r="C21" s="198">
        <f t="shared" si="2"/>
        <v>8</v>
      </c>
      <c r="D21" s="452">
        <v>8.3333333333333301E-2</v>
      </c>
      <c r="E21" s="453">
        <v>8.3333333333333301E-2</v>
      </c>
      <c r="F21" s="453">
        <v>8.3333333333333301E-2</v>
      </c>
      <c r="G21" s="453">
        <v>8.3333333333333301E-2</v>
      </c>
      <c r="H21" s="453">
        <v>8.3333333333333301E-2</v>
      </c>
      <c r="I21" s="200"/>
    </row>
    <row r="22" spans="2:15" x14ac:dyDescent="0.2">
      <c r="B22" s="202"/>
      <c r="C22" s="202"/>
      <c r="D22" s="447"/>
      <c r="E22" s="447"/>
      <c r="F22" s="447"/>
      <c r="G22" s="447"/>
      <c r="H22" s="447"/>
      <c r="I22" s="200"/>
    </row>
    <row r="23" spans="2:15" x14ac:dyDescent="0.2">
      <c r="C23" s="200"/>
      <c r="D23" s="454"/>
      <c r="E23" s="454"/>
      <c r="F23" s="454"/>
      <c r="G23" s="454"/>
      <c r="H23" s="454"/>
      <c r="I23" s="200"/>
    </row>
    <row r="24" spans="2:15" x14ac:dyDescent="0.2">
      <c r="B24" s="210" t="s">
        <v>171</v>
      </c>
      <c r="C24" s="323"/>
      <c r="D24" s="448"/>
      <c r="E24" s="449"/>
      <c r="F24" s="449"/>
      <c r="G24" s="449"/>
      <c r="H24" s="449"/>
      <c r="I24" s="200"/>
      <c r="N24" s="35"/>
      <c r="O24" s="35"/>
    </row>
    <row r="25" spans="2:15" x14ac:dyDescent="0.2">
      <c r="B25" s="418" t="s">
        <v>169</v>
      </c>
      <c r="C25" s="324">
        <v>1</v>
      </c>
      <c r="D25" s="450">
        <v>0</v>
      </c>
      <c r="E25" s="450">
        <v>0</v>
      </c>
      <c r="F25" s="450">
        <v>0</v>
      </c>
      <c r="G25" s="450">
        <v>0</v>
      </c>
      <c r="H25" s="450">
        <v>0</v>
      </c>
      <c r="I25" s="200"/>
      <c r="N25" s="35"/>
      <c r="O25" s="35"/>
    </row>
    <row r="26" spans="2:15" x14ac:dyDescent="0.2">
      <c r="B26" s="205"/>
      <c r="C26" s="324">
        <v>2</v>
      </c>
      <c r="D26" s="450">
        <v>0</v>
      </c>
      <c r="E26" s="450">
        <v>0</v>
      </c>
      <c r="F26" s="450">
        <v>0</v>
      </c>
      <c r="G26" s="450">
        <v>0</v>
      </c>
      <c r="H26" s="450">
        <v>0</v>
      </c>
      <c r="I26" s="200"/>
      <c r="N26" s="35"/>
      <c r="O26" s="35"/>
    </row>
    <row r="27" spans="2:15" x14ac:dyDescent="0.2">
      <c r="B27" s="205"/>
      <c r="C27" s="324">
        <v>3</v>
      </c>
      <c r="D27" s="451">
        <v>64.877499999999998</v>
      </c>
      <c r="E27" s="451">
        <v>64.877499999999998</v>
      </c>
      <c r="F27" s="451">
        <v>64.877499999999998</v>
      </c>
      <c r="G27" s="451">
        <v>64.877499999999998</v>
      </c>
      <c r="H27" s="451">
        <v>64.877499999999998</v>
      </c>
      <c r="I27" s="200"/>
      <c r="N27" s="35"/>
      <c r="O27" s="35"/>
    </row>
    <row r="28" spans="2:15" x14ac:dyDescent="0.2">
      <c r="B28" s="205"/>
      <c r="C28" s="324">
        <v>4</v>
      </c>
      <c r="D28" s="451">
        <v>67.693749999999994</v>
      </c>
      <c r="E28" s="451">
        <v>67.693749999999994</v>
      </c>
      <c r="F28" s="451">
        <v>67.693749999999994</v>
      </c>
      <c r="G28" s="451">
        <v>67.693749999999994</v>
      </c>
      <c r="H28" s="451">
        <v>67.693749999999994</v>
      </c>
      <c r="I28" s="200"/>
      <c r="N28" s="35"/>
      <c r="O28" s="35"/>
    </row>
    <row r="29" spans="2:15" x14ac:dyDescent="0.2">
      <c r="B29" s="205"/>
      <c r="C29" s="324">
        <v>5</v>
      </c>
      <c r="D29" s="451">
        <v>57.774999999999999</v>
      </c>
      <c r="E29" s="451">
        <v>57.774999999999999</v>
      </c>
      <c r="F29" s="451">
        <v>57.774999999999999</v>
      </c>
      <c r="G29" s="451">
        <v>57.774999999999999</v>
      </c>
      <c r="H29" s="451">
        <v>57.774999999999999</v>
      </c>
      <c r="I29" s="200"/>
      <c r="N29" s="35"/>
      <c r="O29" s="35"/>
    </row>
    <row r="30" spans="2:15" x14ac:dyDescent="0.2">
      <c r="B30" s="205"/>
      <c r="C30" s="324">
        <v>6</v>
      </c>
      <c r="D30" s="451">
        <v>23.0833333333333</v>
      </c>
      <c r="E30" s="451">
        <v>23.0833333333333</v>
      </c>
      <c r="F30" s="451">
        <v>23.0833333333333</v>
      </c>
      <c r="G30" s="451">
        <v>23.0833333333333</v>
      </c>
      <c r="H30" s="451">
        <v>23.0833333333333</v>
      </c>
      <c r="I30" s="200"/>
      <c r="N30" s="35"/>
      <c r="O30" s="35"/>
    </row>
    <row r="31" spans="2:15" x14ac:dyDescent="0.2">
      <c r="B31" s="205"/>
      <c r="C31" s="324">
        <v>7</v>
      </c>
      <c r="D31" s="451">
        <v>1.875</v>
      </c>
      <c r="E31" s="451">
        <v>1.875</v>
      </c>
      <c r="F31" s="451">
        <v>1.875</v>
      </c>
      <c r="G31" s="451">
        <v>1.875</v>
      </c>
      <c r="H31" s="451">
        <v>1.875</v>
      </c>
      <c r="I31" s="200"/>
      <c r="N31" s="35"/>
      <c r="O31" s="35"/>
    </row>
    <row r="32" spans="2:15" x14ac:dyDescent="0.2">
      <c r="B32" s="206"/>
      <c r="C32" s="198">
        <v>8</v>
      </c>
      <c r="D32" s="451">
        <v>0.33333333333333298</v>
      </c>
      <c r="E32" s="451">
        <v>0.33333333333333298</v>
      </c>
      <c r="F32" s="451">
        <v>0.33333333333333298</v>
      </c>
      <c r="G32" s="451">
        <v>0.33333333333333298</v>
      </c>
      <c r="H32" s="451">
        <v>0.33333333333333298</v>
      </c>
      <c r="I32" s="200"/>
      <c r="N32" s="35"/>
      <c r="O32" s="35"/>
    </row>
    <row r="33" spans="2:9" x14ac:dyDescent="0.2">
      <c r="B33" s="205" t="s">
        <v>170</v>
      </c>
      <c r="C33" s="324">
        <v>1</v>
      </c>
      <c r="D33" s="450">
        <v>0</v>
      </c>
      <c r="E33" s="450">
        <v>0</v>
      </c>
      <c r="F33" s="450">
        <v>0</v>
      </c>
      <c r="G33" s="450">
        <v>0</v>
      </c>
      <c r="H33" s="450">
        <v>0</v>
      </c>
      <c r="I33" s="200"/>
    </row>
    <row r="34" spans="2:9" x14ac:dyDescent="0.2">
      <c r="B34" s="205"/>
      <c r="C34" s="324">
        <v>2</v>
      </c>
      <c r="D34" s="450">
        <v>0</v>
      </c>
      <c r="E34" s="450">
        <v>0</v>
      </c>
      <c r="F34" s="450">
        <v>0</v>
      </c>
      <c r="G34" s="450">
        <v>0</v>
      </c>
      <c r="H34" s="450">
        <v>0</v>
      </c>
      <c r="I34" s="200"/>
    </row>
    <row r="35" spans="2:9" x14ac:dyDescent="0.2">
      <c r="B35" s="205"/>
      <c r="C35" s="324">
        <v>3</v>
      </c>
      <c r="D35" s="451">
        <v>37.5</v>
      </c>
      <c r="E35" s="451">
        <v>37.5</v>
      </c>
      <c r="F35" s="451">
        <v>37.5</v>
      </c>
      <c r="G35" s="451">
        <v>37.5</v>
      </c>
      <c r="H35" s="451">
        <v>37.5</v>
      </c>
      <c r="I35" s="200"/>
    </row>
    <row r="36" spans="2:9" x14ac:dyDescent="0.2">
      <c r="B36" s="205"/>
      <c r="C36" s="324">
        <v>4</v>
      </c>
      <c r="D36" s="451">
        <v>37.563333333333297</v>
      </c>
      <c r="E36" s="451">
        <v>37.563333333333297</v>
      </c>
      <c r="F36" s="451">
        <v>37.563333333333297</v>
      </c>
      <c r="G36" s="451">
        <v>37.563333333333297</v>
      </c>
      <c r="H36" s="451">
        <v>37.563333333333297</v>
      </c>
      <c r="I36" s="200"/>
    </row>
    <row r="37" spans="2:9" x14ac:dyDescent="0.2">
      <c r="B37" s="205"/>
      <c r="C37" s="324">
        <v>5</v>
      </c>
      <c r="D37" s="451">
        <v>37.753333333333302</v>
      </c>
      <c r="E37" s="451">
        <v>37.753333333333302</v>
      </c>
      <c r="F37" s="451">
        <v>37.753333333333302</v>
      </c>
      <c r="G37" s="451">
        <v>37.753333333333302</v>
      </c>
      <c r="H37" s="451">
        <v>37.753333333333302</v>
      </c>
      <c r="I37" s="200"/>
    </row>
    <row r="38" spans="2:9" x14ac:dyDescent="0.2">
      <c r="B38" s="205"/>
      <c r="C38" s="324">
        <v>6</v>
      </c>
      <c r="D38" s="451">
        <v>9</v>
      </c>
      <c r="E38" s="451">
        <v>9</v>
      </c>
      <c r="F38" s="451">
        <v>9</v>
      </c>
      <c r="G38" s="451">
        <v>9</v>
      </c>
      <c r="H38" s="451">
        <v>9</v>
      </c>
      <c r="I38" s="200"/>
    </row>
    <row r="39" spans="2:9" x14ac:dyDescent="0.2">
      <c r="B39" s="205"/>
      <c r="C39" s="324">
        <v>7</v>
      </c>
      <c r="D39" s="451">
        <v>0.5</v>
      </c>
      <c r="E39" s="451">
        <v>0.5</v>
      </c>
      <c r="F39" s="451">
        <v>0.5</v>
      </c>
      <c r="G39" s="451">
        <v>0.5</v>
      </c>
      <c r="H39" s="451">
        <v>0.5</v>
      </c>
      <c r="I39" s="200"/>
    </row>
    <row r="40" spans="2:9" x14ac:dyDescent="0.2">
      <c r="B40" s="205"/>
      <c r="C40" s="198">
        <v>8</v>
      </c>
      <c r="D40" s="451">
        <v>8.3333333333333301E-2</v>
      </c>
      <c r="E40" s="451">
        <v>8.3333333333333301E-2</v>
      </c>
      <c r="F40" s="451">
        <v>8.3333333333333301E-2</v>
      </c>
      <c r="G40" s="451">
        <v>8.3333333333333301E-2</v>
      </c>
      <c r="H40" s="451">
        <v>8.3333333333333301E-2</v>
      </c>
      <c r="I40" s="200"/>
    </row>
    <row r="41" spans="2:9" x14ac:dyDescent="0.2">
      <c r="B41" s="208"/>
      <c r="C41" s="207"/>
      <c r="D41" s="208"/>
      <c r="E41" s="208"/>
      <c r="F41" s="208"/>
      <c r="G41" s="209"/>
      <c r="H41" s="209"/>
      <c r="I41" s="200"/>
    </row>
    <row r="42" spans="2:9" x14ac:dyDescent="0.2">
      <c r="B42" s="201"/>
      <c r="C42" s="202"/>
      <c r="D42" s="201"/>
      <c r="E42" s="201"/>
      <c r="F42" s="201"/>
      <c r="G42" s="200"/>
      <c r="H42" s="200"/>
      <c r="I42" s="200"/>
    </row>
  </sheetData>
  <mergeCells count="1">
    <mergeCell ref="D4:H4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J48"/>
  <sheetViews>
    <sheetView showGridLines="0" workbookViewId="0"/>
  </sheetViews>
  <sheetFormatPr defaultRowHeight="12.75" x14ac:dyDescent="0.2"/>
  <cols>
    <col min="1" max="1" width="5" style="7" customWidth="1"/>
    <col min="2" max="2" width="8.7109375" style="7" customWidth="1"/>
    <col min="3" max="3" width="6.140625" style="7" bestFit="1" customWidth="1"/>
    <col min="4" max="6" width="3.5703125" style="7" bestFit="1" customWidth="1"/>
    <col min="7" max="7" width="4.5703125" style="7" customWidth="1"/>
    <col min="8" max="13" width="4.5703125" style="7" bestFit="1" customWidth="1"/>
    <col min="14" max="14" width="6.28515625" style="7" customWidth="1"/>
    <col min="15" max="20" width="4.5703125" style="7" bestFit="1" customWidth="1"/>
    <col min="21" max="21" width="5.7109375" style="7" customWidth="1"/>
    <col min="22" max="24" width="7.5703125" style="7" bestFit="1" customWidth="1"/>
    <col min="25" max="25" width="6.42578125" style="7" customWidth="1"/>
    <col min="26" max="26" width="5.5703125" style="7" customWidth="1"/>
    <col min="27" max="27" width="5.28515625" style="7" customWidth="1"/>
    <col min="28" max="28" width="5.140625" style="7" customWidth="1"/>
    <col min="29" max="29" width="5.5703125" style="7" customWidth="1"/>
    <col min="30" max="30" width="7.28515625" style="7" customWidth="1"/>
    <col min="31" max="31" width="7.42578125" style="7" customWidth="1"/>
    <col min="32" max="36" width="4.5703125" style="7" bestFit="1" customWidth="1"/>
    <col min="37" max="46" width="5.5703125" style="7" bestFit="1" customWidth="1"/>
    <col min="47" max="47" width="8.7109375" style="7" bestFit="1" customWidth="1"/>
    <col min="48" max="48" width="5.85546875" style="7" bestFit="1" customWidth="1"/>
    <col min="49" max="49" width="6.42578125" style="7" bestFit="1" customWidth="1"/>
    <col min="50" max="50" width="7.28515625" style="7" bestFit="1" customWidth="1"/>
    <col min="51" max="16384" width="9.140625" style="7"/>
  </cols>
  <sheetData>
    <row r="2" spans="2:62" x14ac:dyDescent="0.2">
      <c r="B2" s="76" t="s">
        <v>220</v>
      </c>
    </row>
    <row r="3" spans="2:62" x14ac:dyDescent="0.2">
      <c r="T3" s="581" t="s">
        <v>173</v>
      </c>
      <c r="U3" s="581"/>
      <c r="V3" s="581"/>
      <c r="W3" s="581"/>
      <c r="X3" s="581"/>
      <c r="Y3" s="582" t="s">
        <v>207</v>
      </c>
      <c r="Z3" s="582"/>
      <c r="AA3" s="582"/>
      <c r="AB3" s="582"/>
      <c r="AC3" s="582"/>
    </row>
    <row r="4" spans="2:62" ht="12.75" customHeight="1" x14ac:dyDescent="0.2">
      <c r="B4" s="216" t="s">
        <v>99</v>
      </c>
      <c r="C4" s="224"/>
      <c r="D4" s="583" t="s">
        <v>182</v>
      </c>
      <c r="E4" s="584"/>
      <c r="F4" s="584"/>
      <c r="G4" s="584"/>
      <c r="H4" s="585"/>
      <c r="I4" s="583" t="s">
        <v>183</v>
      </c>
      <c r="J4" s="584"/>
      <c r="K4" s="584"/>
      <c r="L4" s="584"/>
      <c r="M4" s="585"/>
      <c r="N4" s="586" t="s">
        <v>177</v>
      </c>
      <c r="O4" s="582" t="s">
        <v>204</v>
      </c>
      <c r="P4" s="581"/>
      <c r="Q4" s="581"/>
      <c r="R4" s="581"/>
      <c r="S4" s="588"/>
      <c r="T4" s="581"/>
      <c r="U4" s="581"/>
      <c r="V4" s="581"/>
      <c r="W4" s="581"/>
      <c r="X4" s="581"/>
      <c r="Y4" s="582"/>
      <c r="Z4" s="582"/>
      <c r="AA4" s="582"/>
      <c r="AB4" s="582"/>
      <c r="AC4" s="582"/>
      <c r="AD4" s="586" t="s">
        <v>2</v>
      </c>
      <c r="AE4" s="589" t="s">
        <v>206</v>
      </c>
      <c r="AF4" s="582" t="s">
        <v>205</v>
      </c>
      <c r="AG4" s="581"/>
      <c r="AH4" s="581"/>
      <c r="AI4" s="581"/>
      <c r="AJ4" s="588"/>
      <c r="AK4" s="581" t="s">
        <v>174</v>
      </c>
      <c r="AL4" s="581"/>
      <c r="AM4" s="581"/>
      <c r="AN4" s="581"/>
      <c r="AO4" s="588"/>
      <c r="AP4" s="591" t="s">
        <v>175</v>
      </c>
      <c r="AQ4" s="591"/>
      <c r="AR4" s="591"/>
      <c r="AS4" s="591"/>
      <c r="AT4" s="592"/>
      <c r="AU4" s="580" t="s">
        <v>176</v>
      </c>
      <c r="AV4" s="580"/>
      <c r="AW4" s="580"/>
      <c r="AX4" s="580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</row>
    <row r="5" spans="2:62" x14ac:dyDescent="0.2">
      <c r="B5" s="219" t="s">
        <v>1</v>
      </c>
      <c r="C5" s="225" t="s">
        <v>0</v>
      </c>
      <c r="D5" s="220">
        <v>1</v>
      </c>
      <c r="E5" s="220">
        <v>2</v>
      </c>
      <c r="F5" s="220">
        <v>3</v>
      </c>
      <c r="G5" s="220">
        <v>4</v>
      </c>
      <c r="H5" s="221">
        <v>5</v>
      </c>
      <c r="I5" s="220">
        <v>1</v>
      </c>
      <c r="J5" s="220">
        <v>2</v>
      </c>
      <c r="K5" s="220">
        <v>3</v>
      </c>
      <c r="L5" s="220">
        <v>4</v>
      </c>
      <c r="M5" s="221">
        <v>5</v>
      </c>
      <c r="N5" s="587"/>
      <c r="O5" s="263">
        <v>1</v>
      </c>
      <c r="P5" s="263">
        <v>2</v>
      </c>
      <c r="Q5" s="263">
        <v>3</v>
      </c>
      <c r="R5" s="263">
        <v>4</v>
      </c>
      <c r="S5" s="270">
        <v>5</v>
      </c>
      <c r="T5" s="281">
        <v>1</v>
      </c>
      <c r="U5" s="282">
        <v>2</v>
      </c>
      <c r="V5" s="282">
        <v>3</v>
      </c>
      <c r="W5" s="282">
        <v>4</v>
      </c>
      <c r="X5" s="283">
        <v>5</v>
      </c>
      <c r="Y5" s="282">
        <v>1</v>
      </c>
      <c r="Z5" s="282">
        <v>2</v>
      </c>
      <c r="AA5" s="282">
        <v>3</v>
      </c>
      <c r="AB5" s="282">
        <v>4</v>
      </c>
      <c r="AC5" s="283">
        <v>5</v>
      </c>
      <c r="AD5" s="586"/>
      <c r="AE5" s="590"/>
      <c r="AF5" s="281">
        <v>1</v>
      </c>
      <c r="AG5" s="282">
        <v>2</v>
      </c>
      <c r="AH5" s="282">
        <v>3</v>
      </c>
      <c r="AI5" s="282">
        <v>4</v>
      </c>
      <c r="AJ5" s="283">
        <v>5</v>
      </c>
      <c r="AK5" s="297">
        <v>1</v>
      </c>
      <c r="AL5" s="220">
        <v>2</v>
      </c>
      <c r="AM5" s="220">
        <v>3</v>
      </c>
      <c r="AN5" s="220">
        <v>4</v>
      </c>
      <c r="AO5" s="221">
        <v>5</v>
      </c>
      <c r="AP5" s="282">
        <v>1</v>
      </c>
      <c r="AQ5" s="282">
        <v>2</v>
      </c>
      <c r="AR5" s="282">
        <v>3</v>
      </c>
      <c r="AS5" s="282">
        <v>4</v>
      </c>
      <c r="AT5" s="283">
        <v>5</v>
      </c>
      <c r="AU5" s="298" t="s">
        <v>178</v>
      </c>
      <c r="AV5" s="282" t="s">
        <v>179</v>
      </c>
      <c r="AW5" s="282" t="s">
        <v>180</v>
      </c>
      <c r="AX5" s="282" t="s">
        <v>181</v>
      </c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</row>
    <row r="6" spans="2:62" x14ac:dyDescent="0.2">
      <c r="B6" s="217">
        <v>1</v>
      </c>
      <c r="C6" s="224" t="s">
        <v>9</v>
      </c>
      <c r="D6" s="218">
        <f>Baseline!AL31</f>
        <v>0.34178944291052044</v>
      </c>
      <c r="E6" s="218">
        <f>Baseline!AM31</f>
        <v>0.86022138962281691</v>
      </c>
      <c r="F6" s="218">
        <f>Baseline!AN31</f>
        <v>1.6301922696081339</v>
      </c>
      <c r="G6" s="218">
        <f>Baseline!AO31</f>
        <v>3.089352192294788</v>
      </c>
      <c r="H6" s="222">
        <f>Baseline!AP31</f>
        <v>7.7753332966046385</v>
      </c>
      <c r="I6" s="218">
        <f>IF(D6+'Non-travel METs'!D6&gt;2.5, D6+'Non-travel METs'!D6, 0.1)</f>
        <v>0.1</v>
      </c>
      <c r="J6" s="218">
        <f>IF(E6+'Non-travel METs'!E6&gt;2.5, E6+'Non-travel METs'!E6, 0.1)</f>
        <v>0.1</v>
      </c>
      <c r="K6" s="218">
        <f>IF(F6+'Non-travel METs'!F6&gt;2.5, F6+'Non-travel METs'!F6, 0.1)</f>
        <v>0.1</v>
      </c>
      <c r="L6" s="218">
        <f>IF(G6+'Non-travel METs'!G6&gt;2.5, G6+'Non-travel METs'!G6, 0.1)</f>
        <v>3.089352192294788</v>
      </c>
      <c r="M6" s="223">
        <f>IF(H6+'Non-travel METs'!H6&gt;2.5, H6+'Non-travel METs'!H6, 0.1)</f>
        <v>7.7753332966046385</v>
      </c>
      <c r="N6" s="266">
        <v>1</v>
      </c>
      <c r="O6" s="261">
        <f>$N6^(I6^0.5)</f>
        <v>1</v>
      </c>
      <c r="P6" s="261">
        <f t="shared" ref="P6:S21" si="0">$N6^(J6^0.5)</f>
        <v>1</v>
      </c>
      <c r="Q6" s="261">
        <f t="shared" si="0"/>
        <v>1</v>
      </c>
      <c r="R6" s="261">
        <f t="shared" si="0"/>
        <v>1</v>
      </c>
      <c r="S6" s="271">
        <f t="shared" si="0"/>
        <v>1</v>
      </c>
      <c r="T6" s="275"/>
      <c r="U6" s="275"/>
      <c r="V6" s="275"/>
      <c r="W6" s="275"/>
      <c r="X6" s="276"/>
      <c r="Y6" s="262">
        <f>O6/$O6</f>
        <v>1</v>
      </c>
      <c r="Z6" s="262">
        <f t="shared" ref="Z6:AC21" si="1">P6/$O6</f>
        <v>1</v>
      </c>
      <c r="AA6" s="262">
        <f t="shared" si="1"/>
        <v>1</v>
      </c>
      <c r="AB6" s="262">
        <f t="shared" si="1"/>
        <v>1</v>
      </c>
      <c r="AC6" s="286">
        <f t="shared" si="1"/>
        <v>1</v>
      </c>
      <c r="AD6" s="289"/>
      <c r="AE6" s="290"/>
      <c r="AF6" s="214">
        <f>GBDUS!K7/(Y6+Z6+AA6+AB6+AC6)</f>
        <v>0</v>
      </c>
      <c r="AG6" s="214">
        <f>$AF6*Z6</f>
        <v>0</v>
      </c>
      <c r="AH6" s="214">
        <f t="shared" ref="AH6:AJ21" si="2">$AF6*AA6</f>
        <v>0</v>
      </c>
      <c r="AI6" s="214">
        <f t="shared" si="2"/>
        <v>0</v>
      </c>
      <c r="AJ6" s="292">
        <f t="shared" si="2"/>
        <v>0</v>
      </c>
      <c r="AK6" s="301">
        <f>GBDUS!L7/(Y6+Z6+AA6+AB6+AC6)</f>
        <v>0</v>
      </c>
      <c r="AL6" s="301">
        <f>$AK6*Z6</f>
        <v>0</v>
      </c>
      <c r="AM6" s="301">
        <f t="shared" ref="AM6:AO21" si="3">$AK6*AA6</f>
        <v>0</v>
      </c>
      <c r="AN6" s="301">
        <f t="shared" si="3"/>
        <v>0</v>
      </c>
      <c r="AO6" s="303">
        <f t="shared" si="3"/>
        <v>0</v>
      </c>
      <c r="AP6" s="301">
        <f>GBDUS!M7/(Y6+Z6+AA6+AB6+AC6)</f>
        <v>0</v>
      </c>
      <c r="AQ6" s="301">
        <f>$AP6*Z6</f>
        <v>0</v>
      </c>
      <c r="AR6" s="301">
        <f t="shared" ref="AR6:AT21" si="4">$AP6*AA6</f>
        <v>0</v>
      </c>
      <c r="AS6" s="301">
        <f t="shared" si="4"/>
        <v>0</v>
      </c>
      <c r="AT6" s="302">
        <f t="shared" si="4"/>
        <v>0</v>
      </c>
      <c r="AU6" s="299"/>
      <c r="AV6" s="299"/>
      <c r="AW6" s="299"/>
      <c r="AX6" s="299"/>
    </row>
    <row r="7" spans="2:62" x14ac:dyDescent="0.2">
      <c r="B7" s="217">
        <v>1</v>
      </c>
      <c r="C7" s="224" t="s">
        <v>10</v>
      </c>
      <c r="D7" s="218">
        <f>Baseline!AL32</f>
        <v>0.70925660709360083</v>
      </c>
      <c r="E7" s="218">
        <f>Baseline!AM32</f>
        <v>1.7850688978505065</v>
      </c>
      <c r="F7" s="218">
        <f>Baseline!AN32</f>
        <v>3.382856498452989</v>
      </c>
      <c r="G7" s="218">
        <f>Baseline!AO32</f>
        <v>6.410799102995739</v>
      </c>
      <c r="H7" s="223">
        <f>Baseline!AP32</f>
        <v>16.134806464503455</v>
      </c>
      <c r="I7" s="218">
        <f>IF(D7+'Non-travel METs'!D7&gt;2.5, D7+'Non-travel METs'!D7, 0.1)</f>
        <v>0.1</v>
      </c>
      <c r="J7" s="218">
        <f>IF(E7+'Non-travel METs'!E7&gt;2.5, E7+'Non-travel METs'!E7, 0.1)</f>
        <v>0.1</v>
      </c>
      <c r="K7" s="218">
        <f>IF(F7+'Non-travel METs'!F7&gt;2.5, F7+'Non-travel METs'!F7, 0.1)</f>
        <v>3.382856498452989</v>
      </c>
      <c r="L7" s="218">
        <f>IF(G7+'Non-travel METs'!G7&gt;2.5, G7+'Non-travel METs'!G7, 0.1)</f>
        <v>6.410799102995739</v>
      </c>
      <c r="M7" s="223">
        <f>IF(H7+'Non-travel METs'!H7&gt;2.5, H7+'Non-travel METs'!H7, 0.1)</f>
        <v>16.134806464503455</v>
      </c>
      <c r="N7" s="266">
        <v>1</v>
      </c>
      <c r="O7" s="261">
        <f t="shared" ref="O7:O13" si="5">$N7^(I7^0.5)</f>
        <v>1</v>
      </c>
      <c r="P7" s="261">
        <f t="shared" si="0"/>
        <v>1</v>
      </c>
      <c r="Q7" s="261">
        <f t="shared" si="0"/>
        <v>1</v>
      </c>
      <c r="R7" s="261">
        <f t="shared" si="0"/>
        <v>1</v>
      </c>
      <c r="S7" s="271">
        <f t="shared" si="0"/>
        <v>1</v>
      </c>
      <c r="T7" s="275"/>
      <c r="U7" s="275"/>
      <c r="V7" s="275"/>
      <c r="W7" s="275"/>
      <c r="X7" s="276"/>
      <c r="Y7" s="262">
        <f t="shared" ref="Y7:Y21" si="6">O7/$O7</f>
        <v>1</v>
      </c>
      <c r="Z7" s="262">
        <f t="shared" si="1"/>
        <v>1</v>
      </c>
      <c r="AA7" s="262">
        <f t="shared" si="1"/>
        <v>1</v>
      </c>
      <c r="AB7" s="262">
        <f t="shared" si="1"/>
        <v>1</v>
      </c>
      <c r="AC7" s="273">
        <f t="shared" si="1"/>
        <v>1</v>
      </c>
      <c r="AD7" s="290"/>
      <c r="AE7" s="290"/>
      <c r="AF7" s="214">
        <f>GBDUS!K8/(Y7+Z7+AA7+AB7+AC7)</f>
        <v>0</v>
      </c>
      <c r="AG7" s="214">
        <f t="shared" ref="AG7:AG21" si="7">$AF7*Z7</f>
        <v>0</v>
      </c>
      <c r="AH7" s="214">
        <f t="shared" si="2"/>
        <v>0</v>
      </c>
      <c r="AI7" s="214">
        <f t="shared" si="2"/>
        <v>0</v>
      </c>
      <c r="AJ7" s="292">
        <f t="shared" si="2"/>
        <v>0</v>
      </c>
      <c r="AK7" s="301">
        <f>GBDUS!L8/(Y7+Z7+AA7+AB7+AC7)</f>
        <v>0</v>
      </c>
      <c r="AL7" s="301">
        <f t="shared" ref="AL7:AL21" si="8">$AK7*Z7</f>
        <v>0</v>
      </c>
      <c r="AM7" s="301">
        <f t="shared" si="3"/>
        <v>0</v>
      </c>
      <c r="AN7" s="301">
        <f t="shared" si="3"/>
        <v>0</v>
      </c>
      <c r="AO7" s="303">
        <f t="shared" si="3"/>
        <v>0</v>
      </c>
      <c r="AP7" s="301">
        <f>GBDUS!M8/(Y7+Z7+AA7+AB7+AC7)</f>
        <v>0</v>
      </c>
      <c r="AQ7" s="301">
        <f t="shared" ref="AQ7:AQ21" si="9">$AP7*Z7</f>
        <v>0</v>
      </c>
      <c r="AR7" s="301">
        <f t="shared" si="4"/>
        <v>0</v>
      </c>
      <c r="AS7" s="301">
        <f t="shared" si="4"/>
        <v>0</v>
      </c>
      <c r="AT7" s="303">
        <f t="shared" si="4"/>
        <v>0</v>
      </c>
      <c r="AU7" s="299"/>
      <c r="AV7" s="299"/>
      <c r="AW7" s="299"/>
      <c r="AX7" s="299"/>
    </row>
    <row r="8" spans="2:62" x14ac:dyDescent="0.2">
      <c r="B8" s="217">
        <v>1</v>
      </c>
      <c r="C8" s="224" t="s">
        <v>11</v>
      </c>
      <c r="D8" s="218">
        <f>Baseline!AL33</f>
        <v>0.54814846293685915</v>
      </c>
      <c r="E8" s="218">
        <f>Baseline!AM33</f>
        <v>1.3795892245583525</v>
      </c>
      <c r="F8" s="218">
        <f>Baseline!AN33</f>
        <v>2.614438232111187</v>
      </c>
      <c r="G8" s="218">
        <f>Baseline!AO33</f>
        <v>4.9545815144452483</v>
      </c>
      <c r="H8" s="223">
        <f>Baseline!AP33</f>
        <v>12.469773668437746</v>
      </c>
      <c r="I8" s="218">
        <f>IF(D8+'Non-travel METs'!D8&gt;2.5, D8+'Non-travel METs'!D8, 0.1)</f>
        <v>65.425648462936863</v>
      </c>
      <c r="J8" s="218">
        <f>IF(E8+'Non-travel METs'!E8&gt;2.5, E8+'Non-travel METs'!E8, 0.1)</f>
        <v>66.257089224558356</v>
      </c>
      <c r="K8" s="218">
        <f>IF(F8+'Non-travel METs'!F8&gt;2.5, F8+'Non-travel METs'!F8, 0.1)</f>
        <v>67.491938232111181</v>
      </c>
      <c r="L8" s="218">
        <f>IF(G8+'Non-travel METs'!G8&gt;2.5, G8+'Non-travel METs'!G8, 0.1)</f>
        <v>69.83208151444525</v>
      </c>
      <c r="M8" s="223">
        <f>IF(H8+'Non-travel METs'!H8&gt;2.5, H8+'Non-travel METs'!H8, 0.1)</f>
        <v>77.347273668437737</v>
      </c>
      <c r="N8" s="266">
        <v>1</v>
      </c>
      <c r="O8" s="261">
        <f t="shared" si="5"/>
        <v>1</v>
      </c>
      <c r="P8" s="261">
        <f t="shared" si="0"/>
        <v>1</v>
      </c>
      <c r="Q8" s="261">
        <f t="shared" si="0"/>
        <v>1</v>
      </c>
      <c r="R8" s="261">
        <f t="shared" si="0"/>
        <v>1</v>
      </c>
      <c r="S8" s="271">
        <f t="shared" si="0"/>
        <v>1</v>
      </c>
      <c r="T8" s="275"/>
      <c r="U8" s="275"/>
      <c r="V8" s="275"/>
      <c r="W8" s="275"/>
      <c r="X8" s="276"/>
      <c r="Y8" s="262">
        <f t="shared" si="6"/>
        <v>1</v>
      </c>
      <c r="Z8" s="262">
        <f t="shared" si="1"/>
        <v>1</v>
      </c>
      <c r="AA8" s="262">
        <f t="shared" si="1"/>
        <v>1</v>
      </c>
      <c r="AB8" s="262">
        <f t="shared" si="1"/>
        <v>1</v>
      </c>
      <c r="AC8" s="273">
        <f t="shared" si="1"/>
        <v>1</v>
      </c>
      <c r="AD8" s="290"/>
      <c r="AE8" s="290"/>
      <c r="AF8" s="214">
        <f>GBDUS!K9/(Y8+Z8+AA8+AB8+AC8)</f>
        <v>0</v>
      </c>
      <c r="AG8" s="214">
        <f t="shared" si="7"/>
        <v>0</v>
      </c>
      <c r="AH8" s="214">
        <f t="shared" si="2"/>
        <v>0</v>
      </c>
      <c r="AI8" s="214">
        <f t="shared" si="2"/>
        <v>0</v>
      </c>
      <c r="AJ8" s="292">
        <f t="shared" si="2"/>
        <v>0</v>
      </c>
      <c r="AK8" s="301">
        <f>GBDUS!L9/(Y8+Z8+AA8+AB8+AC8)</f>
        <v>0</v>
      </c>
      <c r="AL8" s="301">
        <f t="shared" si="8"/>
        <v>0</v>
      </c>
      <c r="AM8" s="301">
        <f t="shared" si="3"/>
        <v>0</v>
      </c>
      <c r="AN8" s="301">
        <f t="shared" si="3"/>
        <v>0</v>
      </c>
      <c r="AO8" s="303">
        <f t="shared" si="3"/>
        <v>0</v>
      </c>
      <c r="AP8" s="301">
        <f>GBDUS!M9/(Y8+Z8+AA8+AB8+AC8)</f>
        <v>0</v>
      </c>
      <c r="AQ8" s="301">
        <f t="shared" si="9"/>
        <v>0</v>
      </c>
      <c r="AR8" s="301">
        <f t="shared" si="4"/>
        <v>0</v>
      </c>
      <c r="AS8" s="301">
        <f t="shared" si="4"/>
        <v>0</v>
      </c>
      <c r="AT8" s="303">
        <f t="shared" si="4"/>
        <v>0</v>
      </c>
      <c r="AU8" s="299"/>
      <c r="AV8" s="299"/>
      <c r="AW8" s="299"/>
      <c r="AX8" s="299"/>
    </row>
    <row r="9" spans="2:62" x14ac:dyDescent="0.2">
      <c r="B9" s="217">
        <v>1</v>
      </c>
      <c r="C9" s="224" t="s">
        <v>12</v>
      </c>
      <c r="D9" s="218">
        <f>Baseline!AL34</f>
        <v>0.47247961244187975</v>
      </c>
      <c r="E9" s="218">
        <f>Baseline!AM34</f>
        <v>1.1891445953455264</v>
      </c>
      <c r="F9" s="218">
        <f>Baseline!AN34</f>
        <v>2.253529556651181</v>
      </c>
      <c r="G9" s="218">
        <f>Baseline!AO34</f>
        <v>4.2706290577092139</v>
      </c>
      <c r="H9" s="223">
        <f>Baseline!AP34</f>
        <v>10.7483906796617</v>
      </c>
      <c r="I9" s="218">
        <f>IF(D9+'Non-travel METs'!D9&gt;2.5, D9+'Non-travel METs'!D9, 0.1)</f>
        <v>68.166229612441867</v>
      </c>
      <c r="J9" s="218">
        <f>IF(E9+'Non-travel METs'!E9&gt;2.5, E9+'Non-travel METs'!E9, 0.1)</f>
        <v>68.882894595345519</v>
      </c>
      <c r="K9" s="218">
        <f>IF(F9+'Non-travel METs'!F9&gt;2.5, F9+'Non-travel METs'!F9, 0.1)</f>
        <v>69.947279556651182</v>
      </c>
      <c r="L9" s="218">
        <f>IF(G9+'Non-travel METs'!G9&gt;2.5, G9+'Non-travel METs'!G9, 0.1)</f>
        <v>71.964379057709209</v>
      </c>
      <c r="M9" s="223">
        <f>IF(H9+'Non-travel METs'!H9&gt;2.5, H9+'Non-travel METs'!H9, 0.1)</f>
        <v>78.442140679661691</v>
      </c>
      <c r="N9" s="266">
        <v>1</v>
      </c>
      <c r="O9" s="261">
        <f t="shared" si="5"/>
        <v>1</v>
      </c>
      <c r="P9" s="261">
        <f t="shared" si="0"/>
        <v>1</v>
      </c>
      <c r="Q9" s="261">
        <f t="shared" si="0"/>
        <v>1</v>
      </c>
      <c r="R9" s="261">
        <f t="shared" si="0"/>
        <v>1</v>
      </c>
      <c r="S9" s="271">
        <f t="shared" si="0"/>
        <v>1</v>
      </c>
      <c r="T9" s="275"/>
      <c r="U9" s="275"/>
      <c r="V9" s="275"/>
      <c r="W9" s="275"/>
      <c r="X9" s="276"/>
      <c r="Y9" s="262">
        <f t="shared" si="6"/>
        <v>1</v>
      </c>
      <c r="Z9" s="262">
        <f t="shared" si="1"/>
        <v>1</v>
      </c>
      <c r="AA9" s="262">
        <f t="shared" si="1"/>
        <v>1</v>
      </c>
      <c r="AB9" s="262">
        <f t="shared" si="1"/>
        <v>1</v>
      </c>
      <c r="AC9" s="273">
        <f t="shared" si="1"/>
        <v>1</v>
      </c>
      <c r="AD9" s="290"/>
      <c r="AE9" s="290"/>
      <c r="AF9" s="214">
        <f>GBDUS!K10/(Y9+Z9+AA9+AB9+AC9)</f>
        <v>0</v>
      </c>
      <c r="AG9" s="214">
        <f t="shared" si="7"/>
        <v>0</v>
      </c>
      <c r="AH9" s="214">
        <f t="shared" si="2"/>
        <v>0</v>
      </c>
      <c r="AI9" s="214">
        <f t="shared" si="2"/>
        <v>0</v>
      </c>
      <c r="AJ9" s="292">
        <f t="shared" si="2"/>
        <v>0</v>
      </c>
      <c r="AK9" s="301">
        <f>GBDUS!L10/(Y9+Z9+AA9+AB9+AC9)</f>
        <v>0</v>
      </c>
      <c r="AL9" s="301">
        <f t="shared" si="8"/>
        <v>0</v>
      </c>
      <c r="AM9" s="301">
        <f t="shared" si="3"/>
        <v>0</v>
      </c>
      <c r="AN9" s="301">
        <f t="shared" si="3"/>
        <v>0</v>
      </c>
      <c r="AO9" s="303">
        <f t="shared" si="3"/>
        <v>0</v>
      </c>
      <c r="AP9" s="301">
        <f>GBDUS!M10/(Y9+Z9+AA9+AB9+AC9)</f>
        <v>0</v>
      </c>
      <c r="AQ9" s="301">
        <f t="shared" si="9"/>
        <v>0</v>
      </c>
      <c r="AR9" s="301">
        <f t="shared" si="4"/>
        <v>0</v>
      </c>
      <c r="AS9" s="301">
        <f t="shared" si="4"/>
        <v>0</v>
      </c>
      <c r="AT9" s="303">
        <f t="shared" si="4"/>
        <v>0</v>
      </c>
      <c r="AU9" s="299"/>
      <c r="AV9" s="299"/>
      <c r="AW9" s="299"/>
      <c r="AX9" s="299"/>
    </row>
    <row r="10" spans="2:62" x14ac:dyDescent="0.2">
      <c r="B10" s="217">
        <v>1</v>
      </c>
      <c r="C10" s="224" t="s">
        <v>13</v>
      </c>
      <c r="D10" s="218">
        <f>Baseline!AL35</f>
        <v>0.40064658164119982</v>
      </c>
      <c r="E10" s="218">
        <f>Baseline!AM35</f>
        <v>1.0083540213301772</v>
      </c>
      <c r="F10" s="218">
        <f>Baseline!AN35</f>
        <v>1.9109161320918737</v>
      </c>
      <c r="G10" s="218">
        <f>Baseline!AO35</f>
        <v>3.6213476483903273</v>
      </c>
      <c r="H10" s="223">
        <f>Baseline!AP35</f>
        <v>9.1142683632308312</v>
      </c>
      <c r="I10" s="218">
        <f>IF(D10+'Non-travel METs'!D10&gt;2.5, D10+'Non-travel METs'!D10, 0.1)</f>
        <v>58.175646581641196</v>
      </c>
      <c r="J10" s="218">
        <f>IF(E10+'Non-travel METs'!E10&gt;2.5, E10+'Non-travel METs'!E10, 0.1)</f>
        <v>58.783354021330176</v>
      </c>
      <c r="K10" s="218">
        <f>IF(F10+'Non-travel METs'!F10&gt;2.5, F10+'Non-travel METs'!F10, 0.1)</f>
        <v>59.685916132091876</v>
      </c>
      <c r="L10" s="218">
        <f>IF(G10+'Non-travel METs'!G10&gt;2.5, G10+'Non-travel METs'!G10, 0.1)</f>
        <v>61.396347648390325</v>
      </c>
      <c r="M10" s="223">
        <f>IF(H10+'Non-travel METs'!H10&gt;2.5, H10+'Non-travel METs'!H10, 0.1)</f>
        <v>66.889268363230826</v>
      </c>
      <c r="N10" s="266">
        <v>1</v>
      </c>
      <c r="O10" s="261">
        <f t="shared" si="5"/>
        <v>1</v>
      </c>
      <c r="P10" s="261">
        <f t="shared" si="0"/>
        <v>1</v>
      </c>
      <c r="Q10" s="261">
        <f t="shared" si="0"/>
        <v>1</v>
      </c>
      <c r="R10" s="261">
        <f t="shared" si="0"/>
        <v>1</v>
      </c>
      <c r="S10" s="271">
        <f t="shared" si="0"/>
        <v>1</v>
      </c>
      <c r="T10" s="275"/>
      <c r="U10" s="275"/>
      <c r="V10" s="275"/>
      <c r="W10" s="275"/>
      <c r="X10" s="276"/>
      <c r="Y10" s="262">
        <f t="shared" si="6"/>
        <v>1</v>
      </c>
      <c r="Z10" s="262">
        <f t="shared" si="1"/>
        <v>1</v>
      </c>
      <c r="AA10" s="262">
        <f t="shared" si="1"/>
        <v>1</v>
      </c>
      <c r="AB10" s="262">
        <f t="shared" si="1"/>
        <v>1</v>
      </c>
      <c r="AC10" s="273">
        <f t="shared" si="1"/>
        <v>1</v>
      </c>
      <c r="AD10" s="290"/>
      <c r="AE10" s="290"/>
      <c r="AF10" s="214">
        <f>GBDUS!K11/(Y10+Z10+AA10+AB10+AC10)</f>
        <v>0</v>
      </c>
      <c r="AG10" s="214">
        <f t="shared" si="7"/>
        <v>0</v>
      </c>
      <c r="AH10" s="214">
        <f t="shared" si="2"/>
        <v>0</v>
      </c>
      <c r="AI10" s="214">
        <f t="shared" si="2"/>
        <v>0</v>
      </c>
      <c r="AJ10" s="292">
        <f t="shared" si="2"/>
        <v>0</v>
      </c>
      <c r="AK10" s="301">
        <f>GBDUS!L11/(Y10+Z10+AA10+AB10+AC10)</f>
        <v>0</v>
      </c>
      <c r="AL10" s="301">
        <f t="shared" si="8"/>
        <v>0</v>
      </c>
      <c r="AM10" s="301">
        <f t="shared" si="3"/>
        <v>0</v>
      </c>
      <c r="AN10" s="301">
        <f t="shared" si="3"/>
        <v>0</v>
      </c>
      <c r="AO10" s="303">
        <f t="shared" si="3"/>
        <v>0</v>
      </c>
      <c r="AP10" s="301">
        <f>GBDUS!M11/(Y10+Z10+AA10+AB10+AC10)</f>
        <v>0</v>
      </c>
      <c r="AQ10" s="301">
        <f t="shared" si="9"/>
        <v>0</v>
      </c>
      <c r="AR10" s="301">
        <f t="shared" si="4"/>
        <v>0</v>
      </c>
      <c r="AS10" s="301">
        <f t="shared" si="4"/>
        <v>0</v>
      </c>
      <c r="AT10" s="303">
        <f t="shared" si="4"/>
        <v>0</v>
      </c>
      <c r="AU10" s="299"/>
      <c r="AV10" s="299"/>
      <c r="AW10" s="299"/>
      <c r="AX10" s="299"/>
    </row>
    <row r="11" spans="2:62" x14ac:dyDescent="0.2">
      <c r="B11" s="217">
        <v>1</v>
      </c>
      <c r="C11" s="224" t="s">
        <v>14</v>
      </c>
      <c r="D11" s="218">
        <f>Baseline!AL36</f>
        <v>0.32427865889454843</v>
      </c>
      <c r="E11" s="218">
        <f>Baseline!AM36</f>
        <v>0.8161499553756566</v>
      </c>
      <c r="F11" s="218">
        <f>Baseline!AN36</f>
        <v>1.5466731752366658</v>
      </c>
      <c r="G11" s="218">
        <f>Baseline!AO36</f>
        <v>2.9310764464792394</v>
      </c>
      <c r="H11" s="223">
        <f>Baseline!AP36</f>
        <v>7.3769822508566136</v>
      </c>
      <c r="I11" s="218">
        <f>IF(D11+'Non-travel METs'!D11&gt;2.5, D11+'Non-travel METs'!D11, 0.1)</f>
        <v>23.407611992227849</v>
      </c>
      <c r="J11" s="218">
        <f>IF(E11+'Non-travel METs'!E11&gt;2.5, E11+'Non-travel METs'!E11, 0.1)</f>
        <v>23.899483288708957</v>
      </c>
      <c r="K11" s="218">
        <f>IF(F11+'Non-travel METs'!F11&gt;2.5, F11+'Non-travel METs'!F11, 0.1)</f>
        <v>24.630006508569966</v>
      </c>
      <c r="L11" s="218">
        <f>IF(G11+'Non-travel METs'!G11&gt;2.5, G11+'Non-travel METs'!G11, 0.1)</f>
        <v>26.014409779812539</v>
      </c>
      <c r="M11" s="223">
        <f>IF(H11+'Non-travel METs'!H11&gt;2.5, H11+'Non-travel METs'!H11, 0.1)</f>
        <v>30.460315584189914</v>
      </c>
      <c r="N11" s="266">
        <v>1</v>
      </c>
      <c r="O11" s="261">
        <f t="shared" si="5"/>
        <v>1</v>
      </c>
      <c r="P11" s="261">
        <f t="shared" si="0"/>
        <v>1</v>
      </c>
      <c r="Q11" s="261">
        <f t="shared" si="0"/>
        <v>1</v>
      </c>
      <c r="R11" s="261">
        <f t="shared" si="0"/>
        <v>1</v>
      </c>
      <c r="S11" s="271">
        <f t="shared" si="0"/>
        <v>1</v>
      </c>
      <c r="T11" s="275"/>
      <c r="U11" s="275"/>
      <c r="V11" s="275"/>
      <c r="W11" s="275"/>
      <c r="X11" s="276"/>
      <c r="Y11" s="262">
        <f t="shared" si="6"/>
        <v>1</v>
      </c>
      <c r="Z11" s="262">
        <f t="shared" si="1"/>
        <v>1</v>
      </c>
      <c r="AA11" s="262">
        <f t="shared" si="1"/>
        <v>1</v>
      </c>
      <c r="AB11" s="262">
        <f t="shared" si="1"/>
        <v>1</v>
      </c>
      <c r="AC11" s="273">
        <f t="shared" si="1"/>
        <v>1</v>
      </c>
      <c r="AD11" s="290"/>
      <c r="AE11" s="290"/>
      <c r="AF11" s="214">
        <f>GBDUS!K12/(Y11+Z11+AA11+AB11+AC11)</f>
        <v>0</v>
      </c>
      <c r="AG11" s="214">
        <f t="shared" si="7"/>
        <v>0</v>
      </c>
      <c r="AH11" s="214">
        <f t="shared" si="2"/>
        <v>0</v>
      </c>
      <c r="AI11" s="214">
        <f t="shared" si="2"/>
        <v>0</v>
      </c>
      <c r="AJ11" s="292">
        <f t="shared" si="2"/>
        <v>0</v>
      </c>
      <c r="AK11" s="301">
        <f>GBDUS!L12/(Y11+Z11+AA11+AB11+AC11)</f>
        <v>0</v>
      </c>
      <c r="AL11" s="301">
        <f t="shared" si="8"/>
        <v>0</v>
      </c>
      <c r="AM11" s="301">
        <f t="shared" si="3"/>
        <v>0</v>
      </c>
      <c r="AN11" s="301">
        <f t="shared" si="3"/>
        <v>0</v>
      </c>
      <c r="AO11" s="303">
        <f t="shared" si="3"/>
        <v>0</v>
      </c>
      <c r="AP11" s="301">
        <f>GBDUS!M12/(Y11+Z11+AA11+AB11+AC11)</f>
        <v>0</v>
      </c>
      <c r="AQ11" s="301">
        <f t="shared" si="9"/>
        <v>0</v>
      </c>
      <c r="AR11" s="301">
        <f t="shared" si="4"/>
        <v>0</v>
      </c>
      <c r="AS11" s="301">
        <f t="shared" si="4"/>
        <v>0</v>
      </c>
      <c r="AT11" s="303">
        <f t="shared" si="4"/>
        <v>0</v>
      </c>
      <c r="AU11" s="299"/>
      <c r="AV11" s="299"/>
      <c r="AW11" s="299"/>
      <c r="AX11" s="299"/>
    </row>
    <row r="12" spans="2:62" x14ac:dyDescent="0.2">
      <c r="B12" s="217">
        <v>1</v>
      </c>
      <c r="C12" s="224" t="s">
        <v>15</v>
      </c>
      <c r="D12" s="218">
        <f>Baseline!AL37</f>
        <v>0.187470361714002</v>
      </c>
      <c r="E12" s="218">
        <f>Baseline!AM37</f>
        <v>0.47182854360112558</v>
      </c>
      <c r="F12" s="218">
        <f>Baseline!AN37</f>
        <v>0.89415498572556928</v>
      </c>
      <c r="G12" s="218">
        <f>Baseline!AO37</f>
        <v>1.69449930348806</v>
      </c>
      <c r="H12" s="223">
        <f>Baseline!AP37</f>
        <v>4.2647442037669991</v>
      </c>
      <c r="I12" s="218">
        <f>IF(D12+'Non-travel METs'!D12&gt;2.5, D12+'Non-travel METs'!D12, 0.1)</f>
        <v>0.1</v>
      </c>
      <c r="J12" s="218">
        <f>IF(E12+'Non-travel METs'!E12&gt;2.5, E12+'Non-travel METs'!E12, 0.1)</f>
        <v>0.1</v>
      </c>
      <c r="K12" s="218">
        <f>IF(F12+'Non-travel METs'!F12&gt;2.5, F12+'Non-travel METs'!F12, 0.1)</f>
        <v>2.7691549857255691</v>
      </c>
      <c r="L12" s="218">
        <f>IF(G12+'Non-travel METs'!G12&gt;2.5, G12+'Non-travel METs'!G12, 0.1)</f>
        <v>3.56949930348806</v>
      </c>
      <c r="M12" s="223">
        <f>IF(H12+'Non-travel METs'!H12&gt;2.5, H12+'Non-travel METs'!H12, 0.1)</f>
        <v>6.1397442037669991</v>
      </c>
      <c r="N12" s="266">
        <v>1</v>
      </c>
      <c r="O12" s="261">
        <f t="shared" si="5"/>
        <v>1</v>
      </c>
      <c r="P12" s="261">
        <f t="shared" si="0"/>
        <v>1</v>
      </c>
      <c r="Q12" s="261">
        <f t="shared" si="0"/>
        <v>1</v>
      </c>
      <c r="R12" s="261">
        <f t="shared" si="0"/>
        <v>1</v>
      </c>
      <c r="S12" s="271">
        <f t="shared" si="0"/>
        <v>1</v>
      </c>
      <c r="T12" s="275"/>
      <c r="U12" s="275"/>
      <c r="V12" s="275"/>
      <c r="W12" s="275"/>
      <c r="X12" s="276"/>
      <c r="Y12" s="262">
        <f t="shared" si="6"/>
        <v>1</v>
      </c>
      <c r="Z12" s="262">
        <f t="shared" si="1"/>
        <v>1</v>
      </c>
      <c r="AA12" s="262">
        <f t="shared" si="1"/>
        <v>1</v>
      </c>
      <c r="AB12" s="262">
        <f t="shared" si="1"/>
        <v>1</v>
      </c>
      <c r="AC12" s="273">
        <f t="shared" si="1"/>
        <v>1</v>
      </c>
      <c r="AD12" s="290"/>
      <c r="AE12" s="290"/>
      <c r="AF12" s="214">
        <f>GBDUS!K13/(Y12+Z12+AA12+AB12+AC12)</f>
        <v>0</v>
      </c>
      <c r="AG12" s="214">
        <f t="shared" si="7"/>
        <v>0</v>
      </c>
      <c r="AH12" s="214">
        <f t="shared" si="2"/>
        <v>0</v>
      </c>
      <c r="AI12" s="214">
        <f t="shared" si="2"/>
        <v>0</v>
      </c>
      <c r="AJ12" s="292">
        <f t="shared" si="2"/>
        <v>0</v>
      </c>
      <c r="AK12" s="301">
        <f>GBDUS!L13/(Y12+Z12+AA12+AB12+AC12)</f>
        <v>0</v>
      </c>
      <c r="AL12" s="301">
        <f t="shared" si="8"/>
        <v>0</v>
      </c>
      <c r="AM12" s="301">
        <f t="shared" si="3"/>
        <v>0</v>
      </c>
      <c r="AN12" s="301">
        <f t="shared" si="3"/>
        <v>0</v>
      </c>
      <c r="AO12" s="303">
        <f t="shared" si="3"/>
        <v>0</v>
      </c>
      <c r="AP12" s="301">
        <f>GBDUS!M13/(Y12+Z12+AA12+AB12+AC12)</f>
        <v>0</v>
      </c>
      <c r="AQ12" s="301">
        <f t="shared" si="9"/>
        <v>0</v>
      </c>
      <c r="AR12" s="301">
        <f t="shared" si="4"/>
        <v>0</v>
      </c>
      <c r="AS12" s="301">
        <f t="shared" si="4"/>
        <v>0</v>
      </c>
      <c r="AT12" s="303">
        <f t="shared" si="4"/>
        <v>0</v>
      </c>
      <c r="AU12" s="299"/>
      <c r="AV12" s="299"/>
      <c r="AW12" s="299"/>
      <c r="AX12" s="299"/>
    </row>
    <row r="13" spans="2:62" x14ac:dyDescent="0.2">
      <c r="B13" s="226">
        <v>1</v>
      </c>
      <c r="C13" s="227" t="s">
        <v>16</v>
      </c>
      <c r="D13" s="228">
        <f>Baseline!AL38</f>
        <v>0.17399761857642834</v>
      </c>
      <c r="E13" s="228">
        <f>Baseline!AM38</f>
        <v>0.4379201182116701</v>
      </c>
      <c r="F13" s="228">
        <f>Baseline!AN38</f>
        <v>0.82989565247565811</v>
      </c>
      <c r="G13" s="228">
        <f>Baseline!AO38</f>
        <v>1.5727224335126344</v>
      </c>
      <c r="H13" s="229">
        <f>Baseline!AP38</f>
        <v>3.9582541395270634</v>
      </c>
      <c r="I13" s="230">
        <f>IF(D13+'Non-travel METs'!D13&gt;2.5, D13+'Non-travel METs'!D13, 0.1)</f>
        <v>0.1</v>
      </c>
      <c r="J13" s="228">
        <f>IF(E13+'Non-travel METs'!E13&gt;2.5, E13+'Non-travel METs'!E13, 0.1)</f>
        <v>0.1</v>
      </c>
      <c r="K13" s="228">
        <f>IF(F13+'Non-travel METs'!F13&gt;2.5, F13+'Non-travel METs'!F13, 0.1)</f>
        <v>0.1</v>
      </c>
      <c r="L13" s="228">
        <f>IF(G13+'Non-travel METs'!G13&gt;2.5, G13+'Non-travel METs'!G13, 0.1)</f>
        <v>0.1</v>
      </c>
      <c r="M13" s="229">
        <f>IF(H13+'Non-travel METs'!H13&gt;2.5, H13+'Non-travel METs'!H13, 0.1)</f>
        <v>4.291587472860396</v>
      </c>
      <c r="N13" s="267">
        <v>1</v>
      </c>
      <c r="O13" s="265">
        <f t="shared" si="5"/>
        <v>1</v>
      </c>
      <c r="P13" s="265">
        <f t="shared" si="0"/>
        <v>1</v>
      </c>
      <c r="Q13" s="265">
        <f t="shared" si="0"/>
        <v>1</v>
      </c>
      <c r="R13" s="265">
        <f t="shared" si="0"/>
        <v>1</v>
      </c>
      <c r="S13" s="272">
        <f t="shared" si="0"/>
        <v>1</v>
      </c>
      <c r="T13" s="275"/>
      <c r="U13" s="275"/>
      <c r="V13" s="275"/>
      <c r="W13" s="275"/>
      <c r="X13" s="276"/>
      <c r="Y13" s="287">
        <f t="shared" si="6"/>
        <v>1</v>
      </c>
      <c r="Z13" s="264">
        <f t="shared" si="1"/>
        <v>1</v>
      </c>
      <c r="AA13" s="264">
        <f t="shared" si="1"/>
        <v>1</v>
      </c>
      <c r="AB13" s="264">
        <f t="shared" si="1"/>
        <v>1</v>
      </c>
      <c r="AC13" s="274">
        <f t="shared" si="1"/>
        <v>1</v>
      </c>
      <c r="AD13" s="290"/>
      <c r="AE13" s="290"/>
      <c r="AF13" s="293">
        <f>GBDUS!K14/(Y13+Z13+AA13+AB13+AC13)</f>
        <v>0</v>
      </c>
      <c r="AG13" s="294">
        <f t="shared" si="7"/>
        <v>0</v>
      </c>
      <c r="AH13" s="294">
        <f t="shared" si="2"/>
        <v>0</v>
      </c>
      <c r="AI13" s="294">
        <f t="shared" si="2"/>
        <v>0</v>
      </c>
      <c r="AJ13" s="295">
        <f t="shared" si="2"/>
        <v>0</v>
      </c>
      <c r="AK13" s="304">
        <f>GBDUS!L14/(Y13+Z13+AA13+AB13+AC13)</f>
        <v>0</v>
      </c>
      <c r="AL13" s="305">
        <f t="shared" si="8"/>
        <v>0</v>
      </c>
      <c r="AM13" s="305">
        <f t="shared" si="3"/>
        <v>0</v>
      </c>
      <c r="AN13" s="305">
        <f t="shared" si="3"/>
        <v>0</v>
      </c>
      <c r="AO13" s="306">
        <f t="shared" si="3"/>
        <v>0</v>
      </c>
      <c r="AP13" s="305">
        <f>GBDUS!M14/(Y13+Z13+AA13+AB13+AC13)</f>
        <v>0</v>
      </c>
      <c r="AQ13" s="305">
        <f t="shared" si="9"/>
        <v>0</v>
      </c>
      <c r="AR13" s="305">
        <f t="shared" si="4"/>
        <v>0</v>
      </c>
      <c r="AS13" s="305">
        <f t="shared" si="4"/>
        <v>0</v>
      </c>
      <c r="AT13" s="306">
        <f t="shared" si="4"/>
        <v>0</v>
      </c>
      <c r="AU13" s="299"/>
      <c r="AV13" s="299"/>
      <c r="AW13" s="299"/>
      <c r="AX13" s="299"/>
    </row>
    <row r="14" spans="2:62" x14ac:dyDescent="0.2">
      <c r="B14" s="217">
        <v>2</v>
      </c>
      <c r="C14" s="224" t="s">
        <v>9</v>
      </c>
      <c r="D14" s="218">
        <f>Baseline!AL39</f>
        <v>0.62051946258483393</v>
      </c>
      <c r="E14" s="218">
        <f>Baseline!AM39</f>
        <v>1.5617337675712608</v>
      </c>
      <c r="F14" s="218">
        <f>Baseline!AN39</f>
        <v>2.9596175424061157</v>
      </c>
      <c r="G14" s="218">
        <f>Baseline!AO39</f>
        <v>5.6087254941923606</v>
      </c>
      <c r="H14" s="223">
        <f>Baseline!AP39</f>
        <v>14.116134183495483</v>
      </c>
      <c r="I14" s="218">
        <f>IF(D14+'Non-travel METs'!D14&gt;2.5, D14+'Non-travel METs'!D14, 0.1)</f>
        <v>0.1</v>
      </c>
      <c r="J14" s="218">
        <f>IF(E14+'Non-travel METs'!E14&gt;2.5, E14+'Non-travel METs'!E14, 0.1)</f>
        <v>0.1</v>
      </c>
      <c r="K14" s="218">
        <f>IF(F14+'Non-travel METs'!F14&gt;2.5, F14+'Non-travel METs'!F14, 0.1)</f>
        <v>2.9596175424061157</v>
      </c>
      <c r="L14" s="218">
        <f>IF(G14+'Non-travel METs'!G14&gt;2.5, G14+'Non-travel METs'!G14, 0.1)</f>
        <v>5.6087254941923606</v>
      </c>
      <c r="M14" s="223">
        <f>IF(H14+'Non-travel METs'!H14&gt;2.5, H14+'Non-travel METs'!H14, 0.1)</f>
        <v>14.116134183495483</v>
      </c>
      <c r="N14" s="268">
        <f>'Phy activity RRs'!$F$5</f>
        <v>0.97319906938028322</v>
      </c>
      <c r="O14" s="262">
        <f>$N14^(I14^0.5)</f>
        <v>0.99144595491037002</v>
      </c>
      <c r="P14" s="262">
        <f t="shared" si="0"/>
        <v>0.99144595491037002</v>
      </c>
      <c r="Q14" s="262">
        <f t="shared" si="0"/>
        <v>0.95433911130815496</v>
      </c>
      <c r="R14" s="262">
        <f t="shared" si="0"/>
        <v>0.93768797780031077</v>
      </c>
      <c r="S14" s="273">
        <f t="shared" si="0"/>
        <v>0.90296730713645612</v>
      </c>
      <c r="T14" s="275"/>
      <c r="U14" s="275"/>
      <c r="V14" s="275"/>
      <c r="W14" s="275"/>
      <c r="X14" s="276"/>
      <c r="Y14" s="262">
        <f t="shared" si="6"/>
        <v>1</v>
      </c>
      <c r="Z14" s="262">
        <f t="shared" si="1"/>
        <v>1</v>
      </c>
      <c r="AA14" s="262">
        <f t="shared" si="1"/>
        <v>0.96257300418804004</v>
      </c>
      <c r="AB14" s="262">
        <f t="shared" si="1"/>
        <v>0.94577820722974337</v>
      </c>
      <c r="AC14" s="273">
        <f t="shared" si="1"/>
        <v>0.91075797189377539</v>
      </c>
      <c r="AD14" s="290"/>
      <c r="AE14" s="290"/>
      <c r="AF14" s="214">
        <f>GBDUS!K15/(Y14+Z14+AA14+AB14+AC14)</f>
        <v>0</v>
      </c>
      <c r="AG14" s="214">
        <f t="shared" si="7"/>
        <v>0</v>
      </c>
      <c r="AH14" s="214">
        <f t="shared" si="2"/>
        <v>0</v>
      </c>
      <c r="AI14" s="214">
        <f t="shared" si="2"/>
        <v>0</v>
      </c>
      <c r="AJ14" s="292">
        <f t="shared" si="2"/>
        <v>0</v>
      </c>
      <c r="AK14" s="301">
        <f>GBDUS!L15/(Y14+Z14+AA14+AB14+AC14)</f>
        <v>0</v>
      </c>
      <c r="AL14" s="301">
        <f t="shared" si="8"/>
        <v>0</v>
      </c>
      <c r="AM14" s="301">
        <f t="shared" si="3"/>
        <v>0</v>
      </c>
      <c r="AN14" s="301">
        <f t="shared" si="3"/>
        <v>0</v>
      </c>
      <c r="AO14" s="303">
        <f t="shared" si="3"/>
        <v>0</v>
      </c>
      <c r="AP14" s="301">
        <f>GBDUS!M15/(Y14+Z14+AA14+AB14+AC14)</f>
        <v>0</v>
      </c>
      <c r="AQ14" s="301">
        <f t="shared" si="9"/>
        <v>0</v>
      </c>
      <c r="AR14" s="301">
        <f t="shared" si="4"/>
        <v>0</v>
      </c>
      <c r="AS14" s="301">
        <f t="shared" si="4"/>
        <v>0</v>
      </c>
      <c r="AT14" s="303">
        <f t="shared" si="4"/>
        <v>0</v>
      </c>
      <c r="AU14" s="299"/>
      <c r="AV14" s="299"/>
      <c r="AW14" s="299"/>
      <c r="AX14" s="299"/>
    </row>
    <row r="15" spans="2:62" x14ac:dyDescent="0.2">
      <c r="B15" s="217">
        <v>2</v>
      </c>
      <c r="C15" s="224" t="s">
        <v>10</v>
      </c>
      <c r="D15" s="218">
        <f>Baseline!AL40</f>
        <v>0.46042772990101311</v>
      </c>
      <c r="E15" s="218">
        <f>Baseline!AM40</f>
        <v>1.1588122156833804</v>
      </c>
      <c r="F15" s="218">
        <f>Baseline!AN40</f>
        <v>2.1960471324281206</v>
      </c>
      <c r="G15" s="218">
        <f>Baseline!AO40</f>
        <v>4.1616950033632074</v>
      </c>
      <c r="H15" s="223">
        <f>Baseline!AP40</f>
        <v>10.474223628717107</v>
      </c>
      <c r="I15" s="218">
        <f>IF(D15+'Non-travel METs'!D15&gt;2.5, D15+'Non-travel METs'!D15, 0.1)</f>
        <v>0.1</v>
      </c>
      <c r="J15" s="218">
        <f>IF(E15+'Non-travel METs'!E15&gt;2.5, E15+'Non-travel METs'!E15, 0.1)</f>
        <v>0.1</v>
      </c>
      <c r="K15" s="218">
        <f>IF(F15+'Non-travel METs'!F15&gt;2.5, F15+'Non-travel METs'!F15, 0.1)</f>
        <v>0.1</v>
      </c>
      <c r="L15" s="218">
        <f>IF(G15+'Non-travel METs'!G15&gt;2.5, G15+'Non-travel METs'!G15, 0.1)</f>
        <v>4.1616950033632074</v>
      </c>
      <c r="M15" s="223">
        <f>IF(H15+'Non-travel METs'!H15&gt;2.5, H15+'Non-travel METs'!H15, 0.1)</f>
        <v>10.474223628717107</v>
      </c>
      <c r="N15" s="268">
        <f>'Phy activity RRs'!$F$5</f>
        <v>0.97319906938028322</v>
      </c>
      <c r="O15" s="262">
        <f t="shared" ref="O15:O21" si="10">$N15^(I15^0.5)</f>
        <v>0.99144595491037002</v>
      </c>
      <c r="P15" s="262">
        <f t="shared" si="0"/>
        <v>0.99144595491037002</v>
      </c>
      <c r="Q15" s="262">
        <f t="shared" si="0"/>
        <v>0.99144595491037002</v>
      </c>
      <c r="R15" s="262">
        <f t="shared" si="0"/>
        <v>0.94608719091752902</v>
      </c>
      <c r="S15" s="273">
        <f t="shared" si="0"/>
        <v>0.91583248695030861</v>
      </c>
      <c r="T15" s="275"/>
      <c r="U15" s="275"/>
      <c r="V15" s="275"/>
      <c r="W15" s="275"/>
      <c r="X15" s="276"/>
      <c r="Y15" s="262">
        <f t="shared" si="6"/>
        <v>1</v>
      </c>
      <c r="Z15" s="262">
        <f t="shared" si="1"/>
        <v>1</v>
      </c>
      <c r="AA15" s="262">
        <f t="shared" si="1"/>
        <v>1</v>
      </c>
      <c r="AB15" s="262">
        <f t="shared" si="1"/>
        <v>0.95424988748182282</v>
      </c>
      <c r="AC15" s="273">
        <f t="shared" si="1"/>
        <v>0.92373415052472818</v>
      </c>
      <c r="AD15" s="290"/>
      <c r="AE15" s="290"/>
      <c r="AF15" s="214">
        <f>GBDUS!K16/(Y15+Z15+AA15+AB15+AC15)</f>
        <v>0</v>
      </c>
      <c r="AG15" s="214">
        <f t="shared" si="7"/>
        <v>0</v>
      </c>
      <c r="AH15" s="214">
        <f t="shared" si="2"/>
        <v>0</v>
      </c>
      <c r="AI15" s="214">
        <f t="shared" si="2"/>
        <v>0</v>
      </c>
      <c r="AJ15" s="292">
        <f t="shared" si="2"/>
        <v>0</v>
      </c>
      <c r="AK15" s="301">
        <f>GBDUS!L16/(Y15+Z15+AA15+AB15+AC15)</f>
        <v>0</v>
      </c>
      <c r="AL15" s="301">
        <f t="shared" si="8"/>
        <v>0</v>
      </c>
      <c r="AM15" s="301">
        <f t="shared" si="3"/>
        <v>0</v>
      </c>
      <c r="AN15" s="301">
        <f t="shared" si="3"/>
        <v>0</v>
      </c>
      <c r="AO15" s="303">
        <f t="shared" si="3"/>
        <v>0</v>
      </c>
      <c r="AP15" s="301">
        <f>GBDUS!M16/(Y15+Z15+AA15+AB15+AC15)</f>
        <v>0</v>
      </c>
      <c r="AQ15" s="301">
        <f t="shared" si="9"/>
        <v>0</v>
      </c>
      <c r="AR15" s="301">
        <f t="shared" si="4"/>
        <v>0</v>
      </c>
      <c r="AS15" s="301">
        <f t="shared" si="4"/>
        <v>0</v>
      </c>
      <c r="AT15" s="303">
        <f t="shared" si="4"/>
        <v>0</v>
      </c>
      <c r="AU15" s="299"/>
      <c r="AV15" s="299"/>
      <c r="AW15" s="299"/>
      <c r="AX15" s="299"/>
    </row>
    <row r="16" spans="2:62" x14ac:dyDescent="0.2">
      <c r="B16" s="217">
        <v>2</v>
      </c>
      <c r="C16" s="224" t="s">
        <v>11</v>
      </c>
      <c r="D16" s="218">
        <f>Baseline!AL41</f>
        <v>0.44584035626070379</v>
      </c>
      <c r="E16" s="218">
        <f>Baseline!AM41</f>
        <v>1.1220984695917575</v>
      </c>
      <c r="F16" s="218">
        <f>Baseline!AN41</f>
        <v>2.126471479242884</v>
      </c>
      <c r="G16" s="218">
        <f>Baseline!AO41</f>
        <v>4.0298432575873413</v>
      </c>
      <c r="H16" s="223">
        <f>Baseline!AP41</f>
        <v>10.142376948463733</v>
      </c>
      <c r="I16" s="218">
        <f>IF(D16+'Non-travel METs'!D16&gt;2.5, D16+'Non-travel METs'!D16, 0.1)</f>
        <v>37.945840356260703</v>
      </c>
      <c r="J16" s="218">
        <f>IF(E16+'Non-travel METs'!E16&gt;2.5, E16+'Non-travel METs'!E16, 0.1)</f>
        <v>38.622098469591755</v>
      </c>
      <c r="K16" s="218">
        <f>IF(F16+'Non-travel METs'!F16&gt;2.5, F16+'Non-travel METs'!F16, 0.1)</f>
        <v>39.62647147924288</v>
      </c>
      <c r="L16" s="218">
        <f>IF(G16+'Non-travel METs'!G16&gt;2.5, G16+'Non-travel METs'!G16, 0.1)</f>
        <v>41.529843257587345</v>
      </c>
      <c r="M16" s="223">
        <f>IF(H16+'Non-travel METs'!H16&gt;2.5, H16+'Non-travel METs'!H16, 0.1)</f>
        <v>47.642376948463735</v>
      </c>
      <c r="N16" s="268">
        <f>'Phy activity RRs'!$F$5</f>
        <v>0.97319906938028322</v>
      </c>
      <c r="O16" s="262">
        <f t="shared" si="10"/>
        <v>0.8459060853029946</v>
      </c>
      <c r="P16" s="262">
        <f t="shared" si="0"/>
        <v>0.84465117197016715</v>
      </c>
      <c r="Q16" s="262">
        <f t="shared" si="0"/>
        <v>0.84281086489411339</v>
      </c>
      <c r="R16" s="262">
        <f t="shared" si="0"/>
        <v>0.83939687644042571</v>
      </c>
      <c r="S16" s="273">
        <f t="shared" si="0"/>
        <v>0.82901798098825574</v>
      </c>
      <c r="T16" s="275"/>
      <c r="U16" s="275"/>
      <c r="V16" s="275"/>
      <c r="W16" s="275"/>
      <c r="X16" s="276"/>
      <c r="Y16" s="262">
        <f t="shared" si="6"/>
        <v>1</v>
      </c>
      <c r="Z16" s="262">
        <f t="shared" si="1"/>
        <v>0.99851648622154321</v>
      </c>
      <c r="AA16" s="262">
        <f t="shared" si="1"/>
        <v>0.99634094084123703</v>
      </c>
      <c r="AB16" s="262">
        <f t="shared" si="1"/>
        <v>0.99230504547057685</v>
      </c>
      <c r="AC16" s="273">
        <f t="shared" si="1"/>
        <v>0.98003548548927899</v>
      </c>
      <c r="AD16" s="290"/>
      <c r="AE16" s="290"/>
      <c r="AF16" s="214">
        <f>GBDUS!K17/(Y16+Z16+AA16+AB16+AC16)</f>
        <v>0</v>
      </c>
      <c r="AG16" s="214">
        <f t="shared" si="7"/>
        <v>0</v>
      </c>
      <c r="AH16" s="214">
        <f t="shared" si="2"/>
        <v>0</v>
      </c>
      <c r="AI16" s="214">
        <f t="shared" si="2"/>
        <v>0</v>
      </c>
      <c r="AJ16" s="292">
        <f t="shared" si="2"/>
        <v>0</v>
      </c>
      <c r="AK16" s="301">
        <f>GBDUS!L17/(Y16+Z16+AA16+AB16+AC16)</f>
        <v>4.0393036876257264</v>
      </c>
      <c r="AL16" s="301">
        <f t="shared" si="8"/>
        <v>4.0333113249497625</v>
      </c>
      <c r="AM16" s="301">
        <f t="shared" si="3"/>
        <v>4.0245236364724946</v>
      </c>
      <c r="AN16" s="301">
        <f t="shared" si="3"/>
        <v>4.0082214294189153</v>
      </c>
      <c r="AO16" s="303">
        <f t="shared" si="3"/>
        <v>3.9586609505409136</v>
      </c>
      <c r="AP16" s="301">
        <f>GBDUS!M17/(Y16+Z16+AA16+AB16+AC16)</f>
        <v>0.21411893349178268</v>
      </c>
      <c r="AQ16" s="301">
        <f t="shared" si="9"/>
        <v>0.21380128510371915</v>
      </c>
      <c r="AR16" s="301">
        <f t="shared" si="4"/>
        <v>0.21333545964712503</v>
      </c>
      <c r="AS16" s="301">
        <f t="shared" si="4"/>
        <v>0.21247129803467482</v>
      </c>
      <c r="AT16" s="303">
        <f t="shared" si="4"/>
        <v>0.20984415293706588</v>
      </c>
      <c r="AU16" s="299"/>
      <c r="AV16" s="299"/>
      <c r="AW16" s="299"/>
      <c r="AX16" s="299"/>
    </row>
    <row r="17" spans="2:50" x14ac:dyDescent="0.2">
      <c r="B17" s="217">
        <v>2</v>
      </c>
      <c r="C17" s="224" t="s">
        <v>12</v>
      </c>
      <c r="D17" s="218">
        <f>Baseline!AL42</f>
        <v>0.37566343393324825</v>
      </c>
      <c r="E17" s="218">
        <f>Baseline!AM42</f>
        <v>0.94547601709611273</v>
      </c>
      <c r="F17" s="218">
        <f>Baseline!AN42</f>
        <v>1.7917569974001593</v>
      </c>
      <c r="G17" s="218">
        <f>Baseline!AO42</f>
        <v>3.3955310126138083</v>
      </c>
      <c r="H17" s="223">
        <f>Baseline!AP42</f>
        <v>8.5459292753600575</v>
      </c>
      <c r="I17" s="218">
        <f>IF(D17+'Non-travel METs'!D17&gt;2.5, D17+'Non-travel METs'!D17, 0.1)</f>
        <v>37.938996767266545</v>
      </c>
      <c r="J17" s="218">
        <f>IF(E17+'Non-travel METs'!E17&gt;2.5, E17+'Non-travel METs'!E17, 0.1)</f>
        <v>38.508809350429409</v>
      </c>
      <c r="K17" s="218">
        <f>IF(F17+'Non-travel METs'!F17&gt;2.5, F17+'Non-travel METs'!F17, 0.1)</f>
        <v>39.355090330733454</v>
      </c>
      <c r="L17" s="218">
        <f>IF(G17+'Non-travel METs'!G17&gt;2.5, G17+'Non-travel METs'!G17, 0.1)</f>
        <v>40.958864345947106</v>
      </c>
      <c r="M17" s="223">
        <f>IF(H17+'Non-travel METs'!H17&gt;2.5, H17+'Non-travel METs'!H17, 0.1)</f>
        <v>46.109262608693356</v>
      </c>
      <c r="N17" s="268">
        <f>'Phy activity RRs'!$F$5</f>
        <v>0.97319906938028322</v>
      </c>
      <c r="O17" s="262">
        <f t="shared" si="10"/>
        <v>0.84591885123485389</v>
      </c>
      <c r="P17" s="262">
        <f t="shared" si="0"/>
        <v>0.84486049931913487</v>
      </c>
      <c r="Q17" s="262">
        <f t="shared" si="0"/>
        <v>0.84330539831495632</v>
      </c>
      <c r="R17" s="262">
        <f t="shared" si="0"/>
        <v>0.84041119813679033</v>
      </c>
      <c r="S17" s="273">
        <f t="shared" si="0"/>
        <v>0.8315434667735524</v>
      </c>
      <c r="T17" s="275"/>
      <c r="U17" s="275"/>
      <c r="V17" s="275"/>
      <c r="W17" s="275"/>
      <c r="X17" s="276"/>
      <c r="Y17" s="262">
        <f t="shared" si="6"/>
        <v>1</v>
      </c>
      <c r="Z17" s="262">
        <f t="shared" si="1"/>
        <v>0.99874887299866411</v>
      </c>
      <c r="AA17" s="262">
        <f t="shared" si="1"/>
        <v>0.99691051580647183</v>
      </c>
      <c r="AB17" s="262">
        <f t="shared" si="1"/>
        <v>0.99348914722727411</v>
      </c>
      <c r="AC17" s="273">
        <f t="shared" si="1"/>
        <v>0.98300618973047282</v>
      </c>
      <c r="AD17" s="290"/>
      <c r="AE17" s="290"/>
      <c r="AF17" s="214">
        <f>GBDUS!K18/(Y17+Z17+AA17+AB17+AC17)</f>
        <v>0.60336014574439989</v>
      </c>
      <c r="AG17" s="214">
        <f t="shared" si="7"/>
        <v>0.60260526557452909</v>
      </c>
      <c r="AH17" s="214">
        <f t="shared" si="2"/>
        <v>0.60149607411111772</v>
      </c>
      <c r="AI17" s="214">
        <f t="shared" si="2"/>
        <v>0.5994317566665277</v>
      </c>
      <c r="AJ17" s="292">
        <f t="shared" si="2"/>
        <v>0.59310675790342526</v>
      </c>
      <c r="AK17" s="301">
        <f>GBDUS!L18/(Y17+Z17+AA17+AB17+AC17)</f>
        <v>28.161249132569406</v>
      </c>
      <c r="AL17" s="301">
        <f t="shared" si="8"/>
        <v>28.126015833388301</v>
      </c>
      <c r="AM17" s="301">
        <f t="shared" si="3"/>
        <v>28.074245398504324</v>
      </c>
      <c r="AN17" s="301">
        <f t="shared" si="3"/>
        <v>27.977895385571191</v>
      </c>
      <c r="AO17" s="303">
        <f t="shared" si="3"/>
        <v>27.682682207857635</v>
      </c>
      <c r="AP17" s="301">
        <f>GBDUS!M18/(Y17+Z17+AA17+AB17+AC17)</f>
        <v>2.0810405314722051</v>
      </c>
      <c r="AQ17" s="301">
        <f t="shared" si="9"/>
        <v>2.078436885472406</v>
      </c>
      <c r="AR17" s="301">
        <f t="shared" si="4"/>
        <v>2.0746111896441302</v>
      </c>
      <c r="AS17" s="301">
        <f t="shared" si="4"/>
        <v>2.0674911829577143</v>
      </c>
      <c r="AT17" s="303">
        <f t="shared" si="4"/>
        <v>2.0456757235171703</v>
      </c>
      <c r="AU17" s="299"/>
      <c r="AV17" s="299"/>
      <c r="AW17" s="299"/>
      <c r="AX17" s="299"/>
    </row>
    <row r="18" spans="2:50" x14ac:dyDescent="0.2">
      <c r="B18" s="217">
        <v>2</v>
      </c>
      <c r="C18" s="224" t="s">
        <v>13</v>
      </c>
      <c r="D18" s="218">
        <f>Baseline!AL43</f>
        <v>0.28130171216737176</v>
      </c>
      <c r="E18" s="218">
        <f>Baseline!AM43</f>
        <v>0.70798485665118815</v>
      </c>
      <c r="F18" s="218">
        <f>Baseline!AN43</f>
        <v>1.3416911672220251</v>
      </c>
      <c r="G18" s="218">
        <f>Baseline!AO43</f>
        <v>2.5426182089774487</v>
      </c>
      <c r="H18" s="223">
        <f>Baseline!AP43</f>
        <v>6.3993040580234215</v>
      </c>
      <c r="I18" s="218">
        <f>IF(D18+'Non-travel METs'!D18&gt;2.5, D18+'Non-travel METs'!D18, 0.1)</f>
        <v>38.034635045500671</v>
      </c>
      <c r="J18" s="218">
        <f>IF(E18+'Non-travel METs'!E18&gt;2.5, E18+'Non-travel METs'!E18, 0.1)</f>
        <v>38.461318189984489</v>
      </c>
      <c r="K18" s="218">
        <f>IF(F18+'Non-travel METs'!F18&gt;2.5, F18+'Non-travel METs'!F18, 0.1)</f>
        <v>39.095024500555326</v>
      </c>
      <c r="L18" s="218">
        <f>IF(G18+'Non-travel METs'!G18&gt;2.5, G18+'Non-travel METs'!G18, 0.1)</f>
        <v>40.295951542310753</v>
      </c>
      <c r="M18" s="223">
        <f>IF(H18+'Non-travel METs'!H18&gt;2.5, H18+'Non-travel METs'!H18, 0.1)</f>
        <v>44.15263739135672</v>
      </c>
      <c r="N18" s="268">
        <f>'Phy activity RRs'!$F$5</f>
        <v>0.97319906938028322</v>
      </c>
      <c r="O18" s="262">
        <f t="shared" si="10"/>
        <v>0.84574057066852104</v>
      </c>
      <c r="P18" s="262">
        <f t="shared" si="0"/>
        <v>0.84494835704635418</v>
      </c>
      <c r="Q18" s="262">
        <f t="shared" si="0"/>
        <v>0.84378118813281833</v>
      </c>
      <c r="R18" s="262">
        <f t="shared" si="0"/>
        <v>0.84159930301620467</v>
      </c>
      <c r="S18" s="273">
        <f t="shared" si="0"/>
        <v>0.83483991278414416</v>
      </c>
      <c r="T18" s="275"/>
      <c r="U18" s="275"/>
      <c r="V18" s="275"/>
      <c r="W18" s="275"/>
      <c r="X18" s="276"/>
      <c r="Y18" s="262">
        <f t="shared" si="6"/>
        <v>1</v>
      </c>
      <c r="Z18" s="262">
        <f t="shared" si="1"/>
        <v>0.99906329003285177</v>
      </c>
      <c r="AA18" s="262">
        <f t="shared" si="1"/>
        <v>0.99768323454773622</v>
      </c>
      <c r="AB18" s="262">
        <f t="shared" si="1"/>
        <v>0.99510338300426704</v>
      </c>
      <c r="AC18" s="273">
        <f t="shared" si="1"/>
        <v>0.98711110917173994</v>
      </c>
      <c r="AD18" s="290"/>
      <c r="AE18" s="290"/>
      <c r="AF18" s="214">
        <f>GBDUS!K19/(Y18+Z18+AA18+AB18+AC18)</f>
        <v>4.2177474234734751</v>
      </c>
      <c r="AG18" s="214">
        <f t="shared" si="7"/>
        <v>4.2137966174229939</v>
      </c>
      <c r="AH18" s="214">
        <f t="shared" si="2"/>
        <v>4.207975891956397</v>
      </c>
      <c r="AI18" s="214">
        <f t="shared" si="2"/>
        <v>4.1970947297559862</v>
      </c>
      <c r="AJ18" s="292">
        <f t="shared" si="2"/>
        <v>4.1633853373911505</v>
      </c>
      <c r="AK18" s="301">
        <f>GBDUS!L19/(Y18+Z18+AA18+AB18+AC18)</f>
        <v>142.7034842040355</v>
      </c>
      <c r="AL18" s="301">
        <f t="shared" si="8"/>
        <v>142.56981242803479</v>
      </c>
      <c r="AM18" s="301">
        <f t="shared" si="3"/>
        <v>142.37287370191393</v>
      </c>
      <c r="AN18" s="301">
        <f t="shared" si="3"/>
        <v>142.00471989793172</v>
      </c>
      <c r="AO18" s="303">
        <f t="shared" si="3"/>
        <v>140.86419457531736</v>
      </c>
      <c r="AP18" s="301">
        <f>GBDUS!M19/(Y18+Z18+AA18+AB18+AC18)</f>
        <v>16.706764795222611</v>
      </c>
      <c r="AQ18" s="301">
        <f t="shared" si="9"/>
        <v>16.691115402120126</v>
      </c>
      <c r="AR18" s="301">
        <f t="shared" si="4"/>
        <v>16.668059139725944</v>
      </c>
      <c r="AS18" s="301">
        <f t="shared" si="4"/>
        <v>16.624958166782612</v>
      </c>
      <c r="AT18" s="303">
        <f t="shared" si="4"/>
        <v>16.491433127683568</v>
      </c>
      <c r="AU18" s="299"/>
      <c r="AV18" s="299"/>
      <c r="AW18" s="299"/>
      <c r="AX18" s="299"/>
    </row>
    <row r="19" spans="2:50" x14ac:dyDescent="0.2">
      <c r="B19" s="217">
        <v>2</v>
      </c>
      <c r="C19" s="224" t="s">
        <v>14</v>
      </c>
      <c r="D19" s="218">
        <f>Baseline!AL44</f>
        <v>0.18531571150483678</v>
      </c>
      <c r="E19" s="218">
        <f>Baseline!AM44</f>
        <v>0.46640568389751447</v>
      </c>
      <c r="F19" s="218">
        <f>Baseline!AN44</f>
        <v>0.88387820805572703</v>
      </c>
      <c r="G19" s="218">
        <f>Baseline!AO44</f>
        <v>1.6750239408477468</v>
      </c>
      <c r="H19" s="223">
        <f>Baseline!AP44</f>
        <v>4.2157282851616866</v>
      </c>
      <c r="I19" s="218">
        <f>IF(D19+'Non-travel METs'!D19&gt;2.5, D19+'Non-travel METs'!D19, 0.1)</f>
        <v>9.1853157115048365</v>
      </c>
      <c r="J19" s="218">
        <f>IF(E19+'Non-travel METs'!E19&gt;2.5, E19+'Non-travel METs'!E19, 0.1)</f>
        <v>9.4664056838975146</v>
      </c>
      <c r="K19" s="218">
        <f>IF(F19+'Non-travel METs'!F19&gt;2.5, F19+'Non-travel METs'!F19, 0.1)</f>
        <v>9.8838782080557266</v>
      </c>
      <c r="L19" s="218">
        <f>IF(G19+'Non-travel METs'!G19&gt;2.5, G19+'Non-travel METs'!G19, 0.1)</f>
        <v>10.675023940847748</v>
      </c>
      <c r="M19" s="223">
        <f>IF(H19+'Non-travel METs'!H19&gt;2.5, H19+'Non-travel METs'!H19, 0.1)</f>
        <v>13.215728285161687</v>
      </c>
      <c r="N19" s="268">
        <f>'Phy activity RRs'!$F$5</f>
        <v>0.97319906938028322</v>
      </c>
      <c r="O19" s="262">
        <f t="shared" si="10"/>
        <v>0.920963693090741</v>
      </c>
      <c r="P19" s="262">
        <f t="shared" si="0"/>
        <v>0.91981291936268728</v>
      </c>
      <c r="Q19" s="262">
        <f t="shared" si="0"/>
        <v>0.91813746020548004</v>
      </c>
      <c r="R19" s="262">
        <f t="shared" si="0"/>
        <v>0.91506463689937678</v>
      </c>
      <c r="S19" s="273">
        <f t="shared" si="0"/>
        <v>0.90596008222153512</v>
      </c>
      <c r="T19" s="275"/>
      <c r="U19" s="275"/>
      <c r="V19" s="275"/>
      <c r="W19" s="275"/>
      <c r="X19" s="276"/>
      <c r="Y19" s="262">
        <f t="shared" si="6"/>
        <v>1</v>
      </c>
      <c r="Z19" s="262">
        <f t="shared" si="1"/>
        <v>0.99875046786677146</v>
      </c>
      <c r="AA19" s="262">
        <f t="shared" si="1"/>
        <v>0.99693122225505315</v>
      </c>
      <c r="AB19" s="262">
        <f t="shared" si="1"/>
        <v>0.99359469191280814</v>
      </c>
      <c r="AC19" s="273">
        <f t="shared" si="1"/>
        <v>0.98370879223386753</v>
      </c>
      <c r="AD19" s="290"/>
      <c r="AE19" s="290"/>
      <c r="AF19" s="214">
        <f>GBDUS!K20/(Y19+Z19+AA19+AB19+AC19)</f>
        <v>3.6195563367324342</v>
      </c>
      <c r="AG19" s="214">
        <f t="shared" si="7"/>
        <v>3.6150335847816559</v>
      </c>
      <c r="AH19" s="214">
        <f t="shared" si="2"/>
        <v>3.6084487227996882</v>
      </c>
      <c r="AI19" s="214">
        <f t="shared" si="2"/>
        <v>3.5963719632567153</v>
      </c>
      <c r="AJ19" s="292">
        <f t="shared" si="2"/>
        <v>3.5605893924295047</v>
      </c>
      <c r="AK19" s="301">
        <f>GBDUS!L20/(Y19+Z19+AA19+AB19+AC19)</f>
        <v>84.514873469550338</v>
      </c>
      <c r="AL19" s="301">
        <f t="shared" si="8"/>
        <v>84.409269419414386</v>
      </c>
      <c r="AM19" s="301">
        <f t="shared" si="3"/>
        <v>84.255516106729985</v>
      </c>
      <c r="AN19" s="301">
        <f t="shared" si="3"/>
        <v>83.973529667027833</v>
      </c>
      <c r="AO19" s="303">
        <f t="shared" si="3"/>
        <v>83.1380241065295</v>
      </c>
      <c r="AP19" s="301">
        <f>GBDUS!M20/(Y19+Z19+AA19+AB19+AC19)</f>
        <v>15.086773850049189</v>
      </c>
      <c r="AQ19" s="301">
        <f t="shared" si="9"/>
        <v>15.067922441336801</v>
      </c>
      <c r="AR19" s="301">
        <f t="shared" si="4"/>
        <v>15.040475894215112</v>
      </c>
      <c r="AS19" s="301">
        <f t="shared" si="4"/>
        <v>14.990138415497835</v>
      </c>
      <c r="AT19" s="303">
        <f t="shared" si="4"/>
        <v>14.840992082737383</v>
      </c>
      <c r="AU19" s="299"/>
      <c r="AV19" s="299"/>
      <c r="AW19" s="299"/>
      <c r="AX19" s="299"/>
    </row>
    <row r="20" spans="2:50" x14ac:dyDescent="0.2">
      <c r="B20" s="217">
        <v>2</v>
      </c>
      <c r="C20" s="224" t="s">
        <v>15</v>
      </c>
      <c r="D20" s="218">
        <f>Baseline!AL45</f>
        <v>0.11712988000202922</v>
      </c>
      <c r="E20" s="218">
        <f>Baseline!AM45</f>
        <v>0.29479444210942879</v>
      </c>
      <c r="F20" s="218">
        <f>Baseline!AN45</f>
        <v>0.55866039422822378</v>
      </c>
      <c r="G20" s="218">
        <f>Baseline!AO45</f>
        <v>1.0587086847566183</v>
      </c>
      <c r="H20" s="223">
        <f>Baseline!AP45</f>
        <v>2.6645757348494454</v>
      </c>
      <c r="I20" s="218">
        <f>IF(D20+'Non-travel METs'!D20&gt;2.5, D20+'Non-travel METs'!D20, 0.1)</f>
        <v>0.1</v>
      </c>
      <c r="J20" s="218">
        <f>IF(E20+'Non-travel METs'!E20&gt;2.5, E20+'Non-travel METs'!E20, 0.1)</f>
        <v>0.1</v>
      </c>
      <c r="K20" s="218">
        <f>IF(F20+'Non-travel METs'!F20&gt;2.5, F20+'Non-travel METs'!F20, 0.1)</f>
        <v>0.1</v>
      </c>
      <c r="L20" s="218">
        <f>IF(G20+'Non-travel METs'!G20&gt;2.5, G20+'Non-travel METs'!G20, 0.1)</f>
        <v>0.1</v>
      </c>
      <c r="M20" s="223">
        <f>IF(H20+'Non-travel METs'!H20&gt;2.5, H20+'Non-travel METs'!H20, 0.1)</f>
        <v>3.1645757348494454</v>
      </c>
      <c r="N20" s="268">
        <f>'Phy activity RRs'!$F$5</f>
        <v>0.97319906938028322</v>
      </c>
      <c r="O20" s="262">
        <f t="shared" si="10"/>
        <v>0.99144595491037002</v>
      </c>
      <c r="P20" s="262">
        <f t="shared" si="0"/>
        <v>0.99144595491037002</v>
      </c>
      <c r="Q20" s="262">
        <f t="shared" si="0"/>
        <v>0.99144595491037002</v>
      </c>
      <c r="R20" s="262">
        <f t="shared" si="0"/>
        <v>0.99144595491037002</v>
      </c>
      <c r="S20" s="273">
        <f t="shared" si="0"/>
        <v>0.95282178288959807</v>
      </c>
      <c r="T20" s="275"/>
      <c r="U20" s="275"/>
      <c r="V20" s="275"/>
      <c r="W20" s="275"/>
      <c r="X20" s="276"/>
      <c r="Y20" s="262">
        <f t="shared" si="6"/>
        <v>1</v>
      </c>
      <c r="Z20" s="262">
        <f t="shared" si="1"/>
        <v>1</v>
      </c>
      <c r="AA20" s="262">
        <f t="shared" si="1"/>
        <v>1</v>
      </c>
      <c r="AB20" s="262">
        <f t="shared" si="1"/>
        <v>1</v>
      </c>
      <c r="AC20" s="273">
        <f t="shared" si="1"/>
        <v>0.96104258449038338</v>
      </c>
      <c r="AD20" s="290"/>
      <c r="AE20" s="290"/>
      <c r="AF20" s="214">
        <f>GBDUS!K21/(Y20+Z20+AA20+AB20+AC20)</f>
        <v>2.2172758674535671</v>
      </c>
      <c r="AG20" s="214">
        <f t="shared" si="7"/>
        <v>2.2172758674535671</v>
      </c>
      <c r="AH20" s="214">
        <f t="shared" si="2"/>
        <v>2.2172758674535671</v>
      </c>
      <c r="AI20" s="214">
        <f t="shared" si="2"/>
        <v>2.2172758674535671</v>
      </c>
      <c r="AJ20" s="292">
        <f t="shared" si="2"/>
        <v>2.130896530185733</v>
      </c>
      <c r="AK20" s="301">
        <f>GBDUS!L21/(Y20+Z20+AA20+AB20+AC20)</f>
        <v>32.754730637156584</v>
      </c>
      <c r="AL20" s="301">
        <f t="shared" si="8"/>
        <v>32.754730637156584</v>
      </c>
      <c r="AM20" s="301">
        <f t="shared" si="3"/>
        <v>32.754730637156584</v>
      </c>
      <c r="AN20" s="301">
        <f t="shared" si="3"/>
        <v>32.754730637156584</v>
      </c>
      <c r="AO20" s="303">
        <f t="shared" si="3"/>
        <v>31.478690985819306</v>
      </c>
      <c r="AP20" s="301">
        <f>GBDUS!M21/(Y20+Z20+AA20+AB20+AC20)</f>
        <v>9.2220286889190319</v>
      </c>
      <c r="AQ20" s="301">
        <f t="shared" si="9"/>
        <v>9.2220286889190319</v>
      </c>
      <c r="AR20" s="301">
        <f t="shared" si="4"/>
        <v>9.2220286889190319</v>
      </c>
      <c r="AS20" s="301">
        <f t="shared" si="4"/>
        <v>9.2220286889190319</v>
      </c>
      <c r="AT20" s="303">
        <f t="shared" si="4"/>
        <v>8.8627622854432087</v>
      </c>
      <c r="AU20" s="299"/>
      <c r="AV20" s="299"/>
      <c r="AW20" s="299"/>
      <c r="AX20" s="299"/>
    </row>
    <row r="21" spans="2:50" x14ac:dyDescent="0.2">
      <c r="B21" s="226">
        <v>2</v>
      </c>
      <c r="C21" s="227" t="s">
        <v>16</v>
      </c>
      <c r="D21" s="228">
        <f>Baseline!AL46</f>
        <v>0.14687937172795515</v>
      </c>
      <c r="E21" s="228">
        <f>Baseline!AM46</f>
        <v>0.36966846073073589</v>
      </c>
      <c r="F21" s="228">
        <f>Baseline!AN46</f>
        <v>0.70055299051029241</v>
      </c>
      <c r="G21" s="228">
        <f>Baseline!AO46</f>
        <v>1.3276071524813979</v>
      </c>
      <c r="H21" s="229">
        <f>Baseline!AP46</f>
        <v>3.3413438983243293</v>
      </c>
      <c r="I21" s="230">
        <f>IF(D21+'Non-travel METs'!D21&gt;2.5, D21+'Non-travel METs'!D21, 0.1)</f>
        <v>0.1</v>
      </c>
      <c r="J21" s="228">
        <f>IF(E21+'Non-travel METs'!E21&gt;2.5, E21+'Non-travel METs'!E21, 0.1)</f>
        <v>0.1</v>
      </c>
      <c r="K21" s="228">
        <f>IF(F21+'Non-travel METs'!F21&gt;2.5, F21+'Non-travel METs'!F21, 0.1)</f>
        <v>0.1</v>
      </c>
      <c r="L21" s="228">
        <f>IF(G21+'Non-travel METs'!G21&gt;2.5, G21+'Non-travel METs'!G21, 0.1)</f>
        <v>0.1</v>
      </c>
      <c r="M21" s="229">
        <f>IF(H21+'Non-travel METs'!H21&gt;2.5, H21+'Non-travel METs'!H21, 0.1)</f>
        <v>3.4246772316576628</v>
      </c>
      <c r="N21" s="269">
        <f>'Phy activity RRs'!$F$5</f>
        <v>0.97319906938028322</v>
      </c>
      <c r="O21" s="264">
        <f t="shared" si="10"/>
        <v>0.99144595491037002</v>
      </c>
      <c r="P21" s="264">
        <f t="shared" si="0"/>
        <v>0.99144595491037002</v>
      </c>
      <c r="Q21" s="264">
        <f t="shared" si="0"/>
        <v>0.99144595491037002</v>
      </c>
      <c r="R21" s="264">
        <f t="shared" si="0"/>
        <v>0.99144595491037002</v>
      </c>
      <c r="S21" s="274">
        <f t="shared" si="0"/>
        <v>0.95096859662538058</v>
      </c>
      <c r="T21" s="277"/>
      <c r="U21" s="278"/>
      <c r="V21" s="278"/>
      <c r="W21" s="278"/>
      <c r="X21" s="279"/>
      <c r="Y21" s="287">
        <f t="shared" si="6"/>
        <v>1</v>
      </c>
      <c r="Z21" s="264">
        <f t="shared" si="1"/>
        <v>1</v>
      </c>
      <c r="AA21" s="264">
        <f t="shared" si="1"/>
        <v>1</v>
      </c>
      <c r="AB21" s="264">
        <f t="shared" si="1"/>
        <v>1</v>
      </c>
      <c r="AC21" s="274">
        <f t="shared" si="1"/>
        <v>0.95917340921659344</v>
      </c>
      <c r="AD21" s="290"/>
      <c r="AE21" s="291"/>
      <c r="AF21" s="293">
        <f>GBDUS!K22/(Y21+Z21+AA21+AB21+AC21)</f>
        <v>5.2428092051951962</v>
      </c>
      <c r="AG21" s="294">
        <f t="shared" si="7"/>
        <v>5.2428092051951962</v>
      </c>
      <c r="AH21" s="294">
        <f t="shared" si="2"/>
        <v>5.2428092051951962</v>
      </c>
      <c r="AI21" s="294">
        <f t="shared" si="2"/>
        <v>5.2428092051951962</v>
      </c>
      <c r="AJ21" s="295">
        <f t="shared" si="2"/>
        <v>5.0287631792192151</v>
      </c>
      <c r="AK21" s="304">
        <f>GBDUS!L22/(Y21+Z21+AA21+AB21+AC21)</f>
        <v>28.707454149027768</v>
      </c>
      <c r="AL21" s="305">
        <f t="shared" si="8"/>
        <v>28.707454149027768</v>
      </c>
      <c r="AM21" s="305">
        <f t="shared" si="3"/>
        <v>28.707454149027768</v>
      </c>
      <c r="AN21" s="305">
        <f t="shared" si="3"/>
        <v>28.707454149027768</v>
      </c>
      <c r="AO21" s="306">
        <f t="shared" si="3"/>
        <v>27.535426666052004</v>
      </c>
      <c r="AP21" s="304">
        <f>GBDUS!M22/(Y21+Z21+AA21+AB21+AC21)</f>
        <v>16.370336842038959</v>
      </c>
      <c r="AQ21" s="305">
        <f t="shared" si="9"/>
        <v>16.370336842038959</v>
      </c>
      <c r="AR21" s="305">
        <f t="shared" si="4"/>
        <v>16.370336842038959</v>
      </c>
      <c r="AS21" s="305">
        <f t="shared" si="4"/>
        <v>16.370336842038959</v>
      </c>
      <c r="AT21" s="306">
        <f t="shared" si="4"/>
        <v>15.701991798802512</v>
      </c>
      <c r="AU21" s="300"/>
      <c r="AV21" s="300"/>
      <c r="AW21" s="300"/>
      <c r="AX21" s="300"/>
    </row>
    <row r="22" spans="2:50" x14ac:dyDescent="0.2">
      <c r="B22" s="212"/>
      <c r="C22" s="212"/>
      <c r="AD22" s="288"/>
      <c r="AK22" s="215"/>
      <c r="AL22" s="215"/>
      <c r="AM22" s="215"/>
      <c r="AN22" s="215"/>
      <c r="AO22" s="215"/>
    </row>
    <row r="23" spans="2:50" x14ac:dyDescent="0.2">
      <c r="B23" s="338" t="s">
        <v>70</v>
      </c>
      <c r="C23" s="319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320"/>
      <c r="AL23" s="320"/>
      <c r="AM23" s="320"/>
      <c r="AN23" s="320"/>
      <c r="AO23" s="320"/>
      <c r="AP23" s="280"/>
      <c r="AQ23" s="280"/>
      <c r="AR23" s="280"/>
      <c r="AS23" s="280"/>
      <c r="AT23" s="280"/>
      <c r="AU23" s="280"/>
      <c r="AV23" s="280"/>
      <c r="AW23" s="280"/>
      <c r="AX23" s="280"/>
    </row>
    <row r="24" spans="2:50" x14ac:dyDescent="0.2">
      <c r="B24" s="212">
        <v>1</v>
      </c>
      <c r="C24" s="325" t="s">
        <v>9</v>
      </c>
      <c r="D24" s="215">
        <f>Scenario!AL31</f>
        <v>0.37643845197996767</v>
      </c>
      <c r="E24" s="215">
        <f>Scenario!AM31</f>
        <v>0.9454633575841902</v>
      </c>
      <c r="F24" s="215">
        <f>Scenario!AN31</f>
        <v>1.7891607181870568</v>
      </c>
      <c r="G24" s="215">
        <f>Scenario!AO31</f>
        <v>3.3857431383516916</v>
      </c>
      <c r="H24" s="321">
        <f>Scenario!AP31</f>
        <v>8.5036373374364302</v>
      </c>
      <c r="I24" s="218">
        <f>IF(D24+'Non-travel METs'!D25&gt;2.5, D24+'Non-travel METs'!D25, 0.1)</f>
        <v>0.1</v>
      </c>
      <c r="J24" s="218">
        <f>IF(E24+'Non-travel METs'!E25&gt;2.5, E24+'Non-travel METs'!E25, 0.1)</f>
        <v>0.1</v>
      </c>
      <c r="K24" s="218">
        <f>IF(F24+'Non-travel METs'!F25&gt;2.5, F24+'Non-travel METs'!F25, 0.1)</f>
        <v>0.1</v>
      </c>
      <c r="L24" s="218">
        <f>IF(G24+'Non-travel METs'!G25&gt;2.5, G24+'Non-travel METs'!G25, 0.1)</f>
        <v>3.3857431383516916</v>
      </c>
      <c r="M24" s="223">
        <f>IF(H24+'Non-travel METs'!H25&gt;2.5, H24+'Non-travel METs'!H25, 0.1)</f>
        <v>8.5036373374364302</v>
      </c>
      <c r="N24" s="284">
        <v>1</v>
      </c>
      <c r="O24" s="215">
        <f>$N24^(I24^0.5)</f>
        <v>1</v>
      </c>
      <c r="P24" s="215">
        <f t="shared" ref="P24:S39" si="11">$N24^(J24^0.5)</f>
        <v>1</v>
      </c>
      <c r="Q24" s="215">
        <f t="shared" si="11"/>
        <v>1</v>
      </c>
      <c r="R24" s="215">
        <f t="shared" si="11"/>
        <v>1</v>
      </c>
      <c r="S24" s="321">
        <f t="shared" si="11"/>
        <v>1</v>
      </c>
      <c r="T24" s="296">
        <f>O24/O6</f>
        <v>1</v>
      </c>
      <c r="U24" s="296">
        <f t="shared" ref="U24:X39" si="12">P24/P6</f>
        <v>1</v>
      </c>
      <c r="V24" s="296">
        <f t="shared" si="12"/>
        <v>1</v>
      </c>
      <c r="W24" s="296">
        <f t="shared" si="12"/>
        <v>1</v>
      </c>
      <c r="X24" s="328">
        <f t="shared" si="12"/>
        <v>1</v>
      </c>
      <c r="Y24" s="296">
        <f>O24/$O24</f>
        <v>1</v>
      </c>
      <c r="Z24" s="296">
        <f t="shared" ref="Z24:AC39" si="13">P24/$O24</f>
        <v>1</v>
      </c>
      <c r="AA24" s="296">
        <f t="shared" si="13"/>
        <v>1</v>
      </c>
      <c r="AB24" s="296">
        <f t="shared" si="13"/>
        <v>1</v>
      </c>
      <c r="AC24" s="328">
        <f t="shared" si="13"/>
        <v>1</v>
      </c>
      <c r="AD24" s="333">
        <f>(5-SUM(T24:X24))/5</f>
        <v>0</v>
      </c>
      <c r="AE24" s="334">
        <f>1-AD24</f>
        <v>1</v>
      </c>
      <c r="AF24" s="214">
        <f>AE24*GBDUS!K7/(Y24+Z24+AA24+AB24+AC24)</f>
        <v>0</v>
      </c>
      <c r="AG24" s="214">
        <f>$AF24*Z24</f>
        <v>0</v>
      </c>
      <c r="AH24" s="214">
        <f t="shared" ref="AH24:AJ39" si="14">$AF24*AA24</f>
        <v>0</v>
      </c>
      <c r="AI24" s="214">
        <f t="shared" si="14"/>
        <v>0</v>
      </c>
      <c r="AJ24" s="292">
        <f t="shared" si="14"/>
        <v>0</v>
      </c>
      <c r="AK24" s="301">
        <f>AE24*GBDUS!L7/(Y24+Z24+AA24+AB24+AC24)</f>
        <v>0</v>
      </c>
      <c r="AL24" s="301">
        <f>$AK24*Z24</f>
        <v>0</v>
      </c>
      <c r="AM24" s="301">
        <f t="shared" ref="AM24:AO39" si="15">$AK24*AA24</f>
        <v>0</v>
      </c>
      <c r="AN24" s="301">
        <f t="shared" si="15"/>
        <v>0</v>
      </c>
      <c r="AO24" s="303">
        <f t="shared" si="15"/>
        <v>0</v>
      </c>
      <c r="AP24" s="301">
        <f>AE24*GBDUS!M7/(Y24+Z24+AA24+AB24+AC24)</f>
        <v>0</v>
      </c>
      <c r="AQ24" s="301">
        <f>$AP24*Z24</f>
        <v>0</v>
      </c>
      <c r="AR24" s="301">
        <f t="shared" ref="AR24:AT39" si="16">$AP24*AA24</f>
        <v>0</v>
      </c>
      <c r="AS24" s="301">
        <f t="shared" si="16"/>
        <v>0</v>
      </c>
      <c r="AT24" s="303">
        <f t="shared" si="16"/>
        <v>0</v>
      </c>
      <c r="AU24" s="262">
        <f>SUM(AF24:AJ24)-SUM(AF6:AJ6)</f>
        <v>0</v>
      </c>
      <c r="AV24" s="261">
        <f>SUM(AK24:AO24)-SUM(AK6:AO6)</f>
        <v>0</v>
      </c>
      <c r="AW24" s="262">
        <f>SUM(AP24:AT24)-SUM(AP6:AT6)</f>
        <v>0</v>
      </c>
      <c r="AX24" s="262">
        <f>AV24+AW24</f>
        <v>0</v>
      </c>
    </row>
    <row r="25" spans="2:50" x14ac:dyDescent="0.2">
      <c r="B25" s="212">
        <v>1</v>
      </c>
      <c r="C25" s="325" t="s">
        <v>10</v>
      </c>
      <c r="D25" s="215">
        <f>Scenario!AL32</f>
        <v>0.76131359914254593</v>
      </c>
      <c r="E25" s="215">
        <f>Scenario!AM32</f>
        <v>1.912116330927107</v>
      </c>
      <c r="F25" s="215">
        <f>Scenario!AN32</f>
        <v>3.6184199001007888</v>
      </c>
      <c r="G25" s="369">
        <f>Scenario!AO32</f>
        <v>6.8473671615456384</v>
      </c>
      <c r="H25" s="321">
        <f>Scenario!AP32</f>
        <v>17.19785721441437</v>
      </c>
      <c r="I25" s="218">
        <f>IF(D25+'Non-travel METs'!D26&gt;2.5, D25+'Non-travel METs'!D26, 0.1)</f>
        <v>0.1</v>
      </c>
      <c r="J25" s="218">
        <f>IF(E25+'Non-travel METs'!E26&gt;2.5, E25+'Non-travel METs'!E26, 0.1)</f>
        <v>0.1</v>
      </c>
      <c r="K25" s="218">
        <f>IF(F25+'Non-travel METs'!F26&gt;2.5, F25+'Non-travel METs'!F26, 0.1)</f>
        <v>3.6184199001007888</v>
      </c>
      <c r="L25" s="218">
        <f>IF(G25+'Non-travel METs'!G26&gt;2.5, G25+'Non-travel METs'!G26, 0.1)</f>
        <v>6.8473671615456384</v>
      </c>
      <c r="M25" s="223">
        <f>IF(H25+'Non-travel METs'!H26&gt;2.5, H25+'Non-travel METs'!H26, 0.1)</f>
        <v>17.19785721441437</v>
      </c>
      <c r="N25" s="284">
        <v>1</v>
      </c>
      <c r="O25" s="215">
        <f t="shared" ref="O25:O39" si="17">$N25^(I25^0.5)</f>
        <v>1</v>
      </c>
      <c r="P25" s="215">
        <f t="shared" si="11"/>
        <v>1</v>
      </c>
      <c r="Q25" s="215">
        <f t="shared" si="11"/>
        <v>1</v>
      </c>
      <c r="R25" s="215">
        <f t="shared" si="11"/>
        <v>1</v>
      </c>
      <c r="S25" s="321">
        <f t="shared" si="11"/>
        <v>1</v>
      </c>
      <c r="T25" s="296">
        <f t="shared" ref="T25:T39" si="18">O25/O7</f>
        <v>1</v>
      </c>
      <c r="U25" s="296">
        <f t="shared" si="12"/>
        <v>1</v>
      </c>
      <c r="V25" s="296">
        <f t="shared" si="12"/>
        <v>1</v>
      </c>
      <c r="W25" s="296">
        <f t="shared" si="12"/>
        <v>1</v>
      </c>
      <c r="X25" s="328">
        <f t="shared" si="12"/>
        <v>1</v>
      </c>
      <c r="Y25" s="296">
        <f t="shared" ref="Y25:Y39" si="19">O25/$O25</f>
        <v>1</v>
      </c>
      <c r="Z25" s="296">
        <f t="shared" si="13"/>
        <v>1</v>
      </c>
      <c r="AA25" s="296">
        <f t="shared" si="13"/>
        <v>1</v>
      </c>
      <c r="AB25" s="296">
        <f t="shared" si="13"/>
        <v>1</v>
      </c>
      <c r="AC25" s="328">
        <f t="shared" si="13"/>
        <v>1</v>
      </c>
      <c r="AD25" s="333">
        <f t="shared" ref="AD25:AD39" si="20">(5-SUM(T25:X25))/5</f>
        <v>0</v>
      </c>
      <c r="AE25" s="334">
        <f t="shared" ref="AE25:AE39" si="21">1-AD25</f>
        <v>1</v>
      </c>
      <c r="AF25" s="214">
        <f>AE25*GBDUS!K8/(Y25+Z25+AA25+AB25+AC25)</f>
        <v>0</v>
      </c>
      <c r="AG25" s="214">
        <f t="shared" ref="AG25:AG39" si="22">$AF25*Z25</f>
        <v>0</v>
      </c>
      <c r="AH25" s="214">
        <f t="shared" si="14"/>
        <v>0</v>
      </c>
      <c r="AI25" s="214">
        <f t="shared" si="14"/>
        <v>0</v>
      </c>
      <c r="AJ25" s="292">
        <f t="shared" si="14"/>
        <v>0</v>
      </c>
      <c r="AK25" s="301">
        <f>AE25*GBDUS!L8/(Y25+Z25+AA25+AB25+AC25)</f>
        <v>0</v>
      </c>
      <c r="AL25" s="301">
        <f t="shared" ref="AL25:AL39" si="23">$AK25*Z25</f>
        <v>0</v>
      </c>
      <c r="AM25" s="301">
        <f t="shared" si="15"/>
        <v>0</v>
      </c>
      <c r="AN25" s="301">
        <f t="shared" si="15"/>
        <v>0</v>
      </c>
      <c r="AO25" s="303">
        <f t="shared" si="15"/>
        <v>0</v>
      </c>
      <c r="AP25" s="301">
        <f>AE25*GBDUS!M8/(Y25+Z25+AA25+AB25+AC25)</f>
        <v>0</v>
      </c>
      <c r="AQ25" s="301">
        <f t="shared" ref="AQ25:AQ39" si="24">$AP25*Z25</f>
        <v>0</v>
      </c>
      <c r="AR25" s="301">
        <f t="shared" si="16"/>
        <v>0</v>
      </c>
      <c r="AS25" s="301">
        <f t="shared" si="16"/>
        <v>0</v>
      </c>
      <c r="AT25" s="303">
        <f t="shared" si="16"/>
        <v>0</v>
      </c>
      <c r="AU25" s="262">
        <f t="shared" ref="AU25:AU39" si="25">SUM(AF25:AJ25)-SUM(AF7:AJ7)</f>
        <v>0</v>
      </c>
      <c r="AV25" s="261">
        <f t="shared" ref="AV25:AV39" si="26">SUM(AK25:AO25)-SUM(AK7:AO7)</f>
        <v>0</v>
      </c>
      <c r="AW25" s="262">
        <f t="shared" ref="AW25:AW39" si="27">SUM(AP25:AT25)-SUM(AP7:AT7)</f>
        <v>0</v>
      </c>
      <c r="AX25" s="262">
        <f t="shared" ref="AX25:AX39" si="28">AV25+AW25</f>
        <v>0</v>
      </c>
    </row>
    <row r="26" spans="2:50" x14ac:dyDescent="0.2">
      <c r="B26" s="212">
        <v>1</v>
      </c>
      <c r="C26" s="325" t="s">
        <v>11</v>
      </c>
      <c r="D26" s="215">
        <f>Scenario!AL33</f>
        <v>0.58511880095294533</v>
      </c>
      <c r="E26" s="215">
        <f>Scenario!AM33</f>
        <v>1.4695852222982959</v>
      </c>
      <c r="F26" s="215">
        <f>Scenario!AN33</f>
        <v>2.7809900094728652</v>
      </c>
      <c r="G26" s="215">
        <f>Scenario!AO33</f>
        <v>5.2626450752497185</v>
      </c>
      <c r="H26" s="321">
        <f>Scenario!AP33</f>
        <v>13.217666942494709</v>
      </c>
      <c r="I26" s="218">
        <f>IF(D26+'Non-travel METs'!D27&gt;2.5, D26+'Non-travel METs'!D27, 0.1)</f>
        <v>65.462618800952939</v>
      </c>
      <c r="J26" s="218">
        <f>IF(E26+'Non-travel METs'!E27&gt;2.5, E26+'Non-travel METs'!E27, 0.1)</f>
        <v>66.34708522229829</v>
      </c>
      <c r="K26" s="218">
        <f>IF(F26+'Non-travel METs'!F27&gt;2.5, F26+'Non-travel METs'!F27, 0.1)</f>
        <v>67.658490009472857</v>
      </c>
      <c r="L26" s="218">
        <f>IF(G26+'Non-travel METs'!G27&gt;2.5, G26+'Non-travel METs'!G27, 0.1)</f>
        <v>70.14014507524972</v>
      </c>
      <c r="M26" s="223">
        <f>IF(H26+'Non-travel METs'!H27&gt;2.5, H26+'Non-travel METs'!H27, 0.1)</f>
        <v>78.0951669424947</v>
      </c>
      <c r="N26" s="284">
        <v>1</v>
      </c>
      <c r="O26" s="215">
        <f t="shared" si="17"/>
        <v>1</v>
      </c>
      <c r="P26" s="215">
        <f t="shared" si="11"/>
        <v>1</v>
      </c>
      <c r="Q26" s="215">
        <f t="shared" si="11"/>
        <v>1</v>
      </c>
      <c r="R26" s="215">
        <f t="shared" si="11"/>
        <v>1</v>
      </c>
      <c r="S26" s="321">
        <f t="shared" si="11"/>
        <v>1</v>
      </c>
      <c r="T26" s="296">
        <f t="shared" si="18"/>
        <v>1</v>
      </c>
      <c r="U26" s="296">
        <f t="shared" si="12"/>
        <v>1</v>
      </c>
      <c r="V26" s="296">
        <f t="shared" si="12"/>
        <v>1</v>
      </c>
      <c r="W26" s="296">
        <f t="shared" si="12"/>
        <v>1</v>
      </c>
      <c r="X26" s="328">
        <f t="shared" si="12"/>
        <v>1</v>
      </c>
      <c r="Y26" s="296">
        <f t="shared" si="19"/>
        <v>1</v>
      </c>
      <c r="Z26" s="296">
        <f t="shared" si="13"/>
        <v>1</v>
      </c>
      <c r="AA26" s="296">
        <f t="shared" si="13"/>
        <v>1</v>
      </c>
      <c r="AB26" s="296">
        <f t="shared" si="13"/>
        <v>1</v>
      </c>
      <c r="AC26" s="328">
        <f t="shared" si="13"/>
        <v>1</v>
      </c>
      <c r="AD26" s="333">
        <f t="shared" si="20"/>
        <v>0</v>
      </c>
      <c r="AE26" s="334">
        <f t="shared" si="21"/>
        <v>1</v>
      </c>
      <c r="AF26" s="214">
        <f>AE26*GBDUS!K9/(Y26+Z26+AA26+AB26+AC26)</f>
        <v>0</v>
      </c>
      <c r="AG26" s="214">
        <f t="shared" si="22"/>
        <v>0</v>
      </c>
      <c r="AH26" s="214">
        <f t="shared" si="14"/>
        <v>0</v>
      </c>
      <c r="AI26" s="214">
        <f t="shared" si="14"/>
        <v>0</v>
      </c>
      <c r="AJ26" s="292">
        <f t="shared" si="14"/>
        <v>0</v>
      </c>
      <c r="AK26" s="301">
        <f>AE26*GBDUS!L9/(Y26+Z26+AA26+AB26+AC26)</f>
        <v>0</v>
      </c>
      <c r="AL26" s="301">
        <f t="shared" si="23"/>
        <v>0</v>
      </c>
      <c r="AM26" s="301">
        <f t="shared" si="15"/>
        <v>0</v>
      </c>
      <c r="AN26" s="301">
        <f t="shared" si="15"/>
        <v>0</v>
      </c>
      <c r="AO26" s="303">
        <f t="shared" si="15"/>
        <v>0</v>
      </c>
      <c r="AP26" s="301">
        <f>AE26*GBDUS!M9/(Y26+Z26+AA26+AB26+AC26)</f>
        <v>0</v>
      </c>
      <c r="AQ26" s="301">
        <f t="shared" si="24"/>
        <v>0</v>
      </c>
      <c r="AR26" s="301">
        <f t="shared" si="16"/>
        <v>0</v>
      </c>
      <c r="AS26" s="301">
        <f t="shared" si="16"/>
        <v>0</v>
      </c>
      <c r="AT26" s="303">
        <f t="shared" si="16"/>
        <v>0</v>
      </c>
      <c r="AU26" s="262">
        <f t="shared" si="25"/>
        <v>0</v>
      </c>
      <c r="AV26" s="261">
        <f t="shared" si="26"/>
        <v>0</v>
      </c>
      <c r="AW26" s="262">
        <f t="shared" si="27"/>
        <v>0</v>
      </c>
      <c r="AX26" s="262">
        <f t="shared" si="28"/>
        <v>0</v>
      </c>
    </row>
    <row r="27" spans="2:50" x14ac:dyDescent="0.2">
      <c r="B27" s="212">
        <v>1</v>
      </c>
      <c r="C27" s="325" t="s">
        <v>12</v>
      </c>
      <c r="D27" s="215">
        <f>Scenario!AL34</f>
        <v>0.50458791239407375</v>
      </c>
      <c r="E27" s="215">
        <f>Scenario!AM34</f>
        <v>1.2673237267320545</v>
      </c>
      <c r="F27" s="215">
        <f>Scenario!AN34</f>
        <v>2.3982376587169973</v>
      </c>
      <c r="G27" s="215">
        <f>Scenario!AO34</f>
        <v>4.5383383474713499</v>
      </c>
      <c r="H27" s="321">
        <f>Scenario!AP34</f>
        <v>11.398497122928575</v>
      </c>
      <c r="I27" s="218">
        <f>IF(D27+'Non-travel METs'!D28&gt;2.5, D27+'Non-travel METs'!D28, 0.1)</f>
        <v>68.198337912394067</v>
      </c>
      <c r="J27" s="218">
        <f>IF(E27+'Non-travel METs'!E28&gt;2.5, E27+'Non-travel METs'!E28, 0.1)</f>
        <v>68.961073726732053</v>
      </c>
      <c r="K27" s="218">
        <f>IF(F27+'Non-travel METs'!F28&gt;2.5, F27+'Non-travel METs'!F28, 0.1)</f>
        <v>70.091987658716988</v>
      </c>
      <c r="L27" s="218">
        <f>IF(G27+'Non-travel METs'!G28&gt;2.5, G27+'Non-travel METs'!G28, 0.1)</f>
        <v>72.232088347471347</v>
      </c>
      <c r="M27" s="223">
        <f>IF(H27+'Non-travel METs'!H28&gt;2.5, H27+'Non-travel METs'!H28, 0.1)</f>
        <v>79.092247122928569</v>
      </c>
      <c r="N27" s="284">
        <v>1</v>
      </c>
      <c r="O27" s="215">
        <f t="shared" si="17"/>
        <v>1</v>
      </c>
      <c r="P27" s="215">
        <f t="shared" si="11"/>
        <v>1</v>
      </c>
      <c r="Q27" s="215">
        <f t="shared" si="11"/>
        <v>1</v>
      </c>
      <c r="R27" s="215">
        <f t="shared" si="11"/>
        <v>1</v>
      </c>
      <c r="S27" s="321">
        <f t="shared" si="11"/>
        <v>1</v>
      </c>
      <c r="T27" s="296">
        <f t="shared" si="18"/>
        <v>1</v>
      </c>
      <c r="U27" s="296">
        <f t="shared" si="12"/>
        <v>1</v>
      </c>
      <c r="V27" s="296">
        <f t="shared" si="12"/>
        <v>1</v>
      </c>
      <c r="W27" s="296">
        <f t="shared" si="12"/>
        <v>1</v>
      </c>
      <c r="X27" s="328">
        <f t="shared" si="12"/>
        <v>1</v>
      </c>
      <c r="Y27" s="296">
        <f t="shared" si="19"/>
        <v>1</v>
      </c>
      <c r="Z27" s="296">
        <f t="shared" si="13"/>
        <v>1</v>
      </c>
      <c r="AA27" s="296">
        <f t="shared" si="13"/>
        <v>1</v>
      </c>
      <c r="AB27" s="296">
        <f t="shared" si="13"/>
        <v>1</v>
      </c>
      <c r="AC27" s="328">
        <f t="shared" si="13"/>
        <v>1</v>
      </c>
      <c r="AD27" s="333">
        <f t="shared" si="20"/>
        <v>0</v>
      </c>
      <c r="AE27" s="334">
        <f t="shared" si="21"/>
        <v>1</v>
      </c>
      <c r="AF27" s="214">
        <f>AE27*GBDUS!K10/(Y27+Z27+AA27+AB27+AC27)</f>
        <v>0</v>
      </c>
      <c r="AG27" s="214">
        <f t="shared" si="22"/>
        <v>0</v>
      </c>
      <c r="AH27" s="214">
        <f t="shared" si="14"/>
        <v>0</v>
      </c>
      <c r="AI27" s="214">
        <f t="shared" si="14"/>
        <v>0</v>
      </c>
      <c r="AJ27" s="292">
        <f t="shared" si="14"/>
        <v>0</v>
      </c>
      <c r="AK27" s="301">
        <f>AE27*GBDUS!L10/(Y27+Z27+AA27+AB27+AC27)</f>
        <v>0</v>
      </c>
      <c r="AL27" s="301">
        <f t="shared" si="23"/>
        <v>0</v>
      </c>
      <c r="AM27" s="301">
        <f t="shared" si="15"/>
        <v>0</v>
      </c>
      <c r="AN27" s="301">
        <f t="shared" si="15"/>
        <v>0</v>
      </c>
      <c r="AO27" s="303">
        <f t="shared" si="15"/>
        <v>0</v>
      </c>
      <c r="AP27" s="301">
        <f>AE27*GBDUS!M10/(Y27+Z27+AA27+AB27+AC27)</f>
        <v>0</v>
      </c>
      <c r="AQ27" s="301">
        <f t="shared" si="24"/>
        <v>0</v>
      </c>
      <c r="AR27" s="301">
        <f t="shared" si="16"/>
        <v>0</v>
      </c>
      <c r="AS27" s="301">
        <f t="shared" si="16"/>
        <v>0</v>
      </c>
      <c r="AT27" s="303">
        <f t="shared" si="16"/>
        <v>0</v>
      </c>
      <c r="AU27" s="262">
        <f t="shared" si="25"/>
        <v>0</v>
      </c>
      <c r="AV27" s="261">
        <f t="shared" si="26"/>
        <v>0</v>
      </c>
      <c r="AW27" s="262">
        <f t="shared" si="27"/>
        <v>0</v>
      </c>
      <c r="AX27" s="262">
        <f t="shared" si="28"/>
        <v>0</v>
      </c>
    </row>
    <row r="28" spans="2:50" x14ac:dyDescent="0.2">
      <c r="B28" s="212">
        <v>1</v>
      </c>
      <c r="C28" s="325" t="s">
        <v>13</v>
      </c>
      <c r="D28" s="215">
        <f>Scenario!AL35</f>
        <v>0.42323926090175956</v>
      </c>
      <c r="E28" s="215">
        <f>Scenario!AM35</f>
        <v>1.0630083366056431</v>
      </c>
      <c r="F28" s="215">
        <f>Scenario!AN35</f>
        <v>2.011598592059475</v>
      </c>
      <c r="G28" s="215">
        <f>Scenario!AO35</f>
        <v>3.8066765388659869</v>
      </c>
      <c r="H28" s="321">
        <f>Scenario!AP35</f>
        <v>9.5608542717754226</v>
      </c>
      <c r="I28" s="218">
        <f>IF(D28+'Non-travel METs'!D29&gt;2.5, D28+'Non-travel METs'!D29, 0.1)</f>
        <v>58.198239260901758</v>
      </c>
      <c r="J28" s="218">
        <f>IF(E28+'Non-travel METs'!E29&gt;2.5, E28+'Non-travel METs'!E29, 0.1)</f>
        <v>58.83800833660564</v>
      </c>
      <c r="K28" s="218">
        <f>IF(F28+'Non-travel METs'!F29&gt;2.5, F28+'Non-travel METs'!F29, 0.1)</f>
        <v>59.786598592059477</v>
      </c>
      <c r="L28" s="218">
        <f>IF(G28+'Non-travel METs'!G29&gt;2.5, G28+'Non-travel METs'!G29, 0.1)</f>
        <v>61.581676538865985</v>
      </c>
      <c r="M28" s="223">
        <f>IF(H28+'Non-travel METs'!H29&gt;2.5, H28+'Non-travel METs'!H29, 0.1)</f>
        <v>67.335854271775418</v>
      </c>
      <c r="N28" s="284">
        <v>1</v>
      </c>
      <c r="O28" s="215">
        <f t="shared" si="17"/>
        <v>1</v>
      </c>
      <c r="P28" s="215">
        <f t="shared" si="11"/>
        <v>1</v>
      </c>
      <c r="Q28" s="215">
        <f t="shared" si="11"/>
        <v>1</v>
      </c>
      <c r="R28" s="215">
        <f t="shared" si="11"/>
        <v>1</v>
      </c>
      <c r="S28" s="321">
        <f t="shared" si="11"/>
        <v>1</v>
      </c>
      <c r="T28" s="296">
        <f t="shared" si="18"/>
        <v>1</v>
      </c>
      <c r="U28" s="296">
        <f t="shared" si="12"/>
        <v>1</v>
      </c>
      <c r="V28" s="296">
        <f t="shared" si="12"/>
        <v>1</v>
      </c>
      <c r="W28" s="296">
        <f t="shared" si="12"/>
        <v>1</v>
      </c>
      <c r="X28" s="328">
        <f t="shared" si="12"/>
        <v>1</v>
      </c>
      <c r="Y28" s="296">
        <f t="shared" si="19"/>
        <v>1</v>
      </c>
      <c r="Z28" s="296">
        <f t="shared" si="13"/>
        <v>1</v>
      </c>
      <c r="AA28" s="296">
        <f t="shared" si="13"/>
        <v>1</v>
      </c>
      <c r="AB28" s="296">
        <f t="shared" si="13"/>
        <v>1</v>
      </c>
      <c r="AC28" s="328">
        <f t="shared" si="13"/>
        <v>1</v>
      </c>
      <c r="AD28" s="333">
        <f t="shared" si="20"/>
        <v>0</v>
      </c>
      <c r="AE28" s="334">
        <f t="shared" si="21"/>
        <v>1</v>
      </c>
      <c r="AF28" s="214">
        <f>AE28*GBDUS!K11/(Y28+Z28+AA28+AB28+AC28)</f>
        <v>0</v>
      </c>
      <c r="AG28" s="214">
        <f t="shared" si="22"/>
        <v>0</v>
      </c>
      <c r="AH28" s="214">
        <f t="shared" si="14"/>
        <v>0</v>
      </c>
      <c r="AI28" s="214">
        <f t="shared" si="14"/>
        <v>0</v>
      </c>
      <c r="AJ28" s="292">
        <f t="shared" si="14"/>
        <v>0</v>
      </c>
      <c r="AK28" s="301">
        <f>AE28*GBDUS!L11/(Y28+Z28+AA28+AB28+AC28)</f>
        <v>0</v>
      </c>
      <c r="AL28" s="301">
        <f t="shared" si="23"/>
        <v>0</v>
      </c>
      <c r="AM28" s="301">
        <f t="shared" si="15"/>
        <v>0</v>
      </c>
      <c r="AN28" s="301">
        <f t="shared" si="15"/>
        <v>0</v>
      </c>
      <c r="AO28" s="303">
        <f t="shared" si="15"/>
        <v>0</v>
      </c>
      <c r="AP28" s="301">
        <f>AE28*GBDUS!M11/(Y28+Z28+AA28+AB28+AC28)</f>
        <v>0</v>
      </c>
      <c r="AQ28" s="301">
        <f t="shared" si="24"/>
        <v>0</v>
      </c>
      <c r="AR28" s="301">
        <f t="shared" si="16"/>
        <v>0</v>
      </c>
      <c r="AS28" s="301">
        <f t="shared" si="16"/>
        <v>0</v>
      </c>
      <c r="AT28" s="303">
        <f t="shared" si="16"/>
        <v>0</v>
      </c>
      <c r="AU28" s="262">
        <f t="shared" si="25"/>
        <v>0</v>
      </c>
      <c r="AV28" s="261">
        <f t="shared" si="26"/>
        <v>0</v>
      </c>
      <c r="AW28" s="262">
        <f t="shared" si="27"/>
        <v>0</v>
      </c>
      <c r="AX28" s="262">
        <f t="shared" si="28"/>
        <v>0</v>
      </c>
    </row>
    <row r="29" spans="2:50" x14ac:dyDescent="0.2">
      <c r="B29" s="212">
        <v>1</v>
      </c>
      <c r="C29" s="325" t="s">
        <v>14</v>
      </c>
      <c r="D29" s="215">
        <f>Scenario!AL36</f>
        <v>0.34527632259518459</v>
      </c>
      <c r="E29" s="215">
        <f>Scenario!AM36</f>
        <v>0.86719650858764341</v>
      </c>
      <c r="F29" s="215">
        <f>Scenario!AN36</f>
        <v>1.641051359281066</v>
      </c>
      <c r="G29" s="215">
        <f>Scenario!AO36</f>
        <v>3.1054663356339605</v>
      </c>
      <c r="H29" s="321">
        <f>Scenario!AP36</f>
        <v>7.7996937164894184</v>
      </c>
      <c r="I29" s="218">
        <f>IF(D29+'Non-travel METs'!D30&gt;2.5, D29+'Non-travel METs'!D30, 0.1)</f>
        <v>23.428609655928486</v>
      </c>
      <c r="J29" s="218">
        <f>IF(E29+'Non-travel METs'!E30&gt;2.5, E29+'Non-travel METs'!E30, 0.1)</f>
        <v>23.950529841920943</v>
      </c>
      <c r="K29" s="218">
        <f>IF(F29+'Non-travel METs'!F30&gt;2.5, F29+'Non-travel METs'!F30, 0.1)</f>
        <v>24.724384692614365</v>
      </c>
      <c r="L29" s="218">
        <f>IF(G29+'Non-travel METs'!G30&gt;2.5, G29+'Non-travel METs'!G30, 0.1)</f>
        <v>26.18879966896726</v>
      </c>
      <c r="M29" s="223">
        <f>IF(H29+'Non-travel METs'!H30&gt;2.5, H29+'Non-travel METs'!H30, 0.1)</f>
        <v>30.883027049822719</v>
      </c>
      <c r="N29" s="284">
        <v>1</v>
      </c>
      <c r="O29" s="215">
        <f t="shared" si="17"/>
        <v>1</v>
      </c>
      <c r="P29" s="215">
        <f t="shared" si="11"/>
        <v>1</v>
      </c>
      <c r="Q29" s="215">
        <f t="shared" si="11"/>
        <v>1</v>
      </c>
      <c r="R29" s="215">
        <f t="shared" si="11"/>
        <v>1</v>
      </c>
      <c r="S29" s="321">
        <f t="shared" si="11"/>
        <v>1</v>
      </c>
      <c r="T29" s="296">
        <f t="shared" si="18"/>
        <v>1</v>
      </c>
      <c r="U29" s="296">
        <f t="shared" si="12"/>
        <v>1</v>
      </c>
      <c r="V29" s="296">
        <f t="shared" si="12"/>
        <v>1</v>
      </c>
      <c r="W29" s="296">
        <f t="shared" si="12"/>
        <v>1</v>
      </c>
      <c r="X29" s="328">
        <f t="shared" si="12"/>
        <v>1</v>
      </c>
      <c r="Y29" s="296">
        <f t="shared" si="19"/>
        <v>1</v>
      </c>
      <c r="Z29" s="296">
        <f t="shared" si="13"/>
        <v>1</v>
      </c>
      <c r="AA29" s="296">
        <f t="shared" si="13"/>
        <v>1</v>
      </c>
      <c r="AB29" s="296">
        <f t="shared" si="13"/>
        <v>1</v>
      </c>
      <c r="AC29" s="328">
        <f t="shared" si="13"/>
        <v>1</v>
      </c>
      <c r="AD29" s="333">
        <f t="shared" si="20"/>
        <v>0</v>
      </c>
      <c r="AE29" s="334">
        <f t="shared" si="21"/>
        <v>1</v>
      </c>
      <c r="AF29" s="214">
        <f>AE29*GBDUS!K12/(Y29+Z29+AA29+AB29+AC29)</f>
        <v>0</v>
      </c>
      <c r="AG29" s="214">
        <f t="shared" si="22"/>
        <v>0</v>
      </c>
      <c r="AH29" s="214">
        <f t="shared" si="14"/>
        <v>0</v>
      </c>
      <c r="AI29" s="214">
        <f t="shared" si="14"/>
        <v>0</v>
      </c>
      <c r="AJ29" s="292">
        <f t="shared" si="14"/>
        <v>0</v>
      </c>
      <c r="AK29" s="301">
        <f>AE29*GBDUS!L12/(Y29+Z29+AA29+AB29+AC29)</f>
        <v>0</v>
      </c>
      <c r="AL29" s="301">
        <f t="shared" si="23"/>
        <v>0</v>
      </c>
      <c r="AM29" s="301">
        <f t="shared" si="15"/>
        <v>0</v>
      </c>
      <c r="AN29" s="301">
        <f t="shared" si="15"/>
        <v>0</v>
      </c>
      <c r="AO29" s="303">
        <f t="shared" si="15"/>
        <v>0</v>
      </c>
      <c r="AP29" s="301">
        <f>AE29*GBDUS!M12/(Y29+Z29+AA29+AB29+AC29)</f>
        <v>0</v>
      </c>
      <c r="AQ29" s="301">
        <f t="shared" si="24"/>
        <v>0</v>
      </c>
      <c r="AR29" s="301">
        <f t="shared" si="16"/>
        <v>0</v>
      </c>
      <c r="AS29" s="301">
        <f t="shared" si="16"/>
        <v>0</v>
      </c>
      <c r="AT29" s="303">
        <f t="shared" si="16"/>
        <v>0</v>
      </c>
      <c r="AU29" s="262">
        <f t="shared" si="25"/>
        <v>0</v>
      </c>
      <c r="AV29" s="261">
        <f t="shared" si="26"/>
        <v>0</v>
      </c>
      <c r="AW29" s="262">
        <f t="shared" si="27"/>
        <v>0</v>
      </c>
      <c r="AX29" s="262">
        <f t="shared" si="28"/>
        <v>0</v>
      </c>
    </row>
    <row r="30" spans="2:50" x14ac:dyDescent="0.2">
      <c r="B30" s="212">
        <v>1</v>
      </c>
      <c r="C30" s="325" t="s">
        <v>15</v>
      </c>
      <c r="D30" s="215">
        <f>Scenario!AL37</f>
        <v>0.19932213747057709</v>
      </c>
      <c r="E30" s="215">
        <f>Scenario!AM37</f>
        <v>0.50061776724078633</v>
      </c>
      <c r="F30" s="215">
        <f>Scenario!AN37</f>
        <v>0.94735098593598122</v>
      </c>
      <c r="G30" s="215">
        <f>Scenario!AO37</f>
        <v>1.7927327979196748</v>
      </c>
      <c r="H30" s="321">
        <f>Scenario!AP37</f>
        <v>4.5026302745040336</v>
      </c>
      <c r="I30" s="218">
        <f>IF(D30+'Non-travel METs'!D31&gt;2.5, D30+'Non-travel METs'!D31, 0.1)</f>
        <v>0.1</v>
      </c>
      <c r="J30" s="218">
        <f>IF(E30+'Non-travel METs'!E31&gt;2.5, E30+'Non-travel METs'!E31, 0.1)</f>
        <v>0.1</v>
      </c>
      <c r="K30" s="218">
        <f>IF(F30+'Non-travel METs'!F31&gt;2.5, F30+'Non-travel METs'!F31, 0.1)</f>
        <v>2.822350985935981</v>
      </c>
      <c r="L30" s="218">
        <f>IF(G30+'Non-travel METs'!G31&gt;2.5, G30+'Non-travel METs'!G31, 0.1)</f>
        <v>3.6677327979196748</v>
      </c>
      <c r="M30" s="223">
        <f>IF(H30+'Non-travel METs'!H31&gt;2.5, H30+'Non-travel METs'!H31, 0.1)</f>
        <v>6.3776302745040336</v>
      </c>
      <c r="N30" s="284">
        <v>1</v>
      </c>
      <c r="O30" s="215">
        <f t="shared" si="17"/>
        <v>1</v>
      </c>
      <c r="P30" s="215">
        <f t="shared" si="11"/>
        <v>1</v>
      </c>
      <c r="Q30" s="215">
        <f t="shared" si="11"/>
        <v>1</v>
      </c>
      <c r="R30" s="215">
        <f t="shared" si="11"/>
        <v>1</v>
      </c>
      <c r="S30" s="321">
        <f t="shared" si="11"/>
        <v>1</v>
      </c>
      <c r="T30" s="296">
        <f t="shared" si="18"/>
        <v>1</v>
      </c>
      <c r="U30" s="296">
        <f t="shared" si="12"/>
        <v>1</v>
      </c>
      <c r="V30" s="296">
        <f t="shared" si="12"/>
        <v>1</v>
      </c>
      <c r="W30" s="296">
        <f t="shared" si="12"/>
        <v>1</v>
      </c>
      <c r="X30" s="328">
        <f t="shared" si="12"/>
        <v>1</v>
      </c>
      <c r="Y30" s="296">
        <f t="shared" si="19"/>
        <v>1</v>
      </c>
      <c r="Z30" s="296">
        <f t="shared" si="13"/>
        <v>1</v>
      </c>
      <c r="AA30" s="296">
        <f t="shared" si="13"/>
        <v>1</v>
      </c>
      <c r="AB30" s="296">
        <f t="shared" si="13"/>
        <v>1</v>
      </c>
      <c r="AC30" s="328">
        <f t="shared" si="13"/>
        <v>1</v>
      </c>
      <c r="AD30" s="333">
        <f t="shared" si="20"/>
        <v>0</v>
      </c>
      <c r="AE30" s="334">
        <f t="shared" si="21"/>
        <v>1</v>
      </c>
      <c r="AF30" s="214">
        <f>AE30*GBDUS!K13/(Y30+Z30+AA30+AB30+AC30)</f>
        <v>0</v>
      </c>
      <c r="AG30" s="214">
        <f t="shared" si="22"/>
        <v>0</v>
      </c>
      <c r="AH30" s="214">
        <f t="shared" si="14"/>
        <v>0</v>
      </c>
      <c r="AI30" s="214">
        <f t="shared" si="14"/>
        <v>0</v>
      </c>
      <c r="AJ30" s="292">
        <f t="shared" si="14"/>
        <v>0</v>
      </c>
      <c r="AK30" s="301">
        <f>AE30*GBDUS!L13/(Y30+Z30+AA30+AB30+AC30)</f>
        <v>0</v>
      </c>
      <c r="AL30" s="301">
        <f t="shared" si="23"/>
        <v>0</v>
      </c>
      <c r="AM30" s="301">
        <f t="shared" si="15"/>
        <v>0</v>
      </c>
      <c r="AN30" s="301">
        <f t="shared" si="15"/>
        <v>0</v>
      </c>
      <c r="AO30" s="303">
        <f t="shared" si="15"/>
        <v>0</v>
      </c>
      <c r="AP30" s="301">
        <f>AE30*GBDUS!M13/(Y30+Z30+AA30+AB30+AC30)</f>
        <v>0</v>
      </c>
      <c r="AQ30" s="301">
        <f t="shared" si="24"/>
        <v>0</v>
      </c>
      <c r="AR30" s="301">
        <f t="shared" si="16"/>
        <v>0</v>
      </c>
      <c r="AS30" s="301">
        <f t="shared" si="16"/>
        <v>0</v>
      </c>
      <c r="AT30" s="303">
        <f t="shared" si="16"/>
        <v>0</v>
      </c>
      <c r="AU30" s="262">
        <f t="shared" si="25"/>
        <v>0</v>
      </c>
      <c r="AV30" s="261">
        <f t="shared" si="26"/>
        <v>0</v>
      </c>
      <c r="AW30" s="262">
        <f t="shared" si="27"/>
        <v>0</v>
      </c>
      <c r="AX30" s="262">
        <f t="shared" si="28"/>
        <v>0</v>
      </c>
    </row>
    <row r="31" spans="2:50" x14ac:dyDescent="0.2">
      <c r="B31" s="319">
        <v>1</v>
      </c>
      <c r="C31" s="326" t="s">
        <v>16</v>
      </c>
      <c r="D31" s="320">
        <f>Scenario!AL38</f>
        <v>0.19126931777272674</v>
      </c>
      <c r="E31" s="320">
        <f>Scenario!AM38</f>
        <v>0.48039229370187442</v>
      </c>
      <c r="F31" s="320">
        <f>Scenario!AN38</f>
        <v>0.909077030131903</v>
      </c>
      <c r="G31" s="320">
        <f>Scenario!AO38</f>
        <v>1.7203045459890483</v>
      </c>
      <c r="H31" s="322">
        <f>Scenario!AP38</f>
        <v>4.3207193727507578</v>
      </c>
      <c r="I31" s="230">
        <f>IF(D31+'Non-travel METs'!D32&gt;2.5, D31+'Non-travel METs'!D32, 0.1)</f>
        <v>0.1</v>
      </c>
      <c r="J31" s="228">
        <f>IF(E31+'Non-travel METs'!E32&gt;2.5, E31+'Non-travel METs'!E32, 0.1)</f>
        <v>0.1</v>
      </c>
      <c r="K31" s="228">
        <f>IF(F31+'Non-travel METs'!F32&gt;2.5, F31+'Non-travel METs'!F32, 0.1)</f>
        <v>0.1</v>
      </c>
      <c r="L31" s="228">
        <f>IF(G31+'Non-travel METs'!G32&gt;2.5, G31+'Non-travel METs'!G32, 0.1)</f>
        <v>0.1</v>
      </c>
      <c r="M31" s="229">
        <f>IF(H31+'Non-travel METs'!H32&gt;2.5, H31+'Non-travel METs'!H32, 0.1)</f>
        <v>4.6540527060840908</v>
      </c>
      <c r="N31" s="285">
        <v>1</v>
      </c>
      <c r="O31" s="327">
        <f t="shared" si="17"/>
        <v>1</v>
      </c>
      <c r="P31" s="320">
        <f t="shared" si="11"/>
        <v>1</v>
      </c>
      <c r="Q31" s="320">
        <f t="shared" si="11"/>
        <v>1</v>
      </c>
      <c r="R31" s="320">
        <f t="shared" si="11"/>
        <v>1</v>
      </c>
      <c r="S31" s="322">
        <f t="shared" si="11"/>
        <v>1</v>
      </c>
      <c r="T31" s="329">
        <f t="shared" si="18"/>
        <v>1</v>
      </c>
      <c r="U31" s="330">
        <f t="shared" si="12"/>
        <v>1</v>
      </c>
      <c r="V31" s="330">
        <f t="shared" si="12"/>
        <v>1</v>
      </c>
      <c r="W31" s="330">
        <f t="shared" si="12"/>
        <v>1</v>
      </c>
      <c r="X31" s="331">
        <f t="shared" si="12"/>
        <v>1</v>
      </c>
      <c r="Y31" s="329">
        <f t="shared" si="19"/>
        <v>1</v>
      </c>
      <c r="Z31" s="330">
        <f t="shared" si="13"/>
        <v>1</v>
      </c>
      <c r="AA31" s="330">
        <f t="shared" si="13"/>
        <v>1</v>
      </c>
      <c r="AB31" s="330">
        <f t="shared" si="13"/>
        <v>1</v>
      </c>
      <c r="AC31" s="331">
        <f t="shared" si="13"/>
        <v>1</v>
      </c>
      <c r="AD31" s="332">
        <f t="shared" si="20"/>
        <v>0</v>
      </c>
      <c r="AE31" s="334">
        <f t="shared" si="21"/>
        <v>1</v>
      </c>
      <c r="AF31" s="293">
        <f>AE31*GBDUS!K14/(Y31+Z31+AA31+AB31+AC31)</f>
        <v>0</v>
      </c>
      <c r="AG31" s="294">
        <f t="shared" si="22"/>
        <v>0</v>
      </c>
      <c r="AH31" s="294">
        <f t="shared" si="14"/>
        <v>0</v>
      </c>
      <c r="AI31" s="294">
        <f t="shared" si="14"/>
        <v>0</v>
      </c>
      <c r="AJ31" s="295">
        <f t="shared" si="14"/>
        <v>0</v>
      </c>
      <c r="AK31" s="304">
        <f>AE31*GBDUS!L14/(Y31+Z31+AA31+AB31+AC31)</f>
        <v>0</v>
      </c>
      <c r="AL31" s="305">
        <f t="shared" si="23"/>
        <v>0</v>
      </c>
      <c r="AM31" s="305">
        <f t="shared" si="15"/>
        <v>0</v>
      </c>
      <c r="AN31" s="305">
        <f t="shared" si="15"/>
        <v>0</v>
      </c>
      <c r="AO31" s="306">
        <f t="shared" si="15"/>
        <v>0</v>
      </c>
      <c r="AP31" s="305">
        <f>AE31*GBDUS!M14/(Y31+Z31+AA31+AB31+AC31)</f>
        <v>0</v>
      </c>
      <c r="AQ31" s="305">
        <f t="shared" si="24"/>
        <v>0</v>
      </c>
      <c r="AR31" s="305">
        <f t="shared" si="16"/>
        <v>0</v>
      </c>
      <c r="AS31" s="305">
        <f t="shared" si="16"/>
        <v>0</v>
      </c>
      <c r="AT31" s="306">
        <f t="shared" si="16"/>
        <v>0</v>
      </c>
      <c r="AU31" s="287">
        <f t="shared" si="25"/>
        <v>0</v>
      </c>
      <c r="AV31" s="265">
        <f t="shared" si="26"/>
        <v>0</v>
      </c>
      <c r="AW31" s="264">
        <f t="shared" si="27"/>
        <v>0</v>
      </c>
      <c r="AX31" s="264">
        <f t="shared" si="28"/>
        <v>0</v>
      </c>
    </row>
    <row r="32" spans="2:50" x14ac:dyDescent="0.2">
      <c r="B32" s="212">
        <v>2</v>
      </c>
      <c r="C32" s="325" t="s">
        <v>9</v>
      </c>
      <c r="D32" s="215">
        <f>Scenario!AL39</f>
        <v>0.67806159555829848</v>
      </c>
      <c r="E32" s="215">
        <f>Scenario!AM39</f>
        <v>1.703020478948196</v>
      </c>
      <c r="F32" s="215">
        <f>Scenario!AN39</f>
        <v>3.2227344600511354</v>
      </c>
      <c r="G32" s="369">
        <f>Scenario!AO39</f>
        <v>6.0985863225882078</v>
      </c>
      <c r="H32" s="321">
        <f>Scenario!AP39</f>
        <v>15.317218181999392</v>
      </c>
      <c r="I32" s="218">
        <f>IF(D32+'Non-travel METs'!D33&gt;2.5, D32+'Non-travel METs'!D33, 0.1)</f>
        <v>0.1</v>
      </c>
      <c r="J32" s="218">
        <f>IF(E32+'Non-travel METs'!E33&gt;2.5, E32+'Non-travel METs'!E33, 0.1)</f>
        <v>0.1</v>
      </c>
      <c r="K32" s="218">
        <f>IF(F32+'Non-travel METs'!F33&gt;2.5, F32+'Non-travel METs'!F33, 0.1)</f>
        <v>3.2227344600511354</v>
      </c>
      <c r="L32" s="218">
        <f>IF(G32+'Non-travel METs'!G33&gt;2.5, G32+'Non-travel METs'!G33, 0.1)</f>
        <v>6.0985863225882078</v>
      </c>
      <c r="M32" s="223">
        <f>IF(H32+'Non-travel METs'!H33&gt;2.5, H32+'Non-travel METs'!H33, 0.1)</f>
        <v>15.317218181999392</v>
      </c>
      <c r="N32" s="268">
        <f>'Phy activity RRs'!$F$5</f>
        <v>0.97319906938028322</v>
      </c>
      <c r="O32" s="214">
        <f t="shared" si="17"/>
        <v>0.99144595491037002</v>
      </c>
      <c r="P32" s="214">
        <f t="shared" si="11"/>
        <v>0.99144595491037002</v>
      </c>
      <c r="Q32" s="214">
        <f t="shared" si="11"/>
        <v>0.95240067173691423</v>
      </c>
      <c r="R32" s="214">
        <f t="shared" si="11"/>
        <v>0.93511212488511153</v>
      </c>
      <c r="S32" s="292">
        <f t="shared" si="11"/>
        <v>0.89913453209328364</v>
      </c>
      <c r="T32" s="296">
        <f t="shared" si="18"/>
        <v>1</v>
      </c>
      <c r="U32" s="296">
        <f t="shared" si="12"/>
        <v>1</v>
      </c>
      <c r="V32" s="296">
        <f t="shared" si="12"/>
        <v>0.99796881470300047</v>
      </c>
      <c r="W32" s="296">
        <f t="shared" si="12"/>
        <v>0.99725297436228</v>
      </c>
      <c r="X32" s="328">
        <f t="shared" si="12"/>
        <v>0.99575535568909224</v>
      </c>
      <c r="Y32" s="296">
        <f t="shared" si="19"/>
        <v>1</v>
      </c>
      <c r="Z32" s="296">
        <f t="shared" si="13"/>
        <v>1</v>
      </c>
      <c r="AA32" s="296">
        <f t="shared" si="13"/>
        <v>0.96061784005464457</v>
      </c>
      <c r="AB32" s="296">
        <f t="shared" si="13"/>
        <v>0.94318013024688652</v>
      </c>
      <c r="AC32" s="328">
        <f t="shared" si="13"/>
        <v>0.90689212824976262</v>
      </c>
      <c r="AD32" s="371">
        <f t="shared" si="20"/>
        <v>1.8045710491254141E-3</v>
      </c>
      <c r="AE32" s="336">
        <f t="shared" si="21"/>
        <v>0.99819542895087454</v>
      </c>
      <c r="AF32" s="214">
        <f>AE32*GBDUS!K15/(Y32+Z32+AA32+AB32+AC32)</f>
        <v>0</v>
      </c>
      <c r="AG32" s="214">
        <f t="shared" si="22"/>
        <v>0</v>
      </c>
      <c r="AH32" s="214">
        <f t="shared" si="14"/>
        <v>0</v>
      </c>
      <c r="AI32" s="214">
        <f t="shared" si="14"/>
        <v>0</v>
      </c>
      <c r="AJ32" s="292">
        <f t="shared" si="14"/>
        <v>0</v>
      </c>
      <c r="AK32" s="301">
        <f>AE32*GBDUS!L15/(Y32+Z32+AA32+AB32+AC32)</f>
        <v>0</v>
      </c>
      <c r="AL32" s="301">
        <f t="shared" si="23"/>
        <v>0</v>
      </c>
      <c r="AM32" s="301">
        <f t="shared" si="15"/>
        <v>0</v>
      </c>
      <c r="AN32" s="301">
        <f t="shared" si="15"/>
        <v>0</v>
      </c>
      <c r="AO32" s="303">
        <f t="shared" si="15"/>
        <v>0</v>
      </c>
      <c r="AP32" s="301">
        <f>AE32*GBDUS!M15/(Y32+Z32+AA32+AB32+AC32)</f>
        <v>0</v>
      </c>
      <c r="AQ32" s="301">
        <f t="shared" si="24"/>
        <v>0</v>
      </c>
      <c r="AR32" s="301">
        <f t="shared" si="16"/>
        <v>0</v>
      </c>
      <c r="AS32" s="301">
        <f t="shared" si="16"/>
        <v>0</v>
      </c>
      <c r="AT32" s="303">
        <f t="shared" si="16"/>
        <v>0</v>
      </c>
      <c r="AU32" s="262">
        <f t="shared" si="25"/>
        <v>0</v>
      </c>
      <c r="AV32" s="261">
        <f t="shared" si="26"/>
        <v>0</v>
      </c>
      <c r="AW32" s="262">
        <f t="shared" si="27"/>
        <v>0</v>
      </c>
      <c r="AX32" s="262">
        <f t="shared" si="28"/>
        <v>0</v>
      </c>
    </row>
    <row r="33" spans="2:50" x14ac:dyDescent="0.2">
      <c r="B33" s="212">
        <v>2</v>
      </c>
      <c r="C33" s="325" t="s">
        <v>10</v>
      </c>
      <c r="D33" s="215">
        <f>Scenario!AL40</f>
        <v>0.49823535606718694</v>
      </c>
      <c r="E33" s="215">
        <f>Scenario!AM40</f>
        <v>1.2513686371218657</v>
      </c>
      <c r="F33" s="215">
        <f>Scenario!AN40</f>
        <v>2.3680448232604823</v>
      </c>
      <c r="G33" s="215">
        <f>Scenario!AO40</f>
        <v>4.4812025158855429</v>
      </c>
      <c r="H33" s="321">
        <f>Scenario!AP40</f>
        <v>11.254994686114927</v>
      </c>
      <c r="I33" s="218">
        <f>IF(D33+'Non-travel METs'!D34&gt;2.5, D33+'Non-travel METs'!D34, 0.1)</f>
        <v>0.1</v>
      </c>
      <c r="J33" s="218">
        <f>IF(E33+'Non-travel METs'!E34&gt;2.5, E33+'Non-travel METs'!E34, 0.1)</f>
        <v>0.1</v>
      </c>
      <c r="K33" s="218">
        <f>IF(F33+'Non-travel METs'!F34&gt;2.5, F33+'Non-travel METs'!F34, 0.1)</f>
        <v>0.1</v>
      </c>
      <c r="L33" s="218">
        <f>IF(G33+'Non-travel METs'!G34&gt;2.5, G33+'Non-travel METs'!G34, 0.1)</f>
        <v>4.4812025158855429</v>
      </c>
      <c r="M33" s="223">
        <f>IF(H33+'Non-travel METs'!H34&gt;2.5, H33+'Non-travel METs'!H34, 0.1)</f>
        <v>11.254994686114927</v>
      </c>
      <c r="N33" s="268">
        <f>'Phy activity RRs'!$F$5</f>
        <v>0.97319906938028322</v>
      </c>
      <c r="O33" s="214">
        <f t="shared" si="17"/>
        <v>0.99144595491037002</v>
      </c>
      <c r="P33" s="214">
        <f t="shared" si="11"/>
        <v>0.99144595491037002</v>
      </c>
      <c r="Q33" s="214">
        <f t="shared" si="11"/>
        <v>0.99144595491037002</v>
      </c>
      <c r="R33" s="214">
        <f t="shared" si="11"/>
        <v>0.94411375003988751</v>
      </c>
      <c r="S33" s="292">
        <f t="shared" si="11"/>
        <v>0.91289003147865977</v>
      </c>
      <c r="T33" s="296">
        <f t="shared" si="18"/>
        <v>1</v>
      </c>
      <c r="U33" s="296">
        <f t="shared" si="12"/>
        <v>1</v>
      </c>
      <c r="V33" s="296">
        <f t="shared" si="12"/>
        <v>1</v>
      </c>
      <c r="W33" s="296">
        <f t="shared" si="12"/>
        <v>0.99791410253030943</v>
      </c>
      <c r="X33" s="328">
        <f t="shared" si="12"/>
        <v>0.99678712481422549</v>
      </c>
      <c r="Y33" s="296">
        <f t="shared" si="19"/>
        <v>1</v>
      </c>
      <c r="Z33" s="296">
        <f t="shared" si="13"/>
        <v>1</v>
      </c>
      <c r="AA33" s="296">
        <f t="shared" si="13"/>
        <v>1</v>
      </c>
      <c r="AB33" s="296">
        <f t="shared" si="13"/>
        <v>0.952259420056072</v>
      </c>
      <c r="AC33" s="328">
        <f t="shared" si="13"/>
        <v>0.92076630799425474</v>
      </c>
      <c r="AD33" s="371">
        <f t="shared" si="20"/>
        <v>1.0597545310929491E-3</v>
      </c>
      <c r="AE33" s="334">
        <f t="shared" si="21"/>
        <v>0.99894024546890703</v>
      </c>
      <c r="AF33" s="214">
        <f>AE33*GBDUS!K16/(Y33+Z33+AA33+AB33+AC33)</f>
        <v>0</v>
      </c>
      <c r="AG33" s="214">
        <f t="shared" si="22"/>
        <v>0</v>
      </c>
      <c r="AH33" s="214">
        <f t="shared" si="14"/>
        <v>0</v>
      </c>
      <c r="AI33" s="214">
        <f t="shared" si="14"/>
        <v>0</v>
      </c>
      <c r="AJ33" s="292">
        <f t="shared" si="14"/>
        <v>0</v>
      </c>
      <c r="AK33" s="301">
        <f>AE33*GBDUS!L16/(Y33+Z33+AA33+AB33+AC33)</f>
        <v>0</v>
      </c>
      <c r="AL33" s="301">
        <f t="shared" si="23"/>
        <v>0</v>
      </c>
      <c r="AM33" s="301">
        <f t="shared" si="15"/>
        <v>0</v>
      </c>
      <c r="AN33" s="301">
        <f t="shared" si="15"/>
        <v>0</v>
      </c>
      <c r="AO33" s="303">
        <f t="shared" si="15"/>
        <v>0</v>
      </c>
      <c r="AP33" s="301">
        <f>AE33*GBDUS!M16/(Y33+Z33+AA33+AB33+AC33)</f>
        <v>0</v>
      </c>
      <c r="AQ33" s="301">
        <f t="shared" si="24"/>
        <v>0</v>
      </c>
      <c r="AR33" s="301">
        <f t="shared" si="16"/>
        <v>0</v>
      </c>
      <c r="AS33" s="301">
        <f t="shared" si="16"/>
        <v>0</v>
      </c>
      <c r="AT33" s="303">
        <f t="shared" si="16"/>
        <v>0</v>
      </c>
      <c r="AU33" s="262">
        <f t="shared" si="25"/>
        <v>0</v>
      </c>
      <c r="AV33" s="261">
        <f t="shared" si="26"/>
        <v>0</v>
      </c>
      <c r="AW33" s="262">
        <f t="shared" si="27"/>
        <v>0</v>
      </c>
      <c r="AX33" s="262">
        <f t="shared" si="28"/>
        <v>0</v>
      </c>
    </row>
    <row r="34" spans="2:50" x14ac:dyDescent="0.2">
      <c r="B34" s="212">
        <v>2</v>
      </c>
      <c r="C34" s="325" t="s">
        <v>11</v>
      </c>
      <c r="D34" s="215">
        <f>Scenario!AL41</f>
        <v>0.48774232762808944</v>
      </c>
      <c r="E34" s="215">
        <f>Scenario!AM41</f>
        <v>1.225014331797649</v>
      </c>
      <c r="F34" s="215">
        <f>Scenario!AN41</f>
        <v>2.318172887491678</v>
      </c>
      <c r="G34" s="215">
        <f>Scenario!AO41</f>
        <v>4.3868266654607444</v>
      </c>
      <c r="H34" s="321">
        <f>Scenario!AP41</f>
        <v>11.017960164407139</v>
      </c>
      <c r="I34" s="218">
        <f>IF(D34+'Non-travel METs'!D35&gt;2.5, D34+'Non-travel METs'!D35, 0.1)</f>
        <v>37.987742327628091</v>
      </c>
      <c r="J34" s="218">
        <f>IF(E34+'Non-travel METs'!E35&gt;2.5, E34+'Non-travel METs'!E35, 0.1)</f>
        <v>38.725014331797652</v>
      </c>
      <c r="K34" s="218">
        <f>IF(F34+'Non-travel METs'!F35&gt;2.5, F34+'Non-travel METs'!F35, 0.1)</f>
        <v>39.818172887491677</v>
      </c>
      <c r="L34" s="218">
        <f>IF(G34+'Non-travel METs'!G35&gt;2.5, G34+'Non-travel METs'!G35, 0.1)</f>
        <v>41.886826665460745</v>
      </c>
      <c r="M34" s="223">
        <f>IF(H34+'Non-travel METs'!H35&gt;2.5, H34+'Non-travel METs'!H35, 0.1)</f>
        <v>48.517960164407143</v>
      </c>
      <c r="N34" s="268">
        <f>'Phy activity RRs'!$F$5</f>
        <v>0.97319906938028322</v>
      </c>
      <c r="O34" s="214">
        <f t="shared" si="17"/>
        <v>0.8458279512600182</v>
      </c>
      <c r="P34" s="214">
        <f t="shared" si="11"/>
        <v>0.84446132240116467</v>
      </c>
      <c r="Q34" s="214">
        <f t="shared" si="11"/>
        <v>0.84246272451419124</v>
      </c>
      <c r="R34" s="214">
        <f t="shared" si="11"/>
        <v>0.83876686621537422</v>
      </c>
      <c r="S34" s="292">
        <f t="shared" si="11"/>
        <v>0.82759723589846579</v>
      </c>
      <c r="T34" s="296">
        <f t="shared" si="18"/>
        <v>0.99990763272148775</v>
      </c>
      <c r="U34" s="296">
        <f t="shared" si="12"/>
        <v>0.99977523316689465</v>
      </c>
      <c r="V34" s="296">
        <f t="shared" si="12"/>
        <v>0.99958692941154015</v>
      </c>
      <c r="W34" s="296">
        <f t="shared" si="12"/>
        <v>0.99924944892846979</v>
      </c>
      <c r="X34" s="328">
        <f t="shared" si="12"/>
        <v>0.99828623127317906</v>
      </c>
      <c r="Y34" s="296">
        <f t="shared" si="19"/>
        <v>1</v>
      </c>
      <c r="Z34" s="296">
        <f t="shared" si="13"/>
        <v>0.99838427087114145</v>
      </c>
      <c r="AA34" s="296">
        <f t="shared" si="13"/>
        <v>0.99602138148684516</v>
      </c>
      <c r="AB34" s="296">
        <f t="shared" si="13"/>
        <v>0.99165186603951172</v>
      </c>
      <c r="AC34" s="328">
        <f t="shared" si="13"/>
        <v>0.97844630774568941</v>
      </c>
      <c r="AD34" s="371">
        <f t="shared" si="20"/>
        <v>6.3890489968585482E-4</v>
      </c>
      <c r="AE34" s="334">
        <f t="shared" si="21"/>
        <v>0.99936109510031412</v>
      </c>
      <c r="AF34" s="214">
        <f>AE34*GBDUS!K17/(Y34+Z34+AA34+AB34+AC34)</f>
        <v>0</v>
      </c>
      <c r="AG34" s="214">
        <f t="shared" si="22"/>
        <v>0</v>
      </c>
      <c r="AH34" s="214">
        <f t="shared" si="14"/>
        <v>0</v>
      </c>
      <c r="AI34" s="214">
        <f t="shared" si="14"/>
        <v>0</v>
      </c>
      <c r="AJ34" s="292">
        <f t="shared" si="14"/>
        <v>0</v>
      </c>
      <c r="AK34" s="301">
        <f>AE34*GBDUS!L17/(Y34+Z34+AA34+AB34+AC34)</f>
        <v>4.0389136014106581</v>
      </c>
      <c r="AL34" s="301">
        <f t="shared" si="23"/>
        <v>4.0323878110559157</v>
      </c>
      <c r="AM34" s="301">
        <f t="shared" si="15"/>
        <v>4.0228443049830531</v>
      </c>
      <c r="AN34" s="301">
        <f t="shared" si="15"/>
        <v>4.0051962096112437</v>
      </c>
      <c r="AO34" s="303">
        <f t="shared" si="15"/>
        <v>3.9518601006041036</v>
      </c>
      <c r="AP34" s="301">
        <f>AE34*GBDUS!M17/(Y34+Z34+AA34+AB34+AC34)</f>
        <v>0.21409825546140929</v>
      </c>
      <c r="AQ34" s="301">
        <f t="shared" si="24"/>
        <v>0.21375233067362248</v>
      </c>
      <c r="AR34" s="301">
        <f t="shared" si="16"/>
        <v>0.21324644017859637</v>
      </c>
      <c r="AS34" s="301">
        <f t="shared" si="16"/>
        <v>0.2123109345441106</v>
      </c>
      <c r="AT34" s="303">
        <f t="shared" si="16"/>
        <v>0.20948364755100929</v>
      </c>
      <c r="AU34" s="262">
        <f t="shared" si="25"/>
        <v>0</v>
      </c>
      <c r="AV34" s="261">
        <f t="shared" si="26"/>
        <v>-1.2819001342840863E-2</v>
      </c>
      <c r="AW34" s="262">
        <f t="shared" si="27"/>
        <v>-6.7952080561939354E-4</v>
      </c>
      <c r="AX34" s="262">
        <f t="shared" si="28"/>
        <v>-1.3498522148460257E-2</v>
      </c>
    </row>
    <row r="35" spans="2:50" x14ac:dyDescent="0.2">
      <c r="B35" s="212">
        <v>2</v>
      </c>
      <c r="C35" s="325" t="s">
        <v>12</v>
      </c>
      <c r="D35" s="215">
        <f>Scenario!AL42</f>
        <v>0.41128119423541215</v>
      </c>
      <c r="E35" s="215">
        <f>Scenario!AM42</f>
        <v>1.032974439162079</v>
      </c>
      <c r="F35" s="215">
        <f>Scenario!AN42</f>
        <v>1.9547635290302883</v>
      </c>
      <c r="G35" s="215">
        <f>Scenario!AO42</f>
        <v>3.6991239178449766</v>
      </c>
      <c r="H35" s="321">
        <f>Scenario!AP42</f>
        <v>9.2907249540804369</v>
      </c>
      <c r="I35" s="218">
        <f>IF(D35+'Non-travel METs'!D36&gt;2.5, D35+'Non-travel METs'!D36, 0.1)</f>
        <v>37.974614527568711</v>
      </c>
      <c r="J35" s="218">
        <f>IF(E35+'Non-travel METs'!E36&gt;2.5, E35+'Non-travel METs'!E36, 0.1)</f>
        <v>38.596307772495379</v>
      </c>
      <c r="K35" s="218">
        <f>IF(F35+'Non-travel METs'!F36&gt;2.5, F35+'Non-travel METs'!F36, 0.1)</f>
        <v>39.518096862363585</v>
      </c>
      <c r="L35" s="218">
        <f>IF(G35+'Non-travel METs'!G36&gt;2.5, G35+'Non-travel METs'!G36, 0.1)</f>
        <v>41.262457251178276</v>
      </c>
      <c r="M35" s="223">
        <f>IF(H35+'Non-travel METs'!H36&gt;2.5, H35+'Non-travel METs'!H36, 0.1)</f>
        <v>46.854058287413736</v>
      </c>
      <c r="N35" s="268">
        <f>'Phy activity RRs'!$F$5</f>
        <v>0.97319906938028322</v>
      </c>
      <c r="O35" s="214">
        <f t="shared" si="17"/>
        <v>0.84585242507851</v>
      </c>
      <c r="P35" s="214">
        <f t="shared" si="11"/>
        <v>0.8446987945568547</v>
      </c>
      <c r="Q35" s="214">
        <f t="shared" si="11"/>
        <v>0.84300811567918599</v>
      </c>
      <c r="R35" s="214">
        <f t="shared" si="11"/>
        <v>0.83987085083398672</v>
      </c>
      <c r="S35" s="292">
        <f t="shared" si="11"/>
        <v>0.83031045203599996</v>
      </c>
      <c r="T35" s="296">
        <f t="shared" si="18"/>
        <v>0.99992147455249769</v>
      </c>
      <c r="U35" s="296">
        <f t="shared" si="12"/>
        <v>0.99980860181957798</v>
      </c>
      <c r="V35" s="296">
        <f t="shared" si="12"/>
        <v>0.99964747926864417</v>
      </c>
      <c r="W35" s="296">
        <f t="shared" si="12"/>
        <v>0.99935704414219895</v>
      </c>
      <c r="X35" s="328">
        <f t="shared" si="12"/>
        <v>0.99851719749258971</v>
      </c>
      <c r="Y35" s="296">
        <f t="shared" si="19"/>
        <v>1</v>
      </c>
      <c r="Z35" s="296">
        <f t="shared" si="13"/>
        <v>0.99863613263088036</v>
      </c>
      <c r="AA35" s="296">
        <f t="shared" si="13"/>
        <v>0.99663734557590233</v>
      </c>
      <c r="AB35" s="296">
        <f t="shared" si="13"/>
        <v>0.99292834770324379</v>
      </c>
      <c r="AC35" s="328">
        <f t="shared" si="13"/>
        <v>0.98162566828242237</v>
      </c>
      <c r="AD35" s="371">
        <f t="shared" si="20"/>
        <v>5.4964054489818896E-4</v>
      </c>
      <c r="AE35" s="334">
        <f t="shared" si="21"/>
        <v>0.99945035945510186</v>
      </c>
      <c r="AF35" s="214">
        <f>AE35*GBDUS!K18/(Y35+Z35+AA35+AB35+AC35)</f>
        <v>0.60331089597557752</v>
      </c>
      <c r="AG35" s="214">
        <f t="shared" si="22"/>
        <v>0.60248805993112209</v>
      </c>
      <c r="AH35" s="214">
        <f t="shared" si="14"/>
        <v>0.60128216992211891</v>
      </c>
      <c r="AI35" s="214">
        <f t="shared" si="14"/>
        <v>0.59904449109239377</v>
      </c>
      <c r="AJ35" s="292">
        <f t="shared" si="14"/>
        <v>0.59222546144409327</v>
      </c>
      <c r="AK35" s="301">
        <f>AE35*GBDUS!L18/(Y35+Z35+AA35+AB35+AC35)</f>
        <v>28.158950447415418</v>
      </c>
      <c r="AL35" s="301">
        <f t="shared" si="23"/>
        <v>28.120545373751529</v>
      </c>
      <c r="AM35" s="301">
        <f t="shared" si="15"/>
        <v>28.064261628115471</v>
      </c>
      <c r="AN35" s="301">
        <f t="shared" si="15"/>
        <v>27.959820140809708</v>
      </c>
      <c r="AO35" s="303">
        <f t="shared" si="15"/>
        <v>27.641548551075775</v>
      </c>
      <c r="AP35" s="301">
        <f>AE35*GBDUS!M18/(Y35+Z35+AA35+AB35+AC35)</f>
        <v>2.0808706648248836</v>
      </c>
      <c r="AQ35" s="301">
        <f t="shared" si="24"/>
        <v>2.0780326332257708</v>
      </c>
      <c r="AR35" s="301">
        <f t="shared" si="16"/>
        <v>2.0738734158778351</v>
      </c>
      <c r="AS35" s="301">
        <f t="shared" si="16"/>
        <v>2.066155471008722</v>
      </c>
      <c r="AT35" s="303">
        <f t="shared" si="16"/>
        <v>2.0426360569680151</v>
      </c>
      <c r="AU35" s="262">
        <f t="shared" si="25"/>
        <v>-1.6489216346946556E-3</v>
      </c>
      <c r="AV35" s="261">
        <f t="shared" si="26"/>
        <v>-7.6961816722928234E-2</v>
      </c>
      <c r="AW35" s="262">
        <f t="shared" si="27"/>
        <v>-5.6872711584006197E-3</v>
      </c>
      <c r="AX35" s="262">
        <f t="shared" si="28"/>
        <v>-8.2649087881328853E-2</v>
      </c>
    </row>
    <row r="36" spans="2:50" x14ac:dyDescent="0.2">
      <c r="B36" s="212">
        <v>2</v>
      </c>
      <c r="C36" s="325" t="s">
        <v>13</v>
      </c>
      <c r="D36" s="215">
        <f>Scenario!AL43</f>
        <v>0.30322026939990843</v>
      </c>
      <c r="E36" s="215">
        <f>Scenario!AM43</f>
        <v>0.76156846487530472</v>
      </c>
      <c r="F36" s="215">
        <f>Scenario!AN43</f>
        <v>1.4411646634793909</v>
      </c>
      <c r="G36" s="215">
        <f>Scenario!AO43</f>
        <v>2.727207970200991</v>
      </c>
      <c r="H36" s="321">
        <f>Scenario!AP43</f>
        <v>6.8496594616583133</v>
      </c>
      <c r="I36" s="218">
        <f>IF(D36+'Non-travel METs'!D37&gt;2.5, D36+'Non-travel METs'!D37, 0.1)</f>
        <v>38.05655360273321</v>
      </c>
      <c r="J36" s="218">
        <f>IF(E36+'Non-travel METs'!E37&gt;2.5, E36+'Non-travel METs'!E37, 0.1)</f>
        <v>38.514901798208605</v>
      </c>
      <c r="K36" s="218">
        <f>IF(F36+'Non-travel METs'!F37&gt;2.5, F36+'Non-travel METs'!F37, 0.1)</f>
        <v>39.194497996812693</v>
      </c>
      <c r="L36" s="218">
        <f>IF(G36+'Non-travel METs'!G37&gt;2.5, G36+'Non-travel METs'!G37, 0.1)</f>
        <v>40.480541303534295</v>
      </c>
      <c r="M36" s="223">
        <f>IF(H36+'Non-travel METs'!H37&gt;2.5, H36+'Non-travel METs'!H37, 0.1)</f>
        <v>44.602992794991614</v>
      </c>
      <c r="N36" s="268">
        <f>'Phy activity RRs'!$F$5</f>
        <v>0.97319906938028322</v>
      </c>
      <c r="O36" s="214">
        <f t="shared" si="17"/>
        <v>0.84569974886892285</v>
      </c>
      <c r="P36" s="214">
        <f t="shared" si="11"/>
        <v>0.84484923299129111</v>
      </c>
      <c r="Q36" s="214">
        <f t="shared" si="11"/>
        <v>0.84359898356036533</v>
      </c>
      <c r="R36" s="214">
        <f t="shared" si="11"/>
        <v>0.84126732771631962</v>
      </c>
      <c r="S36" s="292">
        <f t="shared" si="11"/>
        <v>0.83407364015277607</v>
      </c>
      <c r="T36" s="296">
        <f t="shared" si="18"/>
        <v>0.99995173248036817</v>
      </c>
      <c r="U36" s="296">
        <f t="shared" si="12"/>
        <v>0.99988268625622334</v>
      </c>
      <c r="V36" s="296">
        <f t="shared" si="12"/>
        <v>0.99978406182193258</v>
      </c>
      <c r="W36" s="296">
        <f t="shared" si="12"/>
        <v>0.99960554233030463</v>
      </c>
      <c r="X36" s="328">
        <f t="shared" si="12"/>
        <v>0.99908213225118503</v>
      </c>
      <c r="Y36" s="296">
        <f t="shared" si="19"/>
        <v>1</v>
      </c>
      <c r="Z36" s="296">
        <f t="shared" si="13"/>
        <v>0.99899430515526433</v>
      </c>
      <c r="AA36" s="296">
        <f t="shared" si="13"/>
        <v>0.99751594426820256</v>
      </c>
      <c r="AB36" s="296">
        <f t="shared" si="13"/>
        <v>0.99475887138605479</v>
      </c>
      <c r="AC36" s="328">
        <f t="shared" si="13"/>
        <v>0.98625267569052011</v>
      </c>
      <c r="AD36" s="371">
        <f t="shared" si="20"/>
        <v>3.3876897199736078E-4</v>
      </c>
      <c r="AE36" s="334">
        <f t="shared" si="21"/>
        <v>0.99966123102800264</v>
      </c>
      <c r="AF36" s="214">
        <f>AE36*GBDUS!K19/(Y36+Z36+AA36+AB36+AC36)</f>
        <v>4.2175377044756006</v>
      </c>
      <c r="AG36" s="214">
        <f t="shared" si="22"/>
        <v>4.2132961485487312</v>
      </c>
      <c r="AH36" s="214">
        <f t="shared" si="14"/>
        <v>4.2070611057667264</v>
      </c>
      <c r="AI36" s="214">
        <f t="shared" si="14"/>
        <v>4.1954330469322807</v>
      </c>
      <c r="AJ36" s="292">
        <f t="shared" si="14"/>
        <v>4.1595578458647156</v>
      </c>
      <c r="AK36" s="301">
        <f>AE36*GBDUS!L19/(Y36+Z36+AA36+AB36+AC36)</f>
        <v>142.69638856062787</v>
      </c>
      <c r="AL36" s="301">
        <f t="shared" si="23"/>
        <v>142.55287953829006</v>
      </c>
      <c r="AM36" s="301">
        <f t="shared" si="15"/>
        <v>142.34192277871705</v>
      </c>
      <c r="AN36" s="301">
        <f t="shared" si="15"/>
        <v>141.94849843543611</v>
      </c>
      <c r="AO36" s="303">
        <f t="shared" si="15"/>
        <v>140.73469502929336</v>
      </c>
      <c r="AP36" s="301">
        <f>AE36*GBDUS!M19/(Y36+Z36+AA36+AB36+AC36)</f>
        <v>16.705934084983522</v>
      </c>
      <c r="AQ36" s="301">
        <f t="shared" si="24"/>
        <v>16.689133013197761</v>
      </c>
      <c r="AR36" s="301">
        <f t="shared" si="16"/>
        <v>16.664435613664686</v>
      </c>
      <c r="AS36" s="301">
        <f t="shared" si="16"/>
        <v>16.618376135828033</v>
      </c>
      <c r="AT36" s="303">
        <f t="shared" si="16"/>
        <v>16.47627219122446</v>
      </c>
      <c r="AU36" s="262">
        <f t="shared" si="25"/>
        <v>-7.1141484119507936E-3</v>
      </c>
      <c r="AV36" s="261">
        <f t="shared" si="26"/>
        <v>-0.24070046486883712</v>
      </c>
      <c r="AW36" s="262">
        <f t="shared" si="27"/>
        <v>-2.8179592636377038E-2</v>
      </c>
      <c r="AX36" s="262">
        <f t="shared" si="28"/>
        <v>-0.26888005750521415</v>
      </c>
    </row>
    <row r="37" spans="2:50" x14ac:dyDescent="0.2">
      <c r="B37" s="212">
        <v>2</v>
      </c>
      <c r="C37" s="325" t="s">
        <v>14</v>
      </c>
      <c r="D37" s="215">
        <f>Scenario!AL44</f>
        <v>0.20305771607435033</v>
      </c>
      <c r="E37" s="215">
        <f>Scenario!AM44</f>
        <v>0.51000005183649222</v>
      </c>
      <c r="F37" s="215">
        <f>Scenario!AN44</f>
        <v>0.96510568252028972</v>
      </c>
      <c r="G37" s="215">
        <f>Scenario!AO44</f>
        <v>1.8263311446320658</v>
      </c>
      <c r="H37" s="321">
        <f>Scenario!AP44</f>
        <v>4.5870159304456486</v>
      </c>
      <c r="I37" s="218">
        <f>IF(D37+'Non-travel METs'!D38&gt;2.5, D37+'Non-travel METs'!D38, 0.1)</f>
        <v>9.2030577160743512</v>
      </c>
      <c r="J37" s="218">
        <f>IF(E37+'Non-travel METs'!E38&gt;2.5, E37+'Non-travel METs'!E38, 0.1)</f>
        <v>9.5100000518364922</v>
      </c>
      <c r="K37" s="218">
        <f>IF(F37+'Non-travel METs'!F38&gt;2.5, F37+'Non-travel METs'!F38, 0.1)</f>
        <v>9.9651056825202904</v>
      </c>
      <c r="L37" s="218">
        <f>IF(G37+'Non-travel METs'!G38&gt;2.5, G37+'Non-travel METs'!G38, 0.1)</f>
        <v>10.826331144632066</v>
      </c>
      <c r="M37" s="223">
        <f>IF(H37+'Non-travel METs'!H38&gt;2.5, H37+'Non-travel METs'!H38, 0.1)</f>
        <v>13.587015930445649</v>
      </c>
      <c r="N37" s="268">
        <f>'Phy activity RRs'!$F$5</f>
        <v>0.97319906938028322</v>
      </c>
      <c r="O37" s="214">
        <f t="shared" si="17"/>
        <v>0.92089049883314766</v>
      </c>
      <c r="P37" s="214">
        <f t="shared" si="11"/>
        <v>0.91963611127221478</v>
      </c>
      <c r="Q37" s="214">
        <f t="shared" si="11"/>
        <v>0.91781595570512176</v>
      </c>
      <c r="R37" s="214">
        <f t="shared" si="11"/>
        <v>0.91449122629267154</v>
      </c>
      <c r="S37" s="292">
        <f t="shared" si="11"/>
        <v>0.904712808134851</v>
      </c>
      <c r="T37" s="296">
        <f t="shared" si="18"/>
        <v>0.99992052427458056</v>
      </c>
      <c r="U37" s="296">
        <f t="shared" si="12"/>
        <v>0.99980777820494737</v>
      </c>
      <c r="V37" s="296">
        <f t="shared" si="12"/>
        <v>0.99964982966680571</v>
      </c>
      <c r="W37" s="296">
        <f t="shared" si="12"/>
        <v>0.99937336600762083</v>
      </c>
      <c r="X37" s="328">
        <f t="shared" si="12"/>
        <v>0.99862325712670952</v>
      </c>
      <c r="Y37" s="296">
        <f t="shared" si="19"/>
        <v>1</v>
      </c>
      <c r="Z37" s="296">
        <f t="shared" si="13"/>
        <v>0.99863785372688463</v>
      </c>
      <c r="AA37" s="296">
        <f t="shared" si="13"/>
        <v>0.99666133689953185</v>
      </c>
      <c r="AB37" s="296">
        <f t="shared" si="13"/>
        <v>0.99305099515242623</v>
      </c>
      <c r="AC37" s="328">
        <f t="shared" si="13"/>
        <v>0.98243255770496574</v>
      </c>
      <c r="AD37" s="371">
        <f t="shared" si="20"/>
        <v>5.2504894386729006E-4</v>
      </c>
      <c r="AE37" s="334">
        <f t="shared" si="21"/>
        <v>0.99947495105613271</v>
      </c>
      <c r="AF37" s="214">
        <f>AE37*GBDUS!K20/(Y37+Z37+AA37+AB37+AC37)</f>
        <v>3.619258786273484</v>
      </c>
      <c r="AG37" s="214">
        <f t="shared" si="22"/>
        <v>3.6143288264063216</v>
      </c>
      <c r="AH37" s="214">
        <f t="shared" si="14"/>
        <v>3.6071753005127074</v>
      </c>
      <c r="AI37" s="214">
        <f t="shared" si="14"/>
        <v>3.5941085394230456</v>
      </c>
      <c r="AJ37" s="292">
        <f t="shared" si="14"/>
        <v>3.5556776663948289</v>
      </c>
      <c r="AK37" s="301">
        <f>AE37*GBDUS!L20/(Y37+Z37+AA37+AB37+AC37)</f>
        <v>84.507925811591875</v>
      </c>
      <c r="AL37" s="301">
        <f t="shared" si="23"/>
        <v>84.392813655398911</v>
      </c>
      <c r="AM37" s="301">
        <f t="shared" si="15"/>
        <v>84.225782317987608</v>
      </c>
      <c r="AN37" s="301">
        <f t="shared" si="15"/>
        <v>83.920679825468724</v>
      </c>
      <c r="AO37" s="303">
        <f t="shared" si="15"/>
        <v>83.023337701423699</v>
      </c>
      <c r="AP37" s="301">
        <f>AE37*GBDUS!M20/(Y37+Z37+AA37+AB37+AC37)</f>
        <v>15.085533621671582</v>
      </c>
      <c r="AQ37" s="301">
        <f t="shared" si="24"/>
        <v>15.064984918270865</v>
      </c>
      <c r="AR37" s="301">
        <f t="shared" si="16"/>
        <v>15.035168107218036</v>
      </c>
      <c r="AS37" s="301">
        <f t="shared" si="16"/>
        <v>14.980704175406348</v>
      </c>
      <c r="AT37" s="303">
        <f t="shared" si="16"/>
        <v>14.820519380283066</v>
      </c>
      <c r="AU37" s="262">
        <f t="shared" si="25"/>
        <v>-9.4508809896076684E-3</v>
      </c>
      <c r="AV37" s="261">
        <f t="shared" si="26"/>
        <v>-0.22067345738116728</v>
      </c>
      <c r="AW37" s="262">
        <f t="shared" si="27"/>
        <v>-3.9392480986435885E-2</v>
      </c>
      <c r="AX37" s="262">
        <f t="shared" si="28"/>
        <v>-0.26006593836760317</v>
      </c>
    </row>
    <row r="38" spans="2:50" x14ac:dyDescent="0.2">
      <c r="B38" s="212">
        <v>2</v>
      </c>
      <c r="C38" s="325" t="s">
        <v>15</v>
      </c>
      <c r="D38" s="215">
        <f>Scenario!AL45</f>
        <v>0.12940048412537145</v>
      </c>
      <c r="E38" s="215">
        <f>Scenario!AM45</f>
        <v>0.32500244210095713</v>
      </c>
      <c r="F38" s="215">
        <f>Scenario!AN45</f>
        <v>0.61502288592936483</v>
      </c>
      <c r="G38" s="215">
        <f>Scenario!AO45</f>
        <v>1.163847101491581</v>
      </c>
      <c r="H38" s="321">
        <f>Scenario!AP45</f>
        <v>2.9231200545618421</v>
      </c>
      <c r="I38" s="218">
        <f>IF(D38+'Non-travel METs'!D39&gt;2.5, D38+'Non-travel METs'!D39, 0.1)</f>
        <v>0.1</v>
      </c>
      <c r="J38" s="218">
        <f>IF(E38+'Non-travel METs'!E39&gt;2.5, E38+'Non-travel METs'!E39, 0.1)</f>
        <v>0.1</v>
      </c>
      <c r="K38" s="218">
        <f>IF(F38+'Non-travel METs'!F39&gt;2.5, F38+'Non-travel METs'!F39, 0.1)</f>
        <v>0.1</v>
      </c>
      <c r="L38" s="218">
        <f>IF(G38+'Non-travel METs'!G39&gt;2.5, G38+'Non-travel METs'!G39, 0.1)</f>
        <v>0.1</v>
      </c>
      <c r="M38" s="223">
        <f>IF(H38+'Non-travel METs'!H39&gt;2.5, H38+'Non-travel METs'!H39, 0.1)</f>
        <v>3.4231200545618421</v>
      </c>
      <c r="N38" s="268">
        <f>'Phy activity RRs'!$F$5</f>
        <v>0.97319906938028322</v>
      </c>
      <c r="O38" s="214">
        <f t="shared" si="17"/>
        <v>0.99144595491037002</v>
      </c>
      <c r="P38" s="214">
        <f t="shared" si="11"/>
        <v>0.99144595491037002</v>
      </c>
      <c r="Q38" s="214">
        <f t="shared" si="11"/>
        <v>0.99144595491037002</v>
      </c>
      <c r="R38" s="214">
        <f t="shared" si="11"/>
        <v>0.99144595491037002</v>
      </c>
      <c r="S38" s="292">
        <f t="shared" si="11"/>
        <v>0.95097946718492576</v>
      </c>
      <c r="T38" s="296">
        <f t="shared" si="18"/>
        <v>1</v>
      </c>
      <c r="U38" s="296">
        <f t="shared" si="12"/>
        <v>1</v>
      </c>
      <c r="V38" s="296">
        <f t="shared" si="12"/>
        <v>1</v>
      </c>
      <c r="W38" s="296">
        <f t="shared" si="12"/>
        <v>1</v>
      </c>
      <c r="X38" s="328">
        <f t="shared" si="12"/>
        <v>0.99806646349007144</v>
      </c>
      <c r="Y38" s="296">
        <f t="shared" si="19"/>
        <v>1</v>
      </c>
      <c r="Z38" s="296">
        <f t="shared" si="13"/>
        <v>1</v>
      </c>
      <c r="AA38" s="296">
        <f t="shared" si="13"/>
        <v>1</v>
      </c>
      <c r="AB38" s="296">
        <f t="shared" si="13"/>
        <v>1</v>
      </c>
      <c r="AC38" s="328">
        <f t="shared" si="13"/>
        <v>0.95918437356567499</v>
      </c>
      <c r="AD38" s="371">
        <f t="shared" si="20"/>
        <v>3.8670730198564485E-4</v>
      </c>
      <c r="AE38" s="334">
        <f t="shared" si="21"/>
        <v>0.99961329269801436</v>
      </c>
      <c r="AF38" s="214">
        <f>AE38*GBDUS!K21/(Y38+Z38+AA38+AB38+AC38)</f>
        <v>2.2172489247001255</v>
      </c>
      <c r="AG38" s="214">
        <f t="shared" si="22"/>
        <v>2.2172489247001255</v>
      </c>
      <c r="AH38" s="214">
        <f t="shared" si="14"/>
        <v>2.2172489247001255</v>
      </c>
      <c r="AI38" s="214">
        <f t="shared" si="14"/>
        <v>2.2172489247001255</v>
      </c>
      <c r="AJ38" s="292">
        <f t="shared" si="14"/>
        <v>2.1267505208776565</v>
      </c>
      <c r="AK38" s="301">
        <f>AE38*GBDUS!L21/(Y38+Z38+AA38+AB38+AC38)</f>
        <v>32.754332625053287</v>
      </c>
      <c r="AL38" s="301">
        <f t="shared" si="23"/>
        <v>32.754332625053287</v>
      </c>
      <c r="AM38" s="301">
        <f t="shared" si="15"/>
        <v>32.754332625053287</v>
      </c>
      <c r="AN38" s="301">
        <f t="shared" si="15"/>
        <v>32.754332625053287</v>
      </c>
      <c r="AO38" s="303">
        <f t="shared" si="15"/>
        <v>31.417444020523487</v>
      </c>
      <c r="AP38" s="301">
        <f>AE38*GBDUS!M21/(Y38+Z38+AA38+AB38+AC38)</f>
        <v>9.2219166294099555</v>
      </c>
      <c r="AQ38" s="301">
        <f t="shared" si="24"/>
        <v>9.2219166294099555</v>
      </c>
      <c r="AR38" s="301">
        <f t="shared" si="16"/>
        <v>9.2219166294099555</v>
      </c>
      <c r="AS38" s="301">
        <f t="shared" si="16"/>
        <v>9.2219166294099555</v>
      </c>
      <c r="AT38" s="303">
        <f t="shared" si="16"/>
        <v>8.845518325255469</v>
      </c>
      <c r="AU38" s="262">
        <f t="shared" si="25"/>
        <v>-4.2537803218429815E-3</v>
      </c>
      <c r="AV38" s="261">
        <f t="shared" si="26"/>
        <v>-6.283901370900935E-2</v>
      </c>
      <c r="AW38" s="262">
        <f t="shared" si="27"/>
        <v>-1.7692198224047218E-2</v>
      </c>
      <c r="AX38" s="262">
        <f t="shared" si="28"/>
        <v>-8.0531211933056568E-2</v>
      </c>
    </row>
    <row r="39" spans="2:50" x14ac:dyDescent="0.2">
      <c r="B39" s="319">
        <v>2</v>
      </c>
      <c r="C39" s="326" t="s">
        <v>16</v>
      </c>
      <c r="D39" s="320">
        <f>Scenario!AL46</f>
        <v>0.16226655238866916</v>
      </c>
      <c r="E39" s="320">
        <f>Scenario!AM46</f>
        <v>0.40754890643628044</v>
      </c>
      <c r="F39" s="320">
        <f>Scenario!AN46</f>
        <v>0.7712308343699662</v>
      </c>
      <c r="G39" s="320">
        <f>Scenario!AO46</f>
        <v>1.4594493826129056</v>
      </c>
      <c r="H39" s="322">
        <f>Scenario!AP46</f>
        <v>3.6655551691164661</v>
      </c>
      <c r="I39" s="228">
        <f>IF(D39+'Non-travel METs'!D40&gt;2.5, D39+'Non-travel METs'!D40, 0.1)</f>
        <v>0.1</v>
      </c>
      <c r="J39" s="228">
        <f>IF(E39+'Non-travel METs'!E40&gt;2.5, E39+'Non-travel METs'!E40, 0.1)</f>
        <v>0.1</v>
      </c>
      <c r="K39" s="228">
        <f>IF(F39+'Non-travel METs'!F40&gt;2.5, F39+'Non-travel METs'!F40, 0.1)</f>
        <v>0.1</v>
      </c>
      <c r="L39" s="228">
        <f>IF(G39+'Non-travel METs'!G40&gt;2.5, G39+'Non-travel METs'!G40, 0.1)</f>
        <v>0.1</v>
      </c>
      <c r="M39" s="229">
        <f>IF(H39+'Non-travel METs'!H40&gt;2.5, H39+'Non-travel METs'!H40, 0.1)</f>
        <v>3.7488885024497995</v>
      </c>
      <c r="N39" s="269">
        <f>'Phy activity RRs'!$F$5</f>
        <v>0.97319906938028322</v>
      </c>
      <c r="O39" s="293">
        <f t="shared" si="17"/>
        <v>0.99144595491037002</v>
      </c>
      <c r="P39" s="294">
        <f t="shared" si="11"/>
        <v>0.99144595491037002</v>
      </c>
      <c r="Q39" s="294">
        <f t="shared" si="11"/>
        <v>0.99144595491037002</v>
      </c>
      <c r="R39" s="294">
        <f t="shared" si="11"/>
        <v>0.99144595491037002</v>
      </c>
      <c r="S39" s="295">
        <f t="shared" si="11"/>
        <v>0.94875930305848077</v>
      </c>
      <c r="T39" s="329">
        <f t="shared" si="18"/>
        <v>1</v>
      </c>
      <c r="U39" s="330">
        <f t="shared" si="12"/>
        <v>1</v>
      </c>
      <c r="V39" s="330">
        <f t="shared" si="12"/>
        <v>1</v>
      </c>
      <c r="W39" s="330">
        <f t="shared" si="12"/>
        <v>1</v>
      </c>
      <c r="X39" s="331">
        <f t="shared" si="12"/>
        <v>0.99767679650543695</v>
      </c>
      <c r="Y39" s="329">
        <f t="shared" si="19"/>
        <v>1</v>
      </c>
      <c r="Z39" s="330">
        <f t="shared" si="13"/>
        <v>1</v>
      </c>
      <c r="AA39" s="330">
        <f t="shared" si="13"/>
        <v>1</v>
      </c>
      <c r="AB39" s="330">
        <f t="shared" si="13"/>
        <v>1</v>
      </c>
      <c r="AC39" s="331">
        <f t="shared" si="13"/>
        <v>0.95694505420040943</v>
      </c>
      <c r="AD39" s="371">
        <f t="shared" si="20"/>
        <v>4.6464069891261062E-4</v>
      </c>
      <c r="AE39" s="335">
        <f t="shared" si="21"/>
        <v>0.99953535930108739</v>
      </c>
      <c r="AF39" s="293">
        <f>AE39*GBDUS!K22/(Y39+Z39+AA39+AB39+AC39)</f>
        <v>5.2427289505270318</v>
      </c>
      <c r="AG39" s="294">
        <f t="shared" si="22"/>
        <v>5.2427289505270318</v>
      </c>
      <c r="AH39" s="294">
        <f t="shared" si="14"/>
        <v>5.2427289505270318</v>
      </c>
      <c r="AI39" s="294">
        <f t="shared" si="14"/>
        <v>5.2427289505270318</v>
      </c>
      <c r="AJ39" s="295">
        <f t="shared" si="14"/>
        <v>5.0170035397201458</v>
      </c>
      <c r="AK39" s="304">
        <f>AE39*GBDUS!L22/(Y39+Z39+AA39+AB39+AC39)</f>
        <v>28.707014707667916</v>
      </c>
      <c r="AL39" s="305">
        <f t="shared" si="23"/>
        <v>28.707014707667916</v>
      </c>
      <c r="AM39" s="305">
        <f t="shared" si="15"/>
        <v>28.707014707667916</v>
      </c>
      <c r="AN39" s="305">
        <f t="shared" si="15"/>
        <v>28.707014707667916</v>
      </c>
      <c r="AO39" s="306">
        <f t="shared" si="15"/>
        <v>27.471035745361224</v>
      </c>
      <c r="AP39" s="305">
        <f>AE39*GBDUS!M22/(Y39+Z39+AA39+AB39+AC39)</f>
        <v>16.370086251964139</v>
      </c>
      <c r="AQ39" s="305">
        <f t="shared" si="24"/>
        <v>16.370086251964139</v>
      </c>
      <c r="AR39" s="305">
        <f t="shared" si="16"/>
        <v>16.370086251964139</v>
      </c>
      <c r="AS39" s="305">
        <f t="shared" si="16"/>
        <v>16.370086251964139</v>
      </c>
      <c r="AT39" s="306">
        <f t="shared" si="16"/>
        <v>15.6652730756512</v>
      </c>
      <c r="AU39" s="287">
        <f t="shared" si="25"/>
        <v>-1.20806581717261E-2</v>
      </c>
      <c r="AV39" s="265">
        <f t="shared" si="26"/>
        <v>-6.6148686130162559E-2</v>
      </c>
      <c r="AW39" s="264">
        <f t="shared" si="27"/>
        <v>-3.7721083450591664E-2</v>
      </c>
      <c r="AX39" s="264">
        <f t="shared" si="28"/>
        <v>-0.10386976958075422</v>
      </c>
    </row>
    <row r="40" spans="2:50" x14ac:dyDescent="0.2">
      <c r="AD40" s="288"/>
      <c r="AT40" s="337" t="s">
        <v>74</v>
      </c>
      <c r="AU40" s="262">
        <f>SUM(AU24:AU39)</f>
        <v>-3.4548389529822199E-2</v>
      </c>
      <c r="AV40" s="261">
        <f>SUM(AV24:AV39)</f>
        <v>-0.6801424401549454</v>
      </c>
      <c r="AW40" s="262">
        <f>SUM(AW24:AW39)</f>
        <v>-0.12935214726147182</v>
      </c>
      <c r="AX40" s="262">
        <f>SUM(AX24:AX39)</f>
        <v>-0.80949458741641722</v>
      </c>
    </row>
    <row r="41" spans="2:50" x14ac:dyDescent="0.2">
      <c r="AD41" s="370"/>
      <c r="AT41" s="337" t="s">
        <v>83</v>
      </c>
      <c r="AU41" s="368">
        <f>AU40/GBDUS!K23</f>
        <v>-4.3732138645344553E-4</v>
      </c>
      <c r="AV41" s="368">
        <f>AV40/GBDUS!L23</f>
        <v>-4.1095152396449788E-4</v>
      </c>
      <c r="AW41" s="368">
        <f>AW40/GBDUS!M23</f>
        <v>-4.3209648056653798E-4</v>
      </c>
      <c r="AX41" s="368">
        <f>AX40/GBDUS!N23</f>
        <v>-4.1419033584592989E-4</v>
      </c>
    </row>
    <row r="42" spans="2:50" x14ac:dyDescent="0.2">
      <c r="O42" s="214"/>
      <c r="P42" s="214"/>
      <c r="Q42" s="214"/>
      <c r="R42" s="214"/>
      <c r="S42" s="214"/>
      <c r="U42" s="373"/>
      <c r="AD42" s="370"/>
    </row>
    <row r="43" spans="2:50" x14ac:dyDescent="0.2">
      <c r="AD43" s="370"/>
    </row>
    <row r="44" spans="2:50" x14ac:dyDescent="0.2">
      <c r="O44" s="214"/>
      <c r="P44" s="214"/>
      <c r="Q44" s="214"/>
      <c r="R44" s="214"/>
      <c r="S44" s="214"/>
      <c r="U44" s="214"/>
      <c r="V44" s="372"/>
      <c r="W44" s="372"/>
      <c r="X44" s="372"/>
      <c r="Y44" s="372"/>
      <c r="AD44" s="370"/>
    </row>
    <row r="45" spans="2:50" x14ac:dyDescent="0.2">
      <c r="U45" s="373"/>
      <c r="AD45" s="370"/>
    </row>
    <row r="46" spans="2:50" x14ac:dyDescent="0.2">
      <c r="AD46" s="370"/>
    </row>
    <row r="47" spans="2:50" x14ac:dyDescent="0.2">
      <c r="AD47" s="370"/>
    </row>
    <row r="48" spans="2:50" x14ac:dyDescent="0.2">
      <c r="AD48" s="370"/>
    </row>
  </sheetData>
  <mergeCells count="12">
    <mergeCell ref="AU4:AX4"/>
    <mergeCell ref="T3:X4"/>
    <mergeCell ref="Y3:AC4"/>
    <mergeCell ref="D4:H4"/>
    <mergeCell ref="I4:M4"/>
    <mergeCell ref="N4:N5"/>
    <mergeCell ref="O4:S4"/>
    <mergeCell ref="AD4:AD5"/>
    <mergeCell ref="AE4:AE5"/>
    <mergeCell ref="AF4:AJ4"/>
    <mergeCell ref="AK4:AO4"/>
    <mergeCell ref="AP4:AT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Instructions</vt:lpstr>
      <vt:lpstr>Inputs</vt:lpstr>
      <vt:lpstr>Health results</vt:lpstr>
      <vt:lpstr>Active transport</vt:lpstr>
      <vt:lpstr>Baseline</vt:lpstr>
      <vt:lpstr>Scenario</vt:lpstr>
      <vt:lpstr>Phy activity RRs</vt:lpstr>
      <vt:lpstr>Non-travel METs</vt:lpstr>
      <vt:lpstr>Breast cancer</vt:lpstr>
      <vt:lpstr>CVD</vt:lpstr>
      <vt:lpstr>Colon cancer</vt:lpstr>
      <vt:lpstr>Diabetes</vt:lpstr>
      <vt:lpstr>Dementia</vt:lpstr>
      <vt:lpstr>Depression</vt:lpstr>
      <vt:lpstr>CHTS 2013</vt:lpstr>
      <vt:lpstr>Census 2010 SF1</vt:lpstr>
      <vt:lpstr>CA DOF 2035</vt:lpstr>
      <vt:lpstr>GBDUS</vt:lpstr>
      <vt:lpstr>Old inputs</vt:lpstr>
      <vt:lpstr>CHIS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2013-09-26T22:15:37Z</dcterms:created>
  <dcterms:modified xsi:type="dcterms:W3CDTF">2013-12-30T16:00:44Z</dcterms:modified>
</cp:coreProperties>
</file>