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EE7A771-5D1F-49BD-A65E-3C1F78B661B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historicalFS" sheetId="4" r:id="rId1"/>
    <sheet name="Ratio analysis" sheetId="8" r:id="rId2"/>
    <sheet name="Forecasting" sheetId="11" r:id="rId3"/>
    <sheet name="Sheet2" sheetId="10" r:id="rId4"/>
    <sheet name="datasheet" sheetId="3" r:id="rId5"/>
    <sheet name="cash flow 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G4" i="11"/>
  <c r="L4" i="11"/>
  <c r="L2" i="11"/>
  <c r="G2" i="11"/>
  <c r="D4" i="11" a="1"/>
  <c r="D5" i="11" s="1"/>
  <c r="D12" i="11" l="1"/>
  <c r="D10" i="11"/>
  <c r="D8" i="11"/>
  <c r="D6" i="11"/>
  <c r="E6" i="11" s="1"/>
  <c r="D4" i="11"/>
  <c r="E5" i="11" s="1"/>
  <c r="D13" i="11"/>
  <c r="D11" i="11"/>
  <c r="E11" i="11" s="1"/>
  <c r="D9" i="11"/>
  <c r="D7" i="11"/>
  <c r="E7" i="11" s="1"/>
  <c r="C4" i="11"/>
  <c r="H4" i="11" s="1"/>
  <c r="M4" i="11" s="1"/>
  <c r="B5" i="11"/>
  <c r="G5" i="11" s="1"/>
  <c r="L5" i="11" s="1"/>
  <c r="B6" i="11" l="1"/>
  <c r="B7" i="11"/>
  <c r="G6" i="11"/>
  <c r="L6" i="11" s="1"/>
  <c r="E8" i="11"/>
  <c r="E12" i="11"/>
  <c r="C5" i="11"/>
  <c r="E9" i="11"/>
  <c r="E13" i="11"/>
  <c r="E10" i="11"/>
  <c r="C14" i="10"/>
  <c r="C15" i="10" s="1"/>
  <c r="C16" i="10" s="1"/>
  <c r="C17" i="10" s="1"/>
  <c r="E5" i="10"/>
  <c r="E6" i="10"/>
  <c r="E7" i="10"/>
  <c r="E8" i="10"/>
  <c r="E9" i="10"/>
  <c r="E10" i="10"/>
  <c r="E11" i="10"/>
  <c r="E12" i="10"/>
  <c r="E13" i="10"/>
  <c r="C5" i="10"/>
  <c r="C6" i="10" s="1"/>
  <c r="C7" i="10" s="1"/>
  <c r="C8" i="10" s="1"/>
  <c r="C9" i="10" s="1"/>
  <c r="C10" i="10" s="1"/>
  <c r="C11" i="10" s="1"/>
  <c r="C12" i="10" s="1"/>
  <c r="C13" i="10" s="1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8" i="11" l="1"/>
  <c r="G7" i="11"/>
  <c r="L7" i="11" s="1"/>
  <c r="H5" i="11"/>
  <c r="M5" i="11" s="1"/>
  <c r="C6" i="11"/>
  <c r="B9" i="11" l="1"/>
  <c r="G8" i="11"/>
  <c r="L8" i="11" s="1"/>
  <c r="C7" i="11"/>
  <c r="H6" i="11"/>
  <c r="M6" i="11" s="1"/>
  <c r="B10" i="11" l="1"/>
  <c r="G9" i="11"/>
  <c r="L9" i="11" s="1"/>
  <c r="C8" i="11"/>
  <c r="H7" i="11"/>
  <c r="M7" i="11" s="1"/>
  <c r="B11" i="11" l="1"/>
  <c r="G10" i="11"/>
  <c r="L10" i="11" s="1"/>
  <c r="C9" i="11"/>
  <c r="H8" i="11"/>
  <c r="M8" i="11" s="1"/>
  <c r="B12" i="11" l="1"/>
  <c r="G11" i="11"/>
  <c r="L11" i="11" s="1"/>
  <c r="C10" i="11"/>
  <c r="H9" i="11"/>
  <c r="M9" i="11" s="1"/>
  <c r="B13" i="11" l="1"/>
  <c r="G12" i="11"/>
  <c r="L12" i="11" s="1"/>
  <c r="C11" i="11"/>
  <c r="H10" i="11"/>
  <c r="M10" i="11" s="1"/>
  <c r="C5" i="8"/>
  <c r="D18" i="4"/>
  <c r="E18" i="4"/>
  <c r="F18" i="4"/>
  <c r="G18" i="4"/>
  <c r="H18" i="4"/>
  <c r="I18" i="4"/>
  <c r="J18" i="4"/>
  <c r="K18" i="4"/>
  <c r="L18" i="4"/>
  <c r="M18" i="4"/>
  <c r="C18" i="4"/>
  <c r="B14" i="11" l="1"/>
  <c r="G13" i="11"/>
  <c r="L13" i="11" s="1"/>
  <c r="C12" i="11"/>
  <c r="H11" i="11"/>
  <c r="M11" i="11" s="1"/>
  <c r="B2" i="8"/>
  <c r="L3" i="8"/>
  <c r="K3" i="8"/>
  <c r="J3" i="8"/>
  <c r="I3" i="8"/>
  <c r="H3" i="8"/>
  <c r="G3" i="8"/>
  <c r="F3" i="8"/>
  <c r="E3" i="8"/>
  <c r="D3" i="8"/>
  <c r="C3" i="8"/>
  <c r="D14" i="11" l="1"/>
  <c r="E14" i="11" s="1"/>
  <c r="G14" i="11"/>
  <c r="B15" i="11"/>
  <c r="C13" i="11"/>
  <c r="H12" i="11"/>
  <c r="M12" i="11" s="1"/>
  <c r="D79" i="4"/>
  <c r="E79" i="4"/>
  <c r="F79" i="4"/>
  <c r="G79" i="4"/>
  <c r="H79" i="4"/>
  <c r="I79" i="4"/>
  <c r="J79" i="4"/>
  <c r="K79" i="4"/>
  <c r="L79" i="4"/>
  <c r="D80" i="4"/>
  <c r="E80" i="4"/>
  <c r="F80" i="4"/>
  <c r="G80" i="4"/>
  <c r="H80" i="4"/>
  <c r="I80" i="4"/>
  <c r="J80" i="4"/>
  <c r="K80" i="4"/>
  <c r="L80" i="4"/>
  <c r="C80" i="4"/>
  <c r="C93" i="4"/>
  <c r="D93" i="4"/>
  <c r="E93" i="4"/>
  <c r="F93" i="4"/>
  <c r="G93" i="4"/>
  <c r="H93" i="4"/>
  <c r="I93" i="4"/>
  <c r="J93" i="4"/>
  <c r="K93" i="4"/>
  <c r="L93" i="4"/>
  <c r="D94" i="4"/>
  <c r="E94" i="4"/>
  <c r="F94" i="4"/>
  <c r="G94" i="4"/>
  <c r="H94" i="4"/>
  <c r="I94" i="4"/>
  <c r="J94" i="4"/>
  <c r="K94" i="4"/>
  <c r="L94" i="4"/>
  <c r="D95" i="4"/>
  <c r="E95" i="4"/>
  <c r="F95" i="4"/>
  <c r="G95" i="4"/>
  <c r="H95" i="4"/>
  <c r="I95" i="4"/>
  <c r="J95" i="4"/>
  <c r="K95" i="4"/>
  <c r="L95" i="4"/>
  <c r="D96" i="4"/>
  <c r="E96" i="4"/>
  <c r="F96" i="4"/>
  <c r="G96" i="4"/>
  <c r="H96" i="4"/>
  <c r="I96" i="4"/>
  <c r="J96" i="4"/>
  <c r="K96" i="4"/>
  <c r="L96" i="4"/>
  <c r="D97" i="4"/>
  <c r="E97" i="4"/>
  <c r="F97" i="4"/>
  <c r="G97" i="4"/>
  <c r="H97" i="4"/>
  <c r="I97" i="4"/>
  <c r="J97" i="4"/>
  <c r="K97" i="4"/>
  <c r="L97" i="4"/>
  <c r="D98" i="4"/>
  <c r="E98" i="4"/>
  <c r="F98" i="4"/>
  <c r="G98" i="4"/>
  <c r="H98" i="4"/>
  <c r="I98" i="4"/>
  <c r="J98" i="4"/>
  <c r="K98" i="4"/>
  <c r="L98" i="4"/>
  <c r="C94" i="4"/>
  <c r="C95" i="4"/>
  <c r="C96" i="4"/>
  <c r="C97" i="4"/>
  <c r="C98" i="4"/>
  <c r="C85" i="4"/>
  <c r="D85" i="4"/>
  <c r="E85" i="4"/>
  <c r="F85" i="4"/>
  <c r="G85" i="4"/>
  <c r="H85" i="4"/>
  <c r="I85" i="4"/>
  <c r="J85" i="4"/>
  <c r="K85" i="4"/>
  <c r="L85" i="4"/>
  <c r="C86" i="4"/>
  <c r="D86" i="4"/>
  <c r="E86" i="4"/>
  <c r="F86" i="4"/>
  <c r="G86" i="4"/>
  <c r="H86" i="4"/>
  <c r="I86" i="4"/>
  <c r="J86" i="4"/>
  <c r="K86" i="4"/>
  <c r="L86" i="4"/>
  <c r="C87" i="4"/>
  <c r="D87" i="4"/>
  <c r="E87" i="4"/>
  <c r="F87" i="4"/>
  <c r="G87" i="4"/>
  <c r="H87" i="4"/>
  <c r="I87" i="4"/>
  <c r="J87" i="4"/>
  <c r="K87" i="4"/>
  <c r="L87" i="4"/>
  <c r="C88" i="4"/>
  <c r="D88" i="4"/>
  <c r="E88" i="4"/>
  <c r="F88" i="4"/>
  <c r="G88" i="4"/>
  <c r="H88" i="4"/>
  <c r="I88" i="4"/>
  <c r="J88" i="4"/>
  <c r="K88" i="4"/>
  <c r="L88" i="4"/>
  <c r="C89" i="4"/>
  <c r="D89" i="4"/>
  <c r="E89" i="4"/>
  <c r="F89" i="4"/>
  <c r="G89" i="4"/>
  <c r="H89" i="4"/>
  <c r="I89" i="4"/>
  <c r="J89" i="4"/>
  <c r="K89" i="4"/>
  <c r="L89" i="4"/>
  <c r="D84" i="4"/>
  <c r="E84" i="4"/>
  <c r="F84" i="4"/>
  <c r="G84" i="4"/>
  <c r="H84" i="4"/>
  <c r="I84" i="4"/>
  <c r="J84" i="4"/>
  <c r="K84" i="4"/>
  <c r="L84" i="4"/>
  <c r="C84" i="4"/>
  <c r="D72" i="4"/>
  <c r="E72" i="4"/>
  <c r="F72" i="4"/>
  <c r="G72" i="4"/>
  <c r="H72" i="4"/>
  <c r="I72" i="4"/>
  <c r="J72" i="4"/>
  <c r="K72" i="4"/>
  <c r="L72" i="4"/>
  <c r="D73" i="4"/>
  <c r="E73" i="4"/>
  <c r="F73" i="4"/>
  <c r="G73" i="4"/>
  <c r="H73" i="4"/>
  <c r="I73" i="4"/>
  <c r="J73" i="4"/>
  <c r="K73" i="4"/>
  <c r="L73" i="4"/>
  <c r="D74" i="4"/>
  <c r="E74" i="4"/>
  <c r="F74" i="4"/>
  <c r="G74" i="4"/>
  <c r="H74" i="4"/>
  <c r="I74" i="4"/>
  <c r="J74" i="4"/>
  <c r="K74" i="4"/>
  <c r="L74" i="4"/>
  <c r="D75" i="4"/>
  <c r="E75" i="4"/>
  <c r="F75" i="4"/>
  <c r="G75" i="4"/>
  <c r="H75" i="4"/>
  <c r="I75" i="4"/>
  <c r="J75" i="4"/>
  <c r="K75" i="4"/>
  <c r="L75" i="4"/>
  <c r="D76" i="4"/>
  <c r="E76" i="4"/>
  <c r="F76" i="4"/>
  <c r="G76" i="4"/>
  <c r="H76" i="4"/>
  <c r="I76" i="4"/>
  <c r="J76" i="4"/>
  <c r="K76" i="4"/>
  <c r="L76" i="4"/>
  <c r="D77" i="4"/>
  <c r="E77" i="4"/>
  <c r="F77" i="4"/>
  <c r="G77" i="4"/>
  <c r="H77" i="4"/>
  <c r="I77" i="4"/>
  <c r="J77" i="4"/>
  <c r="K77" i="4"/>
  <c r="L77" i="4"/>
  <c r="D78" i="4"/>
  <c r="E78" i="4"/>
  <c r="F78" i="4"/>
  <c r="G78" i="4"/>
  <c r="H78" i="4"/>
  <c r="I78" i="4"/>
  <c r="J78" i="4"/>
  <c r="K78" i="4"/>
  <c r="L78" i="4"/>
  <c r="C73" i="4"/>
  <c r="C74" i="4"/>
  <c r="C75" i="4"/>
  <c r="C76" i="4"/>
  <c r="C77" i="4"/>
  <c r="C78" i="4"/>
  <c r="C79" i="4"/>
  <c r="C72" i="4"/>
  <c r="L14" i="11" l="1"/>
  <c r="G15" i="11"/>
  <c r="B16" i="11"/>
  <c r="D15" i="11"/>
  <c r="E15" i="11" s="1"/>
  <c r="C14" i="11"/>
  <c r="H13" i="11"/>
  <c r="M13" i="11" s="1"/>
  <c r="G81" i="4"/>
  <c r="C81" i="4"/>
  <c r="H81" i="4"/>
  <c r="J81" i="4"/>
  <c r="K81" i="4"/>
  <c r="D81" i="4"/>
  <c r="I81" i="4"/>
  <c r="F81" i="4"/>
  <c r="E81" i="4"/>
  <c r="L81" i="4"/>
  <c r="C90" i="4"/>
  <c r="K90" i="4"/>
  <c r="I90" i="4"/>
  <c r="G90" i="4"/>
  <c r="E90" i="4"/>
  <c r="C99" i="4"/>
  <c r="K99" i="4"/>
  <c r="I99" i="4"/>
  <c r="I101" i="4" s="1"/>
  <c r="G99" i="4"/>
  <c r="E99" i="4"/>
  <c r="L99" i="4"/>
  <c r="J99" i="4"/>
  <c r="H99" i="4"/>
  <c r="F99" i="4"/>
  <c r="D99" i="4"/>
  <c r="L90" i="4"/>
  <c r="J90" i="4"/>
  <c r="H90" i="4"/>
  <c r="F90" i="4"/>
  <c r="D90" i="4"/>
  <c r="D58" i="4"/>
  <c r="E58" i="4"/>
  <c r="F58" i="4"/>
  <c r="G58" i="4"/>
  <c r="H58" i="4"/>
  <c r="I58" i="4"/>
  <c r="J58" i="4"/>
  <c r="K58" i="4"/>
  <c r="L58" i="4"/>
  <c r="C58" i="4"/>
  <c r="C56" i="4"/>
  <c r="C62" i="4"/>
  <c r="D62" i="4"/>
  <c r="E62" i="4"/>
  <c r="F62" i="4"/>
  <c r="G62" i="4"/>
  <c r="H62" i="4"/>
  <c r="I62" i="4"/>
  <c r="J62" i="4"/>
  <c r="K62" i="4"/>
  <c r="L62" i="4"/>
  <c r="C63" i="4"/>
  <c r="D63" i="4"/>
  <c r="E63" i="4"/>
  <c r="F63" i="4"/>
  <c r="G63" i="4"/>
  <c r="H63" i="4"/>
  <c r="I63" i="4"/>
  <c r="J63" i="4"/>
  <c r="K63" i="4"/>
  <c r="L63" i="4"/>
  <c r="D61" i="4"/>
  <c r="E61" i="4"/>
  <c r="F61" i="4"/>
  <c r="G61" i="4"/>
  <c r="H61" i="4"/>
  <c r="I61" i="4"/>
  <c r="J61" i="4"/>
  <c r="K61" i="4"/>
  <c r="L61" i="4"/>
  <c r="C61" i="4"/>
  <c r="D56" i="4"/>
  <c r="E56" i="4"/>
  <c r="F56" i="4"/>
  <c r="G56" i="4"/>
  <c r="H56" i="4"/>
  <c r="I56" i="4"/>
  <c r="J56" i="4"/>
  <c r="K56" i="4"/>
  <c r="L56" i="4"/>
  <c r="C57" i="4"/>
  <c r="D57" i="4"/>
  <c r="E57" i="4"/>
  <c r="F57" i="4"/>
  <c r="G57" i="4"/>
  <c r="H57" i="4"/>
  <c r="I57" i="4"/>
  <c r="J57" i="4"/>
  <c r="K57" i="4"/>
  <c r="L57" i="4"/>
  <c r="D55" i="4"/>
  <c r="E55" i="4"/>
  <c r="F55" i="4"/>
  <c r="G55" i="4"/>
  <c r="H55" i="4"/>
  <c r="I55" i="4"/>
  <c r="J55" i="4"/>
  <c r="K55" i="4"/>
  <c r="L55" i="4"/>
  <c r="C55" i="4"/>
  <c r="C50" i="4"/>
  <c r="D50" i="4"/>
  <c r="E50" i="4"/>
  <c r="F50" i="4"/>
  <c r="G50" i="4"/>
  <c r="H50" i="4"/>
  <c r="I50" i="4"/>
  <c r="J50" i="4"/>
  <c r="K50" i="4"/>
  <c r="L50" i="4"/>
  <c r="C51" i="4"/>
  <c r="D51" i="4"/>
  <c r="E51" i="4"/>
  <c r="F51" i="4"/>
  <c r="G51" i="4"/>
  <c r="H51" i="4"/>
  <c r="I51" i="4"/>
  <c r="J51" i="4"/>
  <c r="K51" i="4"/>
  <c r="L51" i="4"/>
  <c r="C52" i="4"/>
  <c r="D52" i="4"/>
  <c r="E52" i="4"/>
  <c r="F52" i="4"/>
  <c r="G52" i="4"/>
  <c r="H52" i="4"/>
  <c r="I52" i="4"/>
  <c r="J52" i="4"/>
  <c r="K52" i="4"/>
  <c r="L52" i="4"/>
  <c r="C53" i="4"/>
  <c r="D53" i="4"/>
  <c r="E53" i="4"/>
  <c r="F53" i="4"/>
  <c r="G53" i="4"/>
  <c r="H53" i="4"/>
  <c r="I53" i="4"/>
  <c r="J53" i="4"/>
  <c r="K53" i="4"/>
  <c r="L53" i="4"/>
  <c r="D49" i="4"/>
  <c r="E49" i="4"/>
  <c r="F49" i="4"/>
  <c r="G49" i="4"/>
  <c r="H49" i="4"/>
  <c r="I49" i="4"/>
  <c r="J49" i="4"/>
  <c r="K49" i="4"/>
  <c r="L49" i="4"/>
  <c r="C49" i="4"/>
  <c r="D38" i="4"/>
  <c r="D43" i="4" s="1"/>
  <c r="D9" i="8" s="1"/>
  <c r="E38" i="4"/>
  <c r="E43" i="4" s="1"/>
  <c r="E9" i="8" s="1"/>
  <c r="F38" i="4"/>
  <c r="F43" i="4" s="1"/>
  <c r="G38" i="4"/>
  <c r="G43" i="4" s="1"/>
  <c r="G9" i="8" s="1"/>
  <c r="H38" i="4"/>
  <c r="H43" i="4" s="1"/>
  <c r="H9" i="8" s="1"/>
  <c r="I38" i="4"/>
  <c r="I43" i="4" s="1"/>
  <c r="I9" i="8" s="1"/>
  <c r="J38" i="4"/>
  <c r="J43" i="4" s="1"/>
  <c r="J9" i="8" s="1"/>
  <c r="K38" i="4"/>
  <c r="K43" i="4" s="1"/>
  <c r="L38" i="4"/>
  <c r="L43" i="4" s="1"/>
  <c r="L9" i="8" s="1"/>
  <c r="M38" i="4"/>
  <c r="M43" i="4" s="1"/>
  <c r="C38" i="4"/>
  <c r="C43" i="4" s="1"/>
  <c r="M32" i="4"/>
  <c r="D32" i="4"/>
  <c r="E32" i="4"/>
  <c r="F32" i="4"/>
  <c r="G32" i="4"/>
  <c r="H32" i="4"/>
  <c r="I32" i="4"/>
  <c r="J32" i="4"/>
  <c r="K32" i="4"/>
  <c r="L32" i="4"/>
  <c r="C32" i="4"/>
  <c r="M26" i="4"/>
  <c r="D26" i="4"/>
  <c r="E26" i="4"/>
  <c r="F26" i="4"/>
  <c r="G26" i="4"/>
  <c r="H26" i="4"/>
  <c r="I26" i="4"/>
  <c r="J26" i="4"/>
  <c r="K26" i="4"/>
  <c r="L26" i="4"/>
  <c r="C26" i="4"/>
  <c r="M23" i="4"/>
  <c r="D23" i="4"/>
  <c r="E23" i="4"/>
  <c r="F23" i="4"/>
  <c r="G23" i="4"/>
  <c r="H23" i="4"/>
  <c r="I23" i="4"/>
  <c r="J23" i="4"/>
  <c r="K23" i="4"/>
  <c r="L23" i="4"/>
  <c r="C23" i="4"/>
  <c r="C51" i="3"/>
  <c r="D51" i="3"/>
  <c r="E51" i="3"/>
  <c r="F51" i="3"/>
  <c r="G51" i="3"/>
  <c r="H51" i="3"/>
  <c r="I51" i="3"/>
  <c r="J51" i="3"/>
  <c r="K51" i="3"/>
  <c r="B51" i="3"/>
  <c r="D41" i="8" l="1"/>
  <c r="K41" i="8"/>
  <c r="J41" i="8"/>
  <c r="H41" i="8"/>
  <c r="C41" i="8"/>
  <c r="G41" i="8"/>
  <c r="K9" i="8"/>
  <c r="E41" i="8"/>
  <c r="F41" i="8"/>
  <c r="I41" i="8"/>
  <c r="F9" i="8"/>
  <c r="N9" i="8" s="1"/>
  <c r="L41" i="8"/>
  <c r="G16" i="11"/>
  <c r="B17" i="11"/>
  <c r="D16" i="11"/>
  <c r="E16" i="11" s="1"/>
  <c r="L15" i="11"/>
  <c r="H14" i="11"/>
  <c r="M14" i="11" s="1"/>
  <c r="C15" i="11"/>
  <c r="C101" i="4"/>
  <c r="E101" i="4"/>
  <c r="G101" i="4"/>
  <c r="K101" i="4"/>
  <c r="F101" i="4"/>
  <c r="J101" i="4"/>
  <c r="L59" i="4"/>
  <c r="J59" i="4"/>
  <c r="H59" i="4"/>
  <c r="F59" i="4"/>
  <c r="D59" i="4"/>
  <c r="C59" i="4"/>
  <c r="C64" i="4"/>
  <c r="K64" i="4"/>
  <c r="I64" i="4"/>
  <c r="G64" i="4"/>
  <c r="E64" i="4"/>
  <c r="L64" i="4"/>
  <c r="J64" i="4"/>
  <c r="H64" i="4"/>
  <c r="F64" i="4"/>
  <c r="D64" i="4"/>
  <c r="D101" i="4"/>
  <c r="H101" i="4"/>
  <c r="L101" i="4"/>
  <c r="K59" i="4"/>
  <c r="I59" i="4"/>
  <c r="G59" i="4"/>
  <c r="E59" i="4"/>
  <c r="N41" i="8" l="1"/>
  <c r="O41" i="8"/>
  <c r="O9" i="8"/>
  <c r="G17" i="11"/>
  <c r="D17" i="11"/>
  <c r="E17" i="11" s="1"/>
  <c r="B18" i="11"/>
  <c r="L16" i="11"/>
  <c r="C16" i="11"/>
  <c r="H15" i="11"/>
  <c r="M15" i="11" s="1"/>
  <c r="E66" i="4"/>
  <c r="J66" i="4"/>
  <c r="I66" i="4"/>
  <c r="C66" i="4"/>
  <c r="F66" i="4"/>
  <c r="G66" i="4"/>
  <c r="K66" i="4"/>
  <c r="D66" i="4"/>
  <c r="H66" i="4"/>
  <c r="L66" i="4"/>
  <c r="G68" i="4" l="1"/>
  <c r="G40" i="8"/>
  <c r="C68" i="4"/>
  <c r="C40" i="8"/>
  <c r="I68" i="4"/>
  <c r="I40" i="8"/>
  <c r="J68" i="4"/>
  <c r="J40" i="8"/>
  <c r="E68" i="4"/>
  <c r="E40" i="8"/>
  <c r="L68" i="4"/>
  <c r="L40" i="8"/>
  <c r="H68" i="4"/>
  <c r="H40" i="8"/>
  <c r="D68" i="4"/>
  <c r="D40" i="8"/>
  <c r="K68" i="4"/>
  <c r="K40" i="8"/>
  <c r="F68" i="4"/>
  <c r="F40" i="8"/>
  <c r="D18" i="11"/>
  <c r="E18" i="11" s="1"/>
  <c r="G18" i="11"/>
  <c r="L17" i="11"/>
  <c r="C17" i="11"/>
  <c r="H16" i="11"/>
  <c r="M16" i="11" s="1"/>
  <c r="M15" i="4"/>
  <c r="D15" i="4"/>
  <c r="E15" i="4"/>
  <c r="F15" i="4"/>
  <c r="G15" i="4"/>
  <c r="H15" i="4"/>
  <c r="I15" i="4"/>
  <c r="J15" i="4"/>
  <c r="K15" i="4"/>
  <c r="L15" i="4"/>
  <c r="C15" i="4"/>
  <c r="M9" i="4"/>
  <c r="N40" i="8" l="1"/>
  <c r="O40" i="8"/>
  <c r="L18" i="11"/>
  <c r="C18" i="11"/>
  <c r="H18" i="11" s="1"/>
  <c r="M18" i="11" s="1"/>
  <c r="H17" i="11"/>
  <c r="M17" i="11" s="1"/>
  <c r="D9" i="4"/>
  <c r="E9" i="4"/>
  <c r="F9" i="4"/>
  <c r="G9" i="4"/>
  <c r="H9" i="4"/>
  <c r="I9" i="4"/>
  <c r="J9" i="4"/>
  <c r="K9" i="4"/>
  <c r="L9" i="4"/>
  <c r="C9" i="4"/>
  <c r="M6" i="4"/>
  <c r="D6" i="4"/>
  <c r="E6" i="4"/>
  <c r="F6" i="4"/>
  <c r="G6" i="4"/>
  <c r="H6" i="4"/>
  <c r="I6" i="4"/>
  <c r="J6" i="4"/>
  <c r="K6" i="4"/>
  <c r="L6" i="4"/>
  <c r="C6" i="4"/>
  <c r="K3" i="4"/>
  <c r="L3" i="4"/>
  <c r="J3" i="4"/>
  <c r="D3" i="4"/>
  <c r="E3" i="4"/>
  <c r="F3" i="4"/>
  <c r="G3" i="4"/>
  <c r="H3" i="4"/>
  <c r="I3" i="4"/>
  <c r="C3" i="4"/>
  <c r="B2" i="4"/>
  <c r="B6" i="3"/>
  <c r="E1" i="3"/>
  <c r="C27" i="4" l="1"/>
  <c r="C18" i="8" s="1"/>
  <c r="C27" i="8"/>
  <c r="C30" i="8"/>
  <c r="C31" i="8"/>
  <c r="C28" i="8"/>
  <c r="C29" i="8"/>
  <c r="C39" i="8"/>
  <c r="L27" i="4"/>
  <c r="L18" i="8" s="1"/>
  <c r="L30" i="8"/>
  <c r="L29" i="8"/>
  <c r="L36" i="8" s="1"/>
  <c r="L28" i="8"/>
  <c r="L35" i="8" s="1"/>
  <c r="L31" i="8"/>
  <c r="L27" i="8"/>
  <c r="L34" i="8" s="1"/>
  <c r="L39" i="8"/>
  <c r="K27" i="4"/>
  <c r="K18" i="8" s="1"/>
  <c r="K29" i="8"/>
  <c r="K36" i="8" s="1"/>
  <c r="K27" i="8"/>
  <c r="K34" i="8" s="1"/>
  <c r="K30" i="8"/>
  <c r="K28" i="8"/>
  <c r="K35" i="8" s="1"/>
  <c r="K31" i="8"/>
  <c r="K39" i="8"/>
  <c r="J28" i="8"/>
  <c r="J35" i="8" s="1"/>
  <c r="J29" i="8"/>
  <c r="J36" i="8" s="1"/>
  <c r="J30" i="8"/>
  <c r="J31" i="8"/>
  <c r="J27" i="8"/>
  <c r="J34" i="8" s="1"/>
  <c r="J39" i="8"/>
  <c r="I27" i="4"/>
  <c r="I18" i="8" s="1"/>
  <c r="I28" i="8"/>
  <c r="I35" i="8" s="1"/>
  <c r="I31" i="8"/>
  <c r="I29" i="8"/>
  <c r="I36" i="8" s="1"/>
  <c r="I27" i="8"/>
  <c r="I34" i="8" s="1"/>
  <c r="I30" i="8"/>
  <c r="I39" i="8"/>
  <c r="H27" i="4"/>
  <c r="H18" i="8" s="1"/>
  <c r="H31" i="8"/>
  <c r="H29" i="8"/>
  <c r="H36" i="8" s="1"/>
  <c r="H27" i="8"/>
  <c r="H34" i="8" s="1"/>
  <c r="H28" i="8"/>
  <c r="H35" i="8" s="1"/>
  <c r="H37" i="8" s="1"/>
  <c r="H30" i="8"/>
  <c r="H39" i="8"/>
  <c r="G27" i="4"/>
  <c r="G18" i="8" s="1"/>
  <c r="G28" i="8"/>
  <c r="G35" i="8" s="1"/>
  <c r="G29" i="8"/>
  <c r="G36" i="8" s="1"/>
  <c r="G30" i="8"/>
  <c r="G31" i="8"/>
  <c r="G27" i="8"/>
  <c r="G34" i="8" s="1"/>
  <c r="G39" i="8"/>
  <c r="F29" i="8"/>
  <c r="F36" i="8" s="1"/>
  <c r="F28" i="8"/>
  <c r="F35" i="8" s="1"/>
  <c r="F31" i="8"/>
  <c r="F27" i="8"/>
  <c r="F34" i="8" s="1"/>
  <c r="F30" i="8"/>
  <c r="F39" i="8"/>
  <c r="E27" i="4"/>
  <c r="E18" i="8" s="1"/>
  <c r="E31" i="8"/>
  <c r="E29" i="8"/>
  <c r="E36" i="8" s="1"/>
  <c r="E28" i="8"/>
  <c r="E35" i="8" s="1"/>
  <c r="E27" i="8"/>
  <c r="E34" i="8" s="1"/>
  <c r="E30" i="8"/>
  <c r="E39" i="8"/>
  <c r="D27" i="4"/>
  <c r="D18" i="8" s="1"/>
  <c r="D30" i="8"/>
  <c r="D28" i="8"/>
  <c r="D35" i="8" s="1"/>
  <c r="D29" i="8"/>
  <c r="D36" i="8" s="1"/>
  <c r="D27" i="8"/>
  <c r="D34" i="8" s="1"/>
  <c r="D31" i="8"/>
  <c r="D39" i="8"/>
  <c r="C10" i="4"/>
  <c r="J16" i="4"/>
  <c r="J17" i="8" s="1"/>
  <c r="J27" i="4"/>
  <c r="J18" i="8" s="1"/>
  <c r="F16" i="4"/>
  <c r="F17" i="8" s="1"/>
  <c r="F27" i="4"/>
  <c r="F18" i="8" s="1"/>
  <c r="M27" i="4"/>
  <c r="L10" i="4"/>
  <c r="J10" i="4"/>
  <c r="H10" i="4"/>
  <c r="F10" i="4"/>
  <c r="D10" i="4"/>
  <c r="C24" i="4"/>
  <c r="C12" i="4"/>
  <c r="C20" i="4" s="1"/>
  <c r="K24" i="4"/>
  <c r="K12" i="4"/>
  <c r="K20" i="4" s="1"/>
  <c r="I24" i="4"/>
  <c r="I12" i="4"/>
  <c r="I20" i="4" s="1"/>
  <c r="G24" i="4"/>
  <c r="G12" i="4"/>
  <c r="G20" i="4" s="1"/>
  <c r="E24" i="4"/>
  <c r="E12" i="4"/>
  <c r="E20" i="4" s="1"/>
  <c r="M24" i="4"/>
  <c r="M12" i="4"/>
  <c r="M16" i="4"/>
  <c r="L7" i="4"/>
  <c r="L5" i="8" s="1"/>
  <c r="J7" i="4"/>
  <c r="J5" i="8" s="1"/>
  <c r="H7" i="4"/>
  <c r="H5" i="8" s="1"/>
  <c r="F7" i="4"/>
  <c r="F5" i="8" s="1"/>
  <c r="D7" i="4"/>
  <c r="D5" i="8" s="1"/>
  <c r="M10" i="4"/>
  <c r="K10" i="4"/>
  <c r="I10" i="4"/>
  <c r="G10" i="4"/>
  <c r="E10" i="4"/>
  <c r="E16" i="4"/>
  <c r="E17" i="8" s="1"/>
  <c r="I16" i="4"/>
  <c r="I17" i="8" s="1"/>
  <c r="C16" i="4"/>
  <c r="C17" i="8" s="1"/>
  <c r="L24" i="4"/>
  <c r="L12" i="4"/>
  <c r="L20" i="4" s="1"/>
  <c r="J24" i="4"/>
  <c r="J12" i="4"/>
  <c r="J20" i="4" s="1"/>
  <c r="H24" i="4"/>
  <c r="H12" i="4"/>
  <c r="H20" i="4" s="1"/>
  <c r="F24" i="4"/>
  <c r="F12" i="4"/>
  <c r="F20" i="4" s="1"/>
  <c r="D24" i="4"/>
  <c r="D12" i="4"/>
  <c r="D20" i="4" s="1"/>
  <c r="M7" i="4"/>
  <c r="K7" i="4"/>
  <c r="K5" i="8" s="1"/>
  <c r="I7" i="4"/>
  <c r="I5" i="8" s="1"/>
  <c r="G7" i="4"/>
  <c r="G5" i="8" s="1"/>
  <c r="E7" i="4"/>
  <c r="E5" i="8" s="1"/>
  <c r="G16" i="4"/>
  <c r="G17" i="8" s="1"/>
  <c r="K16" i="4"/>
  <c r="K17" i="8" s="1"/>
  <c r="D16" i="4"/>
  <c r="D17" i="8" s="1"/>
  <c r="H16" i="4"/>
  <c r="H17" i="8" s="1"/>
  <c r="L16" i="4"/>
  <c r="L17" i="8" s="1"/>
  <c r="D37" i="8" l="1"/>
  <c r="L21" i="8"/>
  <c r="L25" i="8"/>
  <c r="L6" i="8"/>
  <c r="I37" i="8"/>
  <c r="E25" i="8"/>
  <c r="E21" i="8"/>
  <c r="E6" i="8"/>
  <c r="G37" i="8"/>
  <c r="G21" i="8"/>
  <c r="G25" i="8"/>
  <c r="G6" i="8"/>
  <c r="E37" i="8"/>
  <c r="D21" i="8"/>
  <c r="D25" i="8"/>
  <c r="D6" i="8"/>
  <c r="K25" i="8"/>
  <c r="K21" i="8"/>
  <c r="K6" i="8"/>
  <c r="J37" i="8"/>
  <c r="F25" i="8"/>
  <c r="F21" i="8"/>
  <c r="F6" i="8"/>
  <c r="C35" i="8"/>
  <c r="N28" i="8"/>
  <c r="O28" i="8"/>
  <c r="I4" i="11" a="1"/>
  <c r="C21" i="8"/>
  <c r="C25" i="8"/>
  <c r="N31" i="8"/>
  <c r="O31" i="8"/>
  <c r="K37" i="8"/>
  <c r="N30" i="8"/>
  <c r="O30" i="8"/>
  <c r="F37" i="8"/>
  <c r="C34" i="8"/>
  <c r="N27" i="8"/>
  <c r="O27" i="8"/>
  <c r="M13" i="4"/>
  <c r="M20" i="4"/>
  <c r="N17" i="8"/>
  <c r="O17" i="8"/>
  <c r="L37" i="8"/>
  <c r="I21" i="8"/>
  <c r="I25" i="8"/>
  <c r="I6" i="8"/>
  <c r="N39" i="8"/>
  <c r="O39" i="8"/>
  <c r="N29" i="8"/>
  <c r="O29" i="8"/>
  <c r="C36" i="8"/>
  <c r="O36" i="8" s="1"/>
  <c r="N5" i="8"/>
  <c r="O5" i="8"/>
  <c r="H21" i="8"/>
  <c r="H25" i="8"/>
  <c r="H6" i="8"/>
  <c r="J25" i="8"/>
  <c r="J21" i="8"/>
  <c r="J6" i="8"/>
  <c r="N36" i="8"/>
  <c r="N18" i="8"/>
  <c r="O18" i="8"/>
  <c r="D13" i="8"/>
  <c r="D19" i="8" s="1"/>
  <c r="D13" i="4"/>
  <c r="D11" i="8" s="1"/>
  <c r="F13" i="4"/>
  <c r="F11" i="8" s="1"/>
  <c r="H13" i="4"/>
  <c r="H11" i="8" s="1"/>
  <c r="J13" i="4"/>
  <c r="J11" i="8" s="1"/>
  <c r="L13" i="8"/>
  <c r="L19" i="8" s="1"/>
  <c r="L13" i="4"/>
  <c r="L11" i="8" s="1"/>
  <c r="E13" i="4"/>
  <c r="E11" i="8" s="1"/>
  <c r="G13" i="8"/>
  <c r="G19" i="8" s="1"/>
  <c r="G13" i="4"/>
  <c r="G11" i="8" s="1"/>
  <c r="I13" i="8"/>
  <c r="I19" i="8" s="1"/>
  <c r="I13" i="4"/>
  <c r="I11" i="8" s="1"/>
  <c r="K13" i="8"/>
  <c r="K19" i="8" s="1"/>
  <c r="K13" i="4"/>
  <c r="K11" i="8" s="1"/>
  <c r="C13" i="4"/>
  <c r="C11" i="8" s="1"/>
  <c r="F21" i="4"/>
  <c r="F12" i="8" s="1"/>
  <c r="F29" i="4"/>
  <c r="J21" i="4"/>
  <c r="J12" i="8" s="1"/>
  <c r="J29" i="4"/>
  <c r="E21" i="4"/>
  <c r="E12" i="8" s="1"/>
  <c r="E29" i="4"/>
  <c r="I21" i="4"/>
  <c r="I12" i="8" s="1"/>
  <c r="I29" i="4"/>
  <c r="D21" i="4"/>
  <c r="D12" i="8" s="1"/>
  <c r="D29" i="4"/>
  <c r="E7" i="8" s="1"/>
  <c r="H21" i="4"/>
  <c r="H12" i="8" s="1"/>
  <c r="H29" i="4"/>
  <c r="I7" i="8" s="1"/>
  <c r="L21" i="4"/>
  <c r="L12" i="8" s="1"/>
  <c r="L29" i="4"/>
  <c r="G21" i="4"/>
  <c r="G12" i="8" s="1"/>
  <c r="G29" i="4"/>
  <c r="H7" i="8" s="1"/>
  <c r="K21" i="4"/>
  <c r="K12" i="8" s="1"/>
  <c r="K29" i="4"/>
  <c r="K7" i="8" s="1"/>
  <c r="N11" i="8" l="1"/>
  <c r="O11" i="8"/>
  <c r="O25" i="8"/>
  <c r="N25" i="8"/>
  <c r="O21" i="8"/>
  <c r="N21" i="8"/>
  <c r="I4" i="11"/>
  <c r="I11" i="11"/>
  <c r="I13" i="11"/>
  <c r="I5" i="11"/>
  <c r="J5" i="11" s="1"/>
  <c r="I7" i="11"/>
  <c r="I9" i="11"/>
  <c r="I12" i="11"/>
  <c r="J12" i="11" s="1"/>
  <c r="I10" i="11"/>
  <c r="J10" i="11" s="1"/>
  <c r="I8" i="11"/>
  <c r="J8" i="11" s="1"/>
  <c r="I6" i="11"/>
  <c r="J6" i="11" s="1"/>
  <c r="M29" i="4"/>
  <c r="M21" i="4"/>
  <c r="C37" i="8"/>
  <c r="N35" i="8"/>
  <c r="N34" i="8"/>
  <c r="O34" i="8"/>
  <c r="F7" i="8"/>
  <c r="O6" i="8"/>
  <c r="N6" i="8"/>
  <c r="O35" i="8"/>
  <c r="L7" i="8"/>
  <c r="J7" i="8"/>
  <c r="G7" i="8"/>
  <c r="C21" i="4"/>
  <c r="C12" i="8" s="1"/>
  <c r="C29" i="4"/>
  <c r="D7" i="8" s="1"/>
  <c r="C13" i="8"/>
  <c r="E13" i="8"/>
  <c r="E19" i="8" s="1"/>
  <c r="J13" i="8"/>
  <c r="J19" i="8" s="1"/>
  <c r="H13" i="8"/>
  <c r="H19" i="8" s="1"/>
  <c r="F13" i="8"/>
  <c r="F19" i="8" s="1"/>
  <c r="K35" i="4"/>
  <c r="K30" i="4"/>
  <c r="K14" i="8" s="1"/>
  <c r="K33" i="4"/>
  <c r="G35" i="4"/>
  <c r="G30" i="4"/>
  <c r="G14" i="8" s="1"/>
  <c r="G33" i="4"/>
  <c r="L35" i="4"/>
  <c r="L30" i="4"/>
  <c r="L14" i="8" s="1"/>
  <c r="L33" i="4"/>
  <c r="H35" i="4"/>
  <c r="H30" i="4"/>
  <c r="H14" i="8" s="1"/>
  <c r="H33" i="4"/>
  <c r="D35" i="4"/>
  <c r="D30" i="4"/>
  <c r="D14" i="8" s="1"/>
  <c r="D33" i="4"/>
  <c r="I35" i="4"/>
  <c r="I23" i="8" s="1"/>
  <c r="I30" i="4"/>
  <c r="I14" i="8" s="1"/>
  <c r="I33" i="4"/>
  <c r="E35" i="4"/>
  <c r="E30" i="4"/>
  <c r="E14" i="8" s="1"/>
  <c r="E33" i="4"/>
  <c r="J35" i="4"/>
  <c r="J30" i="4"/>
  <c r="J14" i="8" s="1"/>
  <c r="J33" i="4"/>
  <c r="F35" i="4"/>
  <c r="F30" i="4"/>
  <c r="F14" i="8" s="1"/>
  <c r="F33" i="4"/>
  <c r="J9" i="11" l="1"/>
  <c r="J7" i="11"/>
  <c r="J13" i="11"/>
  <c r="J11" i="11"/>
  <c r="I14" i="11"/>
  <c r="J14" i="11" s="1"/>
  <c r="I15" i="11"/>
  <c r="J15" i="11" s="1"/>
  <c r="I16" i="11"/>
  <c r="J16" i="11" s="1"/>
  <c r="I17" i="11"/>
  <c r="J17" i="11" s="1"/>
  <c r="I18" i="11"/>
  <c r="J18" i="11" s="1"/>
  <c r="N37" i="8"/>
  <c r="O37" i="8"/>
  <c r="M35" i="4"/>
  <c r="M33" i="4"/>
  <c r="M30" i="4"/>
  <c r="L23" i="8"/>
  <c r="L8" i="8"/>
  <c r="K23" i="8"/>
  <c r="K8" i="8"/>
  <c r="J23" i="8"/>
  <c r="J8" i="8"/>
  <c r="H23" i="8"/>
  <c r="I8" i="8"/>
  <c r="G23" i="8"/>
  <c r="H8" i="8"/>
  <c r="F23" i="8"/>
  <c r="G8" i="8"/>
  <c r="E23" i="8"/>
  <c r="F8" i="8"/>
  <c r="D23" i="8"/>
  <c r="E8" i="8"/>
  <c r="N7" i="8"/>
  <c r="O7" i="8"/>
  <c r="C19" i="8"/>
  <c r="N13" i="8"/>
  <c r="O13" i="8"/>
  <c r="O12" i="8"/>
  <c r="N12" i="8"/>
  <c r="C30" i="4"/>
  <c r="C14" i="8" s="1"/>
  <c r="C33" i="4"/>
  <c r="C35" i="4"/>
  <c r="J36" i="4"/>
  <c r="J15" i="8" s="1"/>
  <c r="J40" i="4"/>
  <c r="I36" i="4"/>
  <c r="I15" i="8" s="1"/>
  <c r="I40" i="4"/>
  <c r="H36" i="4"/>
  <c r="H15" i="8" s="1"/>
  <c r="H40" i="4"/>
  <c r="G36" i="4"/>
  <c r="G15" i="8" s="1"/>
  <c r="G40" i="4"/>
  <c r="F36" i="4"/>
  <c r="F15" i="8" s="1"/>
  <c r="F40" i="4"/>
  <c r="E36" i="4"/>
  <c r="E15" i="8" s="1"/>
  <c r="E40" i="4"/>
  <c r="D36" i="4"/>
  <c r="D15" i="8" s="1"/>
  <c r="D40" i="4"/>
  <c r="L36" i="4"/>
  <c r="L15" i="8" s="1"/>
  <c r="L40" i="4"/>
  <c r="K36" i="4"/>
  <c r="K15" i="8" s="1"/>
  <c r="K40" i="4"/>
  <c r="M40" i="4" l="1"/>
  <c r="M36" i="4"/>
  <c r="O14" i="8"/>
  <c r="N14" i="8"/>
  <c r="C23" i="8"/>
  <c r="D8" i="8"/>
  <c r="O19" i="8"/>
  <c r="N19" i="8"/>
  <c r="C36" i="4"/>
  <c r="C15" i="8" s="1"/>
  <c r="C40" i="4"/>
  <c r="N4" i="11" s="1" a="1"/>
  <c r="K41" i="4"/>
  <c r="K44" i="4"/>
  <c r="K46" i="4" s="1"/>
  <c r="K22" i="8" s="1"/>
  <c r="K24" i="8" s="1"/>
  <c r="L44" i="4"/>
  <c r="L46" i="4" s="1"/>
  <c r="L22" i="8" s="1"/>
  <c r="L24" i="8" s="1"/>
  <c r="L41" i="4"/>
  <c r="M41" i="4"/>
  <c r="D46" i="4"/>
  <c r="D22" i="8" s="1"/>
  <c r="D24" i="8" s="1"/>
  <c r="D44" i="4"/>
  <c r="E41" i="4"/>
  <c r="E46" i="4"/>
  <c r="E22" i="8" s="1"/>
  <c r="E24" i="8" s="1"/>
  <c r="E44" i="4"/>
  <c r="F44" i="4"/>
  <c r="F46" i="4" s="1"/>
  <c r="F22" i="8" s="1"/>
  <c r="F24" i="8" s="1"/>
  <c r="F41" i="4"/>
  <c r="G41" i="4"/>
  <c r="G46" i="4"/>
  <c r="G22" i="8" s="1"/>
  <c r="G24" i="8" s="1"/>
  <c r="G44" i="4"/>
  <c r="H46" i="4"/>
  <c r="H22" i="8" s="1"/>
  <c r="H24" i="8" s="1"/>
  <c r="H44" i="4"/>
  <c r="H41" i="4"/>
  <c r="I41" i="4"/>
  <c r="I44" i="4"/>
  <c r="I46" i="4" s="1"/>
  <c r="I22" i="8" s="1"/>
  <c r="I24" i="8" s="1"/>
  <c r="J44" i="4"/>
  <c r="J46" i="4" s="1"/>
  <c r="J22" i="8" s="1"/>
  <c r="J24" i="8" s="1"/>
  <c r="J41" i="4"/>
  <c r="N4" i="11" l="1"/>
  <c r="N5" i="11"/>
  <c r="O5" i="11" s="1"/>
  <c r="N6" i="11"/>
  <c r="O6" i="11" s="1"/>
  <c r="N7" i="11"/>
  <c r="O7" i="11" s="1"/>
  <c r="N8" i="11"/>
  <c r="O8" i="11" s="1"/>
  <c r="N9" i="11"/>
  <c r="O9" i="11" s="1"/>
  <c r="N10" i="11"/>
  <c r="O10" i="11" s="1"/>
  <c r="N11" i="11"/>
  <c r="O11" i="11" s="1"/>
  <c r="N12" i="11"/>
  <c r="O12" i="11" s="1"/>
  <c r="N13" i="11"/>
  <c r="O13" i="11" s="1"/>
  <c r="D41" i="4"/>
  <c r="M44" i="4"/>
  <c r="M46" i="4"/>
  <c r="N15" i="8"/>
  <c r="O15" i="8"/>
  <c r="N8" i="8"/>
  <c r="O8" i="8"/>
  <c r="N23" i="8"/>
  <c r="O23" i="8"/>
  <c r="C44" i="4"/>
  <c r="C46" i="4" s="1"/>
  <c r="C22" i="8" s="1"/>
  <c r="N14" i="11" l="1"/>
  <c r="O14" i="11" s="1"/>
  <c r="N15" i="11"/>
  <c r="O15" i="11" s="1"/>
  <c r="N16" i="11"/>
  <c r="O16" i="11" s="1"/>
  <c r="N17" i="11"/>
  <c r="O17" i="11" s="1"/>
  <c r="N18" i="11"/>
  <c r="O18" i="11" s="1"/>
  <c r="C24" i="8"/>
  <c r="O22" i="8"/>
  <c r="N22" i="8"/>
  <c r="D17" i="10"/>
  <c r="D15" i="10"/>
  <c r="D16" i="10"/>
  <c r="D14" i="10"/>
  <c r="E14" i="10" s="1"/>
  <c r="O24" i="8" l="1"/>
  <c r="N24" i="8"/>
  <c r="E15" i="10"/>
  <c r="E16" i="10"/>
  <c r="E17" i="10"/>
</calcChain>
</file>

<file path=xl/sharedStrings.xml><?xml version="1.0" encoding="utf-8"?>
<sst xmlns="http://schemas.openxmlformats.org/spreadsheetml/2006/main" count="257" uniqueCount="191">
  <si>
    <t>COMPANY NAME</t>
  </si>
  <si>
    <t>PUNJAB NATIONAL BANK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</si>
  <si>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</si>
  <si>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</si>
  <si>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</si>
  <si>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</si>
  <si>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</si>
  <si>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</si>
  <si>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</si>
  <si>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</si>
  <si>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</si>
  <si>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</si>
  <si>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</si>
  <si>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</si>
  <si>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</si>
  <si>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</si>
  <si>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</si>
  <si>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</si>
  <si>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</si>
  <si>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</si>
  <si>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</si>
  <si>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</si>
  <si>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</si>
  <si>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</si>
  <si>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</si>
  <si>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</si>
  <si>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</si>
  <si>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</si>
  <si>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</si>
  <si>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</si>
  <si>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</si>
  <si>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</si>
  <si>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</si>
  <si>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</si>
  <si>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</si>
  <si>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</si>
  <si>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</si>
  <si>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</si>
  <si>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</si>
  <si>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</si>
  <si>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</si>
  <si>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</si>
  <si>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</si>
  <si>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</si>
  <si>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</si>
  <si>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</si>
  <si>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</si>
  <si>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</si>
  <si>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</si>
  <si>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</si>
  <si>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</si>
  <si>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</si>
  <si>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</si>
  <si>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</si>
  <si>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</si>
  <si>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</si>
  <si>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sales</t>
  </si>
  <si>
    <t>#</t>
  </si>
  <si>
    <t>income statement</t>
  </si>
  <si>
    <t>%sale growth</t>
  </si>
  <si>
    <t>-</t>
  </si>
  <si>
    <t>COGS</t>
  </si>
  <si>
    <t>COGS%SALES</t>
  </si>
  <si>
    <t>Gross margin</t>
  </si>
  <si>
    <t>selling &amp; general exp</t>
  </si>
  <si>
    <t>s&amp;g  exp % sales</t>
  </si>
  <si>
    <t>EBITDA</t>
  </si>
  <si>
    <t>EBITDA %SALES</t>
  </si>
  <si>
    <t>INTEREST</t>
  </si>
  <si>
    <t>INTEREST % SALES</t>
  </si>
  <si>
    <t>DEPRECIATION</t>
  </si>
  <si>
    <t>EARNING BEFORE TAX</t>
  </si>
  <si>
    <t>EBT %SALES</t>
  </si>
  <si>
    <t>TAX</t>
  </si>
  <si>
    <t>Effective tax rate</t>
  </si>
  <si>
    <t>NET PROFIT</t>
  </si>
  <si>
    <t>NET PROFIT %SALES</t>
  </si>
  <si>
    <t>EPS</t>
  </si>
  <si>
    <t>Divident per share</t>
  </si>
  <si>
    <t xml:space="preserve">No of equity share </t>
  </si>
  <si>
    <t>Eps growth %</t>
  </si>
  <si>
    <t>Divident payout ratio</t>
  </si>
  <si>
    <t>Retained Earning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</si>
  <si>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</si>
  <si>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</si>
  <si>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</si>
  <si>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</si>
  <si>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</si>
  <si>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</si>
  <si>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</si>
  <si>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from Operating Activity -</t>
  </si>
  <si>
    <t>Profit from operations</t>
  </si>
  <si>
    <t>Loans Advances</t>
  </si>
  <si>
    <t>Operating investments</t>
  </si>
  <si>
    <t>Operating borrowings</t>
  </si>
  <si>
    <t>Deposits</t>
  </si>
  <si>
    <t>Other WC items</t>
  </si>
  <si>
    <t>Working capital changes</t>
  </si>
  <si>
    <t>Direct taxes</t>
  </si>
  <si>
    <t>Other operating items</t>
  </si>
  <si>
    <t>Cash from Investing Activity -</t>
  </si>
  <si>
    <t>Fixed assets purchased</t>
  </si>
  <si>
    <t>Investment income</t>
  </si>
  <si>
    <t>Dividends received</t>
  </si>
  <si>
    <t>Invest in subsidiaries</t>
  </si>
  <si>
    <t>Redemp n Canc of Shares</t>
  </si>
  <si>
    <t>Acquisition of companies</t>
  </si>
  <si>
    <t>Cash from Financing Activity -</t>
  </si>
  <si>
    <t>Proceeds from shares</t>
  </si>
  <si>
    <t>Proceeds from debentures</t>
  </si>
  <si>
    <t>Redemption of debentures</t>
  </si>
  <si>
    <t>Interest paid fin</t>
  </si>
  <si>
    <t>Dividends paid</t>
  </si>
  <si>
    <t>Other financing items</t>
  </si>
  <si>
    <t xml:space="preserve"># </t>
  </si>
  <si>
    <t>Cash flow Statement</t>
  </si>
  <si>
    <t>Cash from operating activities</t>
  </si>
  <si>
    <t>Operating Activities</t>
  </si>
  <si>
    <t>Investing Activites</t>
  </si>
  <si>
    <t>Cash from Investing Activites</t>
  </si>
  <si>
    <t>Financing Activites</t>
  </si>
  <si>
    <t>cash from financing activites</t>
  </si>
  <si>
    <t>net cash flow</t>
  </si>
  <si>
    <t>Sales Growth</t>
  </si>
  <si>
    <t>EBITDA Growth</t>
  </si>
  <si>
    <t>Net profit Growth</t>
  </si>
  <si>
    <t>Dividend Growth</t>
  </si>
  <si>
    <t>EBITDA margin</t>
  </si>
  <si>
    <t>EBIT 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</si>
  <si>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</si>
  <si>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</si>
  <si>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</si>
  <si>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</si>
  <si>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</si>
  <si>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</si>
  <si>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</si>
  <si>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</si>
  <si>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</si>
  <si>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Coverages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</si>
  <si>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</si>
  <si>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</si>
  <si>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</si>
  <si>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</si>
  <si>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</si>
  <si>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</si>
  <si>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</si>
  <si>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</si>
  <si>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Converrsion Cycle</t>
  </si>
  <si>
    <t>CFO/Sales</t>
  </si>
  <si>
    <t>CFO/Total Assets</t>
  </si>
  <si>
    <t>CFO/Total Debt</t>
  </si>
  <si>
    <t>EBT Growth</t>
  </si>
  <si>
    <t>Gross profit</t>
  </si>
  <si>
    <t>Gross Margin</t>
  </si>
  <si>
    <t>Other income</t>
  </si>
  <si>
    <t>(in days)</t>
  </si>
  <si>
    <t>mean</t>
  </si>
  <si>
    <t>median</t>
  </si>
  <si>
    <t xml:space="preserve">Trend </t>
  </si>
  <si>
    <t xml:space="preserve">year weight </t>
  </si>
  <si>
    <t>year</t>
  </si>
  <si>
    <t>sales growth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</si>
  <si>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</si>
  <si>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</si>
  <si>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</si>
  <si>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</si>
  <si>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</si>
  <si>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</si>
  <si>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</si>
  <si>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</si>
  <si>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</si>
  <si>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</si>
  <si>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</si>
  <si>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</si>
  <si>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</si>
  <si>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</si>
  <si>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</si>
  <si>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</si>
  <si>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</si>
  <si>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</si>
  <si>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</si>
  <si>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</si>
  <si>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</si>
  <si>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</si>
  <si>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</si>
  <si>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</si>
  <si>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year Weight</t>
  </si>
  <si>
    <t xml:space="preserve"> year </t>
  </si>
  <si>
    <t>year weight</t>
  </si>
  <si>
    <t>EBITDA growth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</si>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</sst>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[$₹-4009]\ #,##0.0;[$₹-4009]\ \-#,##0.0"/>
    <numFmt numFmtId="167" formatCode="[$₹-4009]\ #,##0.0"/>
    <numFmt numFmtId="168" formatCode="0.00&quot;x&quot;"/>
    <numFmt numFmtId="169" formatCode="#,##0.0"/>
    <numFmt numFmtId="170" formatCode="0&quot;A&quot;"/>
    <numFmt numFmtId="171" formatCode="0&quot;E&quot;"/>
    <numFmt numFmtId="172" formatCode="yyyy&quot;A&quot;"/>
    <numFmt numFmtId="173" formatCode="yyyy&quot;E&quot;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1"/>
      <color theme="0" tint="-0.499984740745262"/>
      <name val="Calibri"/>
      <family val="2"/>
    </font>
    <font>
      <i/>
      <sz val="11"/>
      <color theme="1"/>
      <name val="Calibri"/>
      <family val="2"/>
    </font>
    <font>
      <sz val="11"/>
      <color theme="4" tint="-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13A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164" fontId="5" fillId="0" borderId="0" xfId="1" applyFont="1" applyBorder="1"/>
    <xf numFmtId="164" fontId="0" fillId="0" borderId="0" xfId="1" applyFont="1" applyBorder="1"/>
    <xf numFmtId="165" fontId="7" fillId="3" borderId="0" xfId="1" applyNumberFormat="1" applyFont="1" applyFill="1" applyBorder="1"/>
    <xf numFmtId="165" fontId="7" fillId="3" borderId="0" xfId="0" applyNumberFormat="1" applyFont="1" applyFill="1" applyAlignment="1">
      <alignment horizontal="center"/>
    </xf>
    <xf numFmtId="165" fontId="8" fillId="0" borderId="0" xfId="1" applyNumberFormat="1" applyFont="1" applyFill="1" applyBorder="1"/>
    <xf numFmtId="164" fontId="4" fillId="0" borderId="0" xfId="1" applyFont="1" applyBorder="1"/>
    <xf numFmtId="0" fontId="3" fillId="4" borderId="0" xfId="0" applyFont="1" applyFill="1"/>
    <xf numFmtId="17" fontId="3" fillId="4" borderId="0" xfId="0" applyNumberFormat="1" applyFont="1" applyFill="1"/>
    <xf numFmtId="17" fontId="3" fillId="4" borderId="0" xfId="0" applyNumberFormat="1" applyFont="1" applyFill="1" applyAlignment="1">
      <alignment horizontal="right"/>
    </xf>
    <xf numFmtId="0" fontId="2" fillId="0" borderId="0" xfId="0" applyFont="1"/>
    <xf numFmtId="0" fontId="9" fillId="0" borderId="0" xfId="0" applyFont="1"/>
    <xf numFmtId="0" fontId="10" fillId="5" borderId="0" xfId="0" applyFont="1" applyFill="1"/>
    <xf numFmtId="0" fontId="3" fillId="5" borderId="0" xfId="0" applyFont="1" applyFill="1"/>
    <xf numFmtId="10" fontId="12" fillId="0" borderId="0" xfId="2" applyNumberFormat="1" applyFont="1"/>
    <xf numFmtId="10" fontId="9" fillId="0" borderId="0" xfId="2" applyNumberFormat="1" applyFont="1"/>
    <xf numFmtId="0" fontId="9" fillId="0" borderId="0" xfId="0" applyFont="1" applyAlignment="1">
      <alignment horizontal="right"/>
    </xf>
    <xf numFmtId="167" fontId="2" fillId="0" borderId="0" xfId="2" applyNumberFormat="1" applyFont="1"/>
    <xf numFmtId="0" fontId="11" fillId="0" borderId="0" xfId="0" applyFont="1"/>
    <xf numFmtId="10" fontId="11" fillId="0" borderId="0" xfId="2" applyNumberFormat="1" applyFont="1"/>
    <xf numFmtId="167" fontId="1" fillId="0" borderId="0" xfId="2" applyNumberFormat="1" applyFont="1"/>
    <xf numFmtId="17" fontId="0" fillId="0" borderId="0" xfId="0" applyNumberFormat="1"/>
    <xf numFmtId="3" fontId="0" fillId="0" borderId="0" xfId="0" applyNumberFormat="1"/>
    <xf numFmtId="0" fontId="0" fillId="5" borderId="0" xfId="0" applyFill="1"/>
    <xf numFmtId="167" fontId="2" fillId="0" borderId="1" xfId="0" applyNumberFormat="1" applyFont="1" applyBorder="1"/>
    <xf numFmtId="167" fontId="2" fillId="0" borderId="1" xfId="2" applyNumberFormat="1" applyFont="1" applyBorder="1"/>
    <xf numFmtId="167" fontId="2" fillId="0" borderId="2" xfId="2" applyNumberFormat="1" applyFont="1" applyBorder="1"/>
    <xf numFmtId="166" fontId="2" fillId="0" borderId="4" xfId="0" applyNumberFormat="1" applyFont="1" applyBorder="1"/>
    <xf numFmtId="10" fontId="12" fillId="0" borderId="0" xfId="2" applyNumberFormat="1" applyFont="1" applyBorder="1"/>
    <xf numFmtId="10" fontId="9" fillId="0" borderId="0" xfId="2" applyNumberFormat="1" applyFont="1" applyBorder="1"/>
    <xf numFmtId="167" fontId="2" fillId="0" borderId="4" xfId="2" applyNumberFormat="1" applyFont="1" applyBorder="1"/>
    <xf numFmtId="167" fontId="2" fillId="0" borderId="4" xfId="0" applyNumberFormat="1" applyFont="1" applyBorder="1"/>
    <xf numFmtId="10" fontId="9" fillId="0" borderId="3" xfId="2" applyNumberFormat="1" applyFont="1" applyBorder="1"/>
    <xf numFmtId="0" fontId="2" fillId="0" borderId="4" xfId="0" applyFont="1" applyBorder="1"/>
    <xf numFmtId="0" fontId="0" fillId="0" borderId="3" xfId="0" applyBorder="1"/>
    <xf numFmtId="167" fontId="0" fillId="0" borderId="0" xfId="0" applyNumberFormat="1"/>
    <xf numFmtId="166" fontId="0" fillId="0" borderId="0" xfId="0" applyNumberFormat="1"/>
    <xf numFmtId="17" fontId="3" fillId="6" borderId="0" xfId="0" applyNumberFormat="1" applyFont="1" applyFill="1"/>
    <xf numFmtId="10" fontId="0" fillId="0" borderId="5" xfId="2" applyNumberFormat="1" applyFont="1" applyBorder="1"/>
    <xf numFmtId="10" fontId="0" fillId="0" borderId="0" xfId="2" applyNumberFormat="1" applyFont="1" applyBorder="1"/>
    <xf numFmtId="10" fontId="0" fillId="0" borderId="6" xfId="2" applyNumberFormat="1" applyFont="1" applyBorder="1"/>
    <xf numFmtId="10" fontId="0" fillId="0" borderId="5" xfId="0" applyNumberFormat="1" applyBorder="1"/>
    <xf numFmtId="10" fontId="0" fillId="0" borderId="0" xfId="0" applyNumberFormat="1"/>
    <xf numFmtId="10" fontId="0" fillId="0" borderId="6" xfId="0" applyNumberFormat="1" applyBorder="1"/>
    <xf numFmtId="168" fontId="0" fillId="0" borderId="6" xfId="2" applyNumberFormat="1" applyFont="1" applyBorder="1"/>
    <xf numFmtId="168" fontId="0" fillId="0" borderId="5" xfId="2" applyNumberFormat="1" applyFont="1" applyBorder="1"/>
    <xf numFmtId="168" fontId="0" fillId="0" borderId="0" xfId="2" applyNumberFormat="1" applyFont="1" applyBorder="1"/>
    <xf numFmtId="1" fontId="0" fillId="0" borderId="5" xfId="0" applyNumberFormat="1" applyBorder="1"/>
    <xf numFmtId="0" fontId="0" fillId="0" borderId="5" xfId="0" applyBorder="1"/>
    <xf numFmtId="0" fontId="3" fillId="6" borderId="0" xfId="0" applyFont="1" applyFill="1"/>
    <xf numFmtId="10" fontId="0" fillId="6" borderId="5" xfId="2" applyNumberFormat="1" applyFont="1" applyFill="1" applyBorder="1" applyAlignment="1">
      <alignment horizontal="right"/>
    </xf>
    <xf numFmtId="10" fontId="0" fillId="6" borderId="5" xfId="2" applyNumberFormat="1" applyFont="1" applyFill="1" applyBorder="1"/>
    <xf numFmtId="10" fontId="0" fillId="6" borderId="0" xfId="2" applyNumberFormat="1" applyFont="1" applyFill="1" applyBorder="1" applyAlignment="1">
      <alignment horizontal="right"/>
    </xf>
    <xf numFmtId="10" fontId="0" fillId="6" borderId="0" xfId="2" applyNumberFormat="1" applyFont="1" applyFill="1" applyBorder="1"/>
    <xf numFmtId="10" fontId="0" fillId="6" borderId="6" xfId="2" applyNumberFormat="1" applyFont="1" applyFill="1" applyBorder="1" applyAlignment="1">
      <alignment horizontal="right"/>
    </xf>
    <xf numFmtId="10" fontId="0" fillId="6" borderId="6" xfId="2" applyNumberFormat="1" applyFont="1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0" borderId="6" xfId="0" applyBorder="1"/>
    <xf numFmtId="1" fontId="0" fillId="0" borderId="0" xfId="0" applyNumberFormat="1"/>
    <xf numFmtId="17" fontId="3" fillId="4" borderId="0" xfId="0" applyNumberFormat="1" applyFont="1" applyFill="1" applyAlignment="1">
      <alignment horizontal="center"/>
    </xf>
    <xf numFmtId="16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2" applyNumberFormat="1" applyFont="1" applyAlignment="1">
      <alignment horizontal="right"/>
    </xf>
    <xf numFmtId="0" fontId="10" fillId="7" borderId="0" xfId="0" applyFont="1" applyFill="1" applyAlignment="1">
      <alignment horizontal="left"/>
    </xf>
    <xf numFmtId="169" fontId="10" fillId="7" borderId="0" xfId="0" applyNumberFormat="1" applyFont="1" applyFill="1" applyAlignment="1">
      <alignment horizontal="right"/>
    </xf>
    <xf numFmtId="10" fontId="0" fillId="0" borderId="0" xfId="2" applyNumberFormat="1" applyFont="1"/>
    <xf numFmtId="170" fontId="0" fillId="0" borderId="0" xfId="0" applyNumberFormat="1"/>
    <xf numFmtId="171" fontId="0" fillId="0" borderId="0" xfId="0" applyNumberFormat="1"/>
    <xf numFmtId="0" fontId="0" fillId="0" borderId="7" xfId="0" applyBorder="1"/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Continuous"/>
    </xf>
    <xf numFmtId="169" fontId="14" fillId="0" borderId="0" xfId="0" applyNumberFormat="1" applyFont="1"/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right"/>
    </xf>
    <xf numFmtId="172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2" fontId="0" fillId="0" borderId="0" xfId="0" applyNumberFormat="1"/>
    <xf numFmtId="0" fontId="0" fillId="9" borderId="0" xfId="0" applyFill="1" applyAlignment="1">
      <alignment horizontal="left"/>
    </xf>
    <xf numFmtId="173" fontId="0" fillId="9" borderId="0" xfId="0" applyNumberFormat="1" applyFill="1" applyAlignment="1">
      <alignment horizontal="right"/>
    </xf>
    <xf numFmtId="169" fontId="0" fillId="9" borderId="0" xfId="0" applyNumberFormat="1" applyFill="1" applyAlignment="1">
      <alignment horizontal="right"/>
    </xf>
    <xf numFmtId="10" fontId="0" fillId="9" borderId="0" xfId="2" applyNumberFormat="1" applyFont="1" applyFill="1" applyAlignment="1">
      <alignment horizontal="right"/>
    </xf>
    <xf numFmtId="173" fontId="0" fillId="9" borderId="0" xfId="0" applyNumberFormat="1" applyFill="1"/>
    <xf numFmtId="10" fontId="0" fillId="9" borderId="0" xfId="2" applyNumberFormat="1" applyFont="1" applyFill="1"/>
    <xf numFmtId="0" fontId="3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43" fontId="6" fillId="0" borderId="0" xfId="4" applyNumberFormat="1" applyBorder="1" applyAlignment="1" applyProtection="1">
      <alignment horizontal="center"/>
    </xf>
    <xf numFmtId="43" fontId="7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4" builtinId="8"/>
    <cellStyle name="Normal" xfId="0" builtinId="0"/>
    <cellStyle name="Per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66FF"/>
      <color rgb="FF0000CC"/>
      <color rgb="FF0021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Sheet2!$C$4:$C$13</c:f>
              <c:numCache>
                <c:formatCode>0"A"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xVal>
          <c:yVal>
            <c:numRef>
              <c:f>Sheet2!$D$4:$D$13</c:f>
              <c:numCache>
                <c:formatCode>#,##0.0</c:formatCode>
                <c:ptCount val="10"/>
                <c:pt idx="0">
                  <c:v>44958.09</c:v>
                </c:pt>
                <c:pt idx="1">
                  <c:v>48709.82</c:v>
                </c:pt>
                <c:pt idx="2">
                  <c:v>50803.87</c:v>
                </c:pt>
                <c:pt idx="3">
                  <c:v>48058.080000000002</c:v>
                </c:pt>
                <c:pt idx="4">
                  <c:v>48724.85</c:v>
                </c:pt>
                <c:pt idx="5">
                  <c:v>52147.14</c:v>
                </c:pt>
                <c:pt idx="6">
                  <c:v>54918.48</c:v>
                </c:pt>
                <c:pt idx="7">
                  <c:v>81935.03</c:v>
                </c:pt>
                <c:pt idx="8">
                  <c:v>76241.83</c:v>
                </c:pt>
                <c:pt idx="9">
                  <c:v>86845.29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27-4805-8190-C411DCA50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767344"/>
        <c:axId val="224767736"/>
      </c:scatterChart>
      <c:valAx>
        <c:axId val="2247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67736"/>
        <c:crosses val="autoZero"/>
        <c:crossBetween val="midCat"/>
      </c:valAx>
      <c:valAx>
        <c:axId val="22476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6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2</xdr:row>
      <xdr:rowOff>23812</xdr:rowOff>
    </xdr:from>
    <xdr:to>
      <xdr:col>16</xdr:col>
      <xdr:colOff>0</xdr:colOff>
      <xdr:row>10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B101"/>
  <sheetViews>
    <sheetView showGridLines="0" workbookViewId="0">
      <pane ySplit="3" topLeftCell="A86" activePane="bottomLeft" state="frozen"/>
      <selection pane="bottomLeft" activeCell="C111" sqref="C110:C111"/>
    </sheetView>
  </sheetViews>
  <sheetFormatPr defaultRowHeight="14.25" x14ac:dyDescent="0.45"/>
  <cols>
    <col min="1" max="1" width="2.73046875" customWidth="1"/>
    <col min="2" max="2" width="26.265625" customWidth="1"/>
    <col min="3" max="9" width="10.86328125" bestFit="1" customWidth="1"/>
    <col min="10" max="10" width="12.265625" bestFit="1" customWidth="1"/>
    <col min="11" max="11" width="12.59765625" customWidth="1"/>
    <col min="12" max="12" width="12.265625" bestFit="1" customWidth="1"/>
    <col min="13" max="13" width="10.73046875" bestFit="1" customWidth="1"/>
  </cols>
  <sheetData>
    <row r="2" spans="1:13" x14ac:dyDescent="0.45">
      <c r="B2" s="86" t="str">
        <f>"historical financial statement - "&amp;datasheet!B1</f>
        <v>historical financial statement - PUNJAB NATIONAL BANK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x14ac:dyDescent="0.45">
      <c r="B3" s="7" t="s">
        <v>54</v>
      </c>
      <c r="C3" s="8">
        <f>datasheet!B16</f>
        <v>41729</v>
      </c>
      <c r="D3" s="8">
        <f>datasheet!C16</f>
        <v>42094</v>
      </c>
      <c r="E3" s="8">
        <f>datasheet!D16</f>
        <v>42460</v>
      </c>
      <c r="F3" s="8">
        <f>datasheet!E16</f>
        <v>42825</v>
      </c>
      <c r="G3" s="8">
        <f>datasheet!F16</f>
        <v>43190</v>
      </c>
      <c r="H3" s="8">
        <f>datasheet!G16</f>
        <v>43555</v>
      </c>
      <c r="I3" s="8">
        <f>datasheet!H16</f>
        <v>43921</v>
      </c>
      <c r="J3" s="8">
        <f>datasheet!I16</f>
        <v>44286</v>
      </c>
      <c r="K3" s="8">
        <f>datasheet!J16</f>
        <v>44651</v>
      </c>
      <c r="L3" s="8">
        <f>datasheet!K16</f>
        <v>45016</v>
      </c>
      <c r="M3" s="9" t="s">
        <v>55</v>
      </c>
    </row>
    <row r="5" spans="1:13" x14ac:dyDescent="0.45">
      <c r="A5" t="s">
        <v>57</v>
      </c>
      <c r="B5" s="12" t="s">
        <v>58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45">
      <c r="B6" t="s">
        <v>56</v>
      </c>
      <c r="C6" s="35">
        <f>IFERROR(datasheet!B17,0)</f>
        <v>44958.09</v>
      </c>
      <c r="D6" s="36">
        <f>IFERROR(datasheet!C17,0)</f>
        <v>48709.82</v>
      </c>
      <c r="E6" s="36">
        <f>IFERROR(datasheet!D17,0)</f>
        <v>50803.87</v>
      </c>
      <c r="F6" s="36">
        <f>IFERROR(datasheet!E17,0)</f>
        <v>48058.080000000002</v>
      </c>
      <c r="G6" s="36">
        <f>IFERROR(datasheet!F17,0)</f>
        <v>48724.85</v>
      </c>
      <c r="H6" s="36">
        <f>IFERROR(datasheet!G17,0)</f>
        <v>52147.14</v>
      </c>
      <c r="I6" s="36">
        <f>IFERROR(datasheet!H17,0)</f>
        <v>54918.48</v>
      </c>
      <c r="J6" s="36">
        <f>IFERROR(datasheet!I17,0)</f>
        <v>81935.03</v>
      </c>
      <c r="K6" s="36">
        <f>IFERROR(datasheet!J17,0)</f>
        <v>76241.83</v>
      </c>
      <c r="L6" s="36">
        <f>IFERROR(datasheet!K17,0)</f>
        <v>86845.29</v>
      </c>
      <c r="M6" s="36">
        <f>IFERROR(SUM(datasheet!H42:K42),0)</f>
        <v>104687.6</v>
      </c>
    </row>
    <row r="7" spans="1:13" x14ac:dyDescent="0.45">
      <c r="B7" s="11" t="s">
        <v>59</v>
      </c>
      <c r="C7" s="16" t="s">
        <v>60</v>
      </c>
      <c r="D7" s="15">
        <f>D6/C6-1</f>
        <v>8.3449497076054646E-2</v>
      </c>
      <c r="E7" s="15">
        <f t="shared" ref="E7:L7" si="0">E6/D6-1</f>
        <v>4.299030462440645E-2</v>
      </c>
      <c r="F7" s="15">
        <f t="shared" si="0"/>
        <v>-5.4046866902068724E-2</v>
      </c>
      <c r="G7" s="15">
        <f t="shared" si="0"/>
        <v>1.3874253819544879E-2</v>
      </c>
      <c r="H7" s="15">
        <f t="shared" si="0"/>
        <v>7.0237055629724932E-2</v>
      </c>
      <c r="I7" s="15">
        <f t="shared" si="0"/>
        <v>5.3144621162349637E-2</v>
      </c>
      <c r="J7" s="15">
        <f t="shared" si="0"/>
        <v>0.49193914325378252</v>
      </c>
      <c r="K7" s="15">
        <f t="shared" si="0"/>
        <v>-6.9484321907247737E-2</v>
      </c>
      <c r="L7" s="15">
        <f t="shared" si="0"/>
        <v>0.13907667221523923</v>
      </c>
      <c r="M7" s="15">
        <f>M6/L6-1</f>
        <v>0.20544936864163854</v>
      </c>
    </row>
    <row r="9" spans="1:13" x14ac:dyDescent="0.45">
      <c r="B9" t="s">
        <v>61</v>
      </c>
      <c r="C9" s="36">
        <f>IFERROR(SUM(datasheet!B18,datasheet!B20,datasheet!B21,datasheet!B22)-1*datasheet!B19,0)</f>
        <v>6772.6900000000005</v>
      </c>
      <c r="D9" s="36">
        <f>IFERROR(SUM(datasheet!C18,datasheet!C20,datasheet!C21,datasheet!C22)-1*datasheet!C19,0)</f>
        <v>7670.52</v>
      </c>
      <c r="E9" s="36">
        <f>IFERROR(SUM(datasheet!D18,datasheet!D20,datasheet!D21,datasheet!D22)-1*datasheet!D19,0)</f>
        <v>6789.18</v>
      </c>
      <c r="F9" s="36">
        <f>IFERROR(SUM(datasheet!E18,datasheet!E20,datasheet!E21,datasheet!E22)-1*datasheet!E19,0)</f>
        <v>5720.84</v>
      </c>
      <c r="G9" s="36">
        <f>IFERROR(SUM(datasheet!F18,datasheet!F20,datasheet!F21,datasheet!F22)-1*datasheet!F19,0)</f>
        <v>9510.5399999999991</v>
      </c>
      <c r="H9" s="36">
        <f>IFERROR(SUM(datasheet!G18,datasheet!G20,datasheet!G21,datasheet!G22)-1*datasheet!G19,0)</f>
        <v>7335.8399999999992</v>
      </c>
      <c r="I9" s="36">
        <f>IFERROR(SUM(datasheet!H18,datasheet!H20,datasheet!H21,datasheet!H22)-1*datasheet!H19,0)</f>
        <v>7394.02</v>
      </c>
      <c r="J9" s="36">
        <f>IFERROR(SUM(datasheet!I18,datasheet!I20,datasheet!I21,datasheet!I22)-1*datasheet!I19,0)</f>
        <v>12787.92</v>
      </c>
      <c r="K9" s="36">
        <f>IFERROR(SUM(datasheet!J18,datasheet!J20,datasheet!J21,datasheet!J22)-1*datasheet!J19,0)</f>
        <v>12537.02</v>
      </c>
      <c r="L9" s="36">
        <f>IFERROR(SUM(datasheet!K18,datasheet!K20,datasheet!K21,datasheet!K22)-1*datasheet!K19,0)</f>
        <v>15732.39</v>
      </c>
      <c r="M9" s="36">
        <f>IFERROR(SUM(datasheet!H43:K43),0)</f>
        <v>41510.449999999997</v>
      </c>
    </row>
    <row r="10" spans="1:13" x14ac:dyDescent="0.45">
      <c r="B10" s="11" t="s">
        <v>62</v>
      </c>
      <c r="C10" s="14">
        <f>C9/C6</f>
        <v>0.15064452248749893</v>
      </c>
      <c r="D10" s="14">
        <f t="shared" ref="D10:M10" si="1">D9/D6</f>
        <v>0.15747379070585768</v>
      </c>
      <c r="E10" s="14">
        <f t="shared" si="1"/>
        <v>0.13363509512169053</v>
      </c>
      <c r="F10" s="14">
        <f t="shared" si="1"/>
        <v>0.11904012811165157</v>
      </c>
      <c r="G10" s="14">
        <f t="shared" si="1"/>
        <v>0.19518869734847824</v>
      </c>
      <c r="H10" s="14">
        <f t="shared" si="1"/>
        <v>0.14067578778049955</v>
      </c>
      <c r="I10" s="14">
        <f t="shared" si="1"/>
        <v>0.13463628272304695</v>
      </c>
      <c r="J10" s="14">
        <f t="shared" si="1"/>
        <v>0.15607390392119219</v>
      </c>
      <c r="K10" s="14">
        <f t="shared" si="1"/>
        <v>0.164437553505733</v>
      </c>
      <c r="L10" s="14">
        <f t="shared" si="1"/>
        <v>0.18115421112647562</v>
      </c>
      <c r="M10" s="14">
        <f t="shared" si="1"/>
        <v>0.3965173525804393</v>
      </c>
    </row>
    <row r="12" spans="1:13" x14ac:dyDescent="0.45">
      <c r="B12" t="s">
        <v>152</v>
      </c>
      <c r="C12" s="27">
        <f>C6-C9</f>
        <v>38185.399999999994</v>
      </c>
      <c r="D12" s="27">
        <f t="shared" ref="D12:M12" si="2">D6-D9</f>
        <v>41039.300000000003</v>
      </c>
      <c r="E12" s="27">
        <f t="shared" si="2"/>
        <v>44014.69</v>
      </c>
      <c r="F12" s="27">
        <f t="shared" si="2"/>
        <v>42337.240000000005</v>
      </c>
      <c r="G12" s="27">
        <f t="shared" si="2"/>
        <v>39214.31</v>
      </c>
      <c r="H12" s="27">
        <f t="shared" si="2"/>
        <v>44811.3</v>
      </c>
      <c r="I12" s="27">
        <f t="shared" si="2"/>
        <v>47524.460000000006</v>
      </c>
      <c r="J12" s="27">
        <f t="shared" si="2"/>
        <v>69147.11</v>
      </c>
      <c r="K12" s="27">
        <f t="shared" si="2"/>
        <v>63704.81</v>
      </c>
      <c r="L12" s="27">
        <f t="shared" si="2"/>
        <v>71112.899999999994</v>
      </c>
      <c r="M12" s="27">
        <f t="shared" si="2"/>
        <v>63177.150000000009</v>
      </c>
    </row>
    <row r="13" spans="1:13" x14ac:dyDescent="0.45">
      <c r="B13" s="11" t="s">
        <v>153</v>
      </c>
      <c r="C13" s="28">
        <f>IFERROR(C12/C6,0)</f>
        <v>0.84935547751250107</v>
      </c>
      <c r="D13" s="28">
        <f t="shared" ref="D13:M13" si="3">IFERROR(D12/D6,0)</f>
        <v>0.84252620929414235</v>
      </c>
      <c r="E13" s="28">
        <f t="shared" si="3"/>
        <v>0.86636490487830942</v>
      </c>
      <c r="F13" s="28">
        <f t="shared" si="3"/>
        <v>0.88095987188834846</v>
      </c>
      <c r="G13" s="28">
        <f t="shared" si="3"/>
        <v>0.80481130265152179</v>
      </c>
      <c r="H13" s="28">
        <f t="shared" si="3"/>
        <v>0.85932421221950051</v>
      </c>
      <c r="I13" s="28">
        <f t="shared" si="3"/>
        <v>0.86536371727695316</v>
      </c>
      <c r="J13" s="28">
        <f t="shared" si="3"/>
        <v>0.84392609607880786</v>
      </c>
      <c r="K13" s="28">
        <f t="shared" si="3"/>
        <v>0.83556244649426692</v>
      </c>
      <c r="L13" s="28">
        <f t="shared" si="3"/>
        <v>0.81884578887352444</v>
      </c>
      <c r="M13" s="28">
        <f t="shared" si="3"/>
        <v>0.6034826474195607</v>
      </c>
    </row>
    <row r="15" spans="1:13" x14ac:dyDescent="0.45">
      <c r="B15" t="s">
        <v>64</v>
      </c>
      <c r="C15" s="36">
        <f>IFERROR(SUM(datasheet!B23,datasheet!B24),0)</f>
        <v>9339.4</v>
      </c>
      <c r="D15" s="36">
        <f>IFERROR(SUM(datasheet!C23,datasheet!C24),0)</f>
        <v>11089.77</v>
      </c>
      <c r="E15" s="36">
        <f>IFERROR(SUM(datasheet!D23,datasheet!D24),0)</f>
        <v>20663.7</v>
      </c>
      <c r="F15" s="36">
        <f>IFERROR(SUM(datasheet!E23,datasheet!E24),0)</f>
        <v>16811.97</v>
      </c>
      <c r="G15" s="36">
        <f>IFERROR(SUM(datasheet!F23,datasheet!F24),0)</f>
        <v>33834.93</v>
      </c>
      <c r="H15" s="36">
        <f>IFERROR(SUM(datasheet!G23,datasheet!G24),0)</f>
        <v>32308.81</v>
      </c>
      <c r="I15" s="36">
        <f>IFERROR(SUM(datasheet!H23,datasheet!H24),0)</f>
        <v>18473.2</v>
      </c>
      <c r="J15" s="36">
        <f>IFERROR(SUM(datasheet!I23,datasheet!I24),0)</f>
        <v>25812.85</v>
      </c>
      <c r="K15" s="36">
        <f>IFERROR(SUM(datasheet!J23,datasheet!J24),0)</f>
        <v>23488.760000000002</v>
      </c>
      <c r="L15" s="36">
        <f>IFERROR(SUM(datasheet!K23,datasheet!K24),0)</f>
        <v>25769.21</v>
      </c>
      <c r="M15" s="36">
        <f>IFERROR(SUM(datasheet!L23,datasheet!L24),0)</f>
        <v>0</v>
      </c>
    </row>
    <row r="16" spans="1:13" x14ac:dyDescent="0.45">
      <c r="B16" s="11" t="s">
        <v>65</v>
      </c>
      <c r="C16" s="15">
        <f>C15/C6</f>
        <v>0.2077356933980069</v>
      </c>
      <c r="D16" s="15">
        <f t="shared" ref="D16:M16" si="4">D15/D6</f>
        <v>0.22767010840935156</v>
      </c>
      <c r="E16" s="15">
        <f t="shared" si="4"/>
        <v>0.40673476252891755</v>
      </c>
      <c r="F16" s="15">
        <f t="shared" si="4"/>
        <v>0.34982608543662169</v>
      </c>
      <c r="G16" s="15">
        <f t="shared" si="4"/>
        <v>0.69440808950668909</v>
      </c>
      <c r="H16" s="15">
        <f t="shared" si="4"/>
        <v>0.61957012407583623</v>
      </c>
      <c r="I16" s="15">
        <f t="shared" si="4"/>
        <v>0.33637493244532624</v>
      </c>
      <c r="J16" s="15">
        <f t="shared" si="4"/>
        <v>0.31504046559816967</v>
      </c>
      <c r="K16" s="15">
        <f t="shared" si="4"/>
        <v>0.30808232173860467</v>
      </c>
      <c r="L16" s="15">
        <f t="shared" si="4"/>
        <v>0.29672547584330711</v>
      </c>
      <c r="M16" s="15">
        <f t="shared" si="4"/>
        <v>0</v>
      </c>
    </row>
    <row r="17" spans="2:13" x14ac:dyDescent="0.45">
      <c r="B17" s="1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x14ac:dyDescent="0.45">
      <c r="B18" t="s">
        <v>154</v>
      </c>
      <c r="C18" s="36">
        <f>IFERROR(datasheet!B25,0)</f>
        <v>4710.34</v>
      </c>
      <c r="D18" s="36">
        <f>IFERROR(datasheet!C25,0)</f>
        <v>6174.6</v>
      </c>
      <c r="E18" s="36">
        <f>IFERROR(datasheet!D25,0)</f>
        <v>6099.63</v>
      </c>
      <c r="F18" s="36">
        <f>IFERROR(datasheet!E25,0)</f>
        <v>9167.58</v>
      </c>
      <c r="G18" s="36">
        <f>IFERROR(datasheet!F25,0)</f>
        <v>8883.34</v>
      </c>
      <c r="H18" s="36">
        <f>IFERROR(datasheet!G25,0)</f>
        <v>7367.38</v>
      </c>
      <c r="I18" s="36">
        <f>IFERROR(datasheet!H25,0)</f>
        <v>9387.65</v>
      </c>
      <c r="J18" s="36">
        <f>IFERROR(datasheet!I25,0)</f>
        <v>12777.07</v>
      </c>
      <c r="K18" s="36">
        <f>IFERROR(datasheet!J25,0)</f>
        <v>12329.29</v>
      </c>
      <c r="L18" s="36">
        <f>IFERROR(datasheet!K25,0)</f>
        <v>12529.03</v>
      </c>
      <c r="M18" s="36">
        <f>IFERROR(SUM(datasheet!H44:K44),0)</f>
        <v>12862.17</v>
      </c>
    </row>
    <row r="19" spans="2:13" x14ac:dyDescent="0.45">
      <c r="B19" s="11"/>
    </row>
    <row r="20" spans="2:13" x14ac:dyDescent="0.45">
      <c r="B20" t="s">
        <v>66</v>
      </c>
      <c r="C20" s="27">
        <f t="shared" ref="C20:M20" si="5">C12+C18-C15</f>
        <v>33556.339999999989</v>
      </c>
      <c r="D20" s="27">
        <f t="shared" si="5"/>
        <v>36124.130000000005</v>
      </c>
      <c r="E20" s="27">
        <f t="shared" si="5"/>
        <v>29450.62</v>
      </c>
      <c r="F20" s="27">
        <f t="shared" si="5"/>
        <v>34692.850000000006</v>
      </c>
      <c r="G20" s="27">
        <f t="shared" si="5"/>
        <v>14262.719999999994</v>
      </c>
      <c r="H20" s="27">
        <f t="shared" si="5"/>
        <v>19869.87</v>
      </c>
      <c r="I20" s="27">
        <f t="shared" si="5"/>
        <v>38438.910000000003</v>
      </c>
      <c r="J20" s="27">
        <f t="shared" si="5"/>
        <v>56111.329999999994</v>
      </c>
      <c r="K20" s="27">
        <f t="shared" si="5"/>
        <v>52545.340000000004</v>
      </c>
      <c r="L20" s="27">
        <f t="shared" si="5"/>
        <v>57872.719999999994</v>
      </c>
      <c r="M20" s="27">
        <f t="shared" si="5"/>
        <v>76039.320000000007</v>
      </c>
    </row>
    <row r="21" spans="2:13" x14ac:dyDescent="0.45">
      <c r="B21" s="11" t="s">
        <v>67</v>
      </c>
      <c r="C21" s="29">
        <f>C20/C6</f>
        <v>0.74639158380616244</v>
      </c>
      <c r="D21" s="29">
        <f t="shared" ref="D21:M21" si="6">D20/D6</f>
        <v>0.74161904108863475</v>
      </c>
      <c r="E21" s="29">
        <f t="shared" si="6"/>
        <v>0.57969245256316093</v>
      </c>
      <c r="F21" s="29">
        <f t="shared" si="6"/>
        <v>0.72189421633157225</v>
      </c>
      <c r="G21" s="29">
        <f t="shared" si="6"/>
        <v>0.29271962869049356</v>
      </c>
      <c r="H21" s="29">
        <f t="shared" si="6"/>
        <v>0.38103470295782277</v>
      </c>
      <c r="I21" s="29">
        <f t="shared" si="6"/>
        <v>0.69992669134324181</v>
      </c>
      <c r="J21" s="29">
        <f t="shared" si="6"/>
        <v>0.68482711240845329</v>
      </c>
      <c r="K21" s="29">
        <f t="shared" si="6"/>
        <v>0.68919305845623069</v>
      </c>
      <c r="L21" s="29">
        <f t="shared" si="6"/>
        <v>0.6663887011028462</v>
      </c>
      <c r="M21" s="29">
        <f t="shared" si="6"/>
        <v>0.72634504946144529</v>
      </c>
    </row>
    <row r="23" spans="2:13" x14ac:dyDescent="0.45">
      <c r="B23" t="s">
        <v>68</v>
      </c>
      <c r="C23" s="35">
        <f>IFERROR(datasheet!B27,0)</f>
        <v>28220.27</v>
      </c>
      <c r="D23" s="35">
        <f>IFERROR(datasheet!C27,0)</f>
        <v>31343.05</v>
      </c>
      <c r="E23" s="35">
        <f>IFERROR(datasheet!D27,0)</f>
        <v>34330.589999999997</v>
      </c>
      <c r="F23" s="35">
        <f>IFERROR(datasheet!E27,0)</f>
        <v>32722.31</v>
      </c>
      <c r="G23" s="35">
        <f>IFERROR(datasheet!F27,0)</f>
        <v>33530.39</v>
      </c>
      <c r="H23" s="35">
        <f>IFERROR(datasheet!G27,0)</f>
        <v>34655.660000000003</v>
      </c>
      <c r="I23" s="35">
        <f>IFERROR(datasheet!H27,0)</f>
        <v>36997.47</v>
      </c>
      <c r="J23" s="35">
        <f>IFERROR(datasheet!I27,0)</f>
        <v>50804.58</v>
      </c>
      <c r="K23" s="35">
        <f>IFERROR(datasheet!J27,0)</f>
        <v>46823.08</v>
      </c>
      <c r="L23" s="35">
        <f>IFERROR(datasheet!K27,0)</f>
        <v>51816.99</v>
      </c>
      <c r="M23" s="35">
        <f>IFERROR(SUM(datasheet!H46:K46),0)</f>
        <v>65017.790000000008</v>
      </c>
    </row>
    <row r="24" spans="2:13" x14ac:dyDescent="0.45">
      <c r="B24" s="11" t="s">
        <v>69</v>
      </c>
      <c r="C24" s="15">
        <f t="shared" ref="C24:M24" si="7">C23/C6</f>
        <v>0.62770171063761837</v>
      </c>
      <c r="D24" s="15">
        <f t="shared" si="7"/>
        <v>0.64346470588476823</v>
      </c>
      <c r="E24" s="15">
        <f t="shared" si="7"/>
        <v>0.67574753655577802</v>
      </c>
      <c r="F24" s="15">
        <f t="shared" si="7"/>
        <v>0.68089091366113674</v>
      </c>
      <c r="G24" s="15">
        <f t="shared" si="7"/>
        <v>0.68815789068616939</v>
      </c>
      <c r="H24" s="15">
        <f t="shared" si="7"/>
        <v>0.66457450974300802</v>
      </c>
      <c r="I24" s="15">
        <f t="shared" si="7"/>
        <v>0.67367978866130307</v>
      </c>
      <c r="J24" s="15">
        <f t="shared" si="7"/>
        <v>0.62005933237590816</v>
      </c>
      <c r="K24" s="15">
        <f t="shared" si="7"/>
        <v>0.61413898380980625</v>
      </c>
      <c r="L24" s="15">
        <f t="shared" si="7"/>
        <v>0.59665860981061847</v>
      </c>
      <c r="M24" s="15">
        <f t="shared" si="7"/>
        <v>0.621064863460429</v>
      </c>
    </row>
    <row r="26" spans="2:13" x14ac:dyDescent="0.45">
      <c r="B26" t="s">
        <v>70</v>
      </c>
      <c r="C26" s="35">
        <f>IFERROR(datasheet!B26,0)</f>
        <v>366.62</v>
      </c>
      <c r="D26" s="35">
        <f>IFERROR(datasheet!C26,0)</f>
        <v>384</v>
      </c>
      <c r="E26" s="35">
        <f>IFERROR(datasheet!D26,0)</f>
        <v>413.15</v>
      </c>
      <c r="F26" s="35">
        <f>IFERROR(datasheet!E26,0)</f>
        <v>430.44</v>
      </c>
      <c r="G26" s="35">
        <f>IFERROR(datasheet!F26,0)</f>
        <v>581.03</v>
      </c>
      <c r="H26" s="35">
        <f>IFERROR(datasheet!G26,0)</f>
        <v>584.01</v>
      </c>
      <c r="I26" s="35">
        <f>IFERROR(datasheet!H26,0)</f>
        <v>614.44000000000005</v>
      </c>
      <c r="J26" s="35">
        <f>IFERROR(datasheet!I26,0)</f>
        <v>982.23</v>
      </c>
      <c r="K26" s="35">
        <f>IFERROR(datasheet!J26,0)</f>
        <v>896.17</v>
      </c>
      <c r="L26" s="35">
        <f>IFERROR(datasheet!K26,0)</f>
        <v>904.87</v>
      </c>
      <c r="M26" s="35">
        <f>IFERROR(SUM(datasheet!H26:K26),0)</f>
        <v>3397.71</v>
      </c>
    </row>
    <row r="27" spans="2:13" x14ac:dyDescent="0.45">
      <c r="B27" s="11" t="s">
        <v>69</v>
      </c>
      <c r="C27" s="15">
        <f t="shared" ref="C27:M27" si="8">C26/C6</f>
        <v>8.1547058605025268E-3</v>
      </c>
      <c r="D27" s="15">
        <f t="shared" si="8"/>
        <v>7.8834206326362944E-3</v>
      </c>
      <c r="E27" s="15">
        <f t="shared" si="8"/>
        <v>8.1322544916361678E-3</v>
      </c>
      <c r="F27" s="15">
        <f t="shared" si="8"/>
        <v>8.9566624384494753E-3</v>
      </c>
      <c r="G27" s="15">
        <f t="shared" si="8"/>
        <v>1.1924716032989327E-2</v>
      </c>
      <c r="H27" s="15">
        <f t="shared" si="8"/>
        <v>1.1199271906378759E-2</v>
      </c>
      <c r="I27" s="15">
        <f t="shared" si="8"/>
        <v>1.1188219338918339E-2</v>
      </c>
      <c r="J27" s="15">
        <f t="shared" si="8"/>
        <v>1.1987912862178729E-2</v>
      </c>
      <c r="K27" s="15">
        <f t="shared" si="8"/>
        <v>1.1754308625593063E-2</v>
      </c>
      <c r="L27" s="15">
        <f t="shared" si="8"/>
        <v>1.0419333046155986E-2</v>
      </c>
      <c r="M27" s="15">
        <f t="shared" si="8"/>
        <v>3.2455706310967107E-2</v>
      </c>
    </row>
    <row r="29" spans="2:13" x14ac:dyDescent="0.45">
      <c r="B29" t="s">
        <v>71</v>
      </c>
      <c r="C29" s="30">
        <f t="shared" ref="C29:M29" si="9">C20-C23-C26</f>
        <v>4969.4499999999889</v>
      </c>
      <c r="D29" s="31">
        <f t="shared" si="9"/>
        <v>4397.0800000000054</v>
      </c>
      <c r="E29" s="31">
        <f t="shared" si="9"/>
        <v>-5293.1199999999972</v>
      </c>
      <c r="F29" s="31">
        <f t="shared" si="9"/>
        <v>1540.1000000000045</v>
      </c>
      <c r="G29" s="31">
        <f t="shared" si="9"/>
        <v>-19848.700000000004</v>
      </c>
      <c r="H29" s="31">
        <f t="shared" si="9"/>
        <v>-15369.800000000005</v>
      </c>
      <c r="I29" s="31">
        <f t="shared" si="9"/>
        <v>827.00000000000227</v>
      </c>
      <c r="J29" s="31">
        <f t="shared" si="9"/>
        <v>4324.5199999999932</v>
      </c>
      <c r="K29" s="31">
        <f t="shared" si="9"/>
        <v>4826.090000000002</v>
      </c>
      <c r="L29" s="31">
        <f t="shared" si="9"/>
        <v>5150.859999999996</v>
      </c>
      <c r="M29" s="31">
        <f t="shared" si="9"/>
        <v>7623.8199999999988</v>
      </c>
    </row>
    <row r="30" spans="2:13" x14ac:dyDescent="0.45">
      <c r="B30" s="11" t="s">
        <v>72</v>
      </c>
      <c r="C30" s="29">
        <f t="shared" ref="C30:M30" si="10">C29/C6</f>
        <v>0.11053516730804154</v>
      </c>
      <c r="D30" s="29">
        <f t="shared" si="10"/>
        <v>9.0270914571230307E-2</v>
      </c>
      <c r="E30" s="29">
        <f t="shared" si="10"/>
        <v>-0.10418733848425321</v>
      </c>
      <c r="F30" s="29">
        <f t="shared" si="10"/>
        <v>3.2046640231986057E-2</v>
      </c>
      <c r="G30" s="29">
        <f t="shared" si="10"/>
        <v>-0.40736297802866517</v>
      </c>
      <c r="H30" s="29">
        <f t="shared" si="10"/>
        <v>-0.29473907869156402</v>
      </c>
      <c r="I30" s="29">
        <f t="shared" si="10"/>
        <v>1.5058683343020459E-2</v>
      </c>
      <c r="J30" s="29">
        <f t="shared" si="10"/>
        <v>5.2779867170366486E-2</v>
      </c>
      <c r="K30" s="29">
        <f t="shared" si="10"/>
        <v>6.3299766020831372E-2</v>
      </c>
      <c r="L30" s="29">
        <f t="shared" si="10"/>
        <v>5.9310758246071793E-2</v>
      </c>
      <c r="M30" s="29">
        <f t="shared" si="10"/>
        <v>7.2824479690049237E-2</v>
      </c>
    </row>
    <row r="32" spans="2:13" x14ac:dyDescent="0.45">
      <c r="B32" t="s">
        <v>73</v>
      </c>
      <c r="C32" s="20">
        <f>IFERROR(datasheet!B29,0)</f>
        <v>1434.84</v>
      </c>
      <c r="D32" s="20">
        <f>IFERROR(datasheet!C29,0)</f>
        <v>1055.67</v>
      </c>
      <c r="E32" s="20">
        <f>IFERROR(datasheet!D29,0)</f>
        <v>-1629.85</v>
      </c>
      <c r="F32" s="20">
        <f>IFERROR(datasheet!E29,0)</f>
        <v>638.97</v>
      </c>
      <c r="G32" s="20">
        <f>IFERROR(datasheet!F29,0)</f>
        <v>-7264.36</v>
      </c>
      <c r="H32" s="20">
        <f>IFERROR(datasheet!G29,0)</f>
        <v>-5343.39</v>
      </c>
      <c r="I32" s="20">
        <f>IFERROR(datasheet!H29,0)</f>
        <v>463.67</v>
      </c>
      <c r="J32" s="20">
        <f>IFERROR(datasheet!I29,0)</f>
        <v>1629.93</v>
      </c>
      <c r="K32" s="20">
        <f>IFERROR(datasheet!J29,0)</f>
        <v>918.5</v>
      </c>
      <c r="L32" s="20">
        <f>IFERROR(datasheet!K29,0)</f>
        <v>1792.08</v>
      </c>
      <c r="M32" s="20">
        <f>IFERROR(SUM(datasheet!H48:K48),0)</f>
        <v>4052.39</v>
      </c>
    </row>
    <row r="33" spans="1:1022 1034:2042 2054:3062 3074:4094 4106:5114 5126:6134 6146:7166 7178:8186 8198:9206 9218:10238 10250:11258 11270:12278 12290:13310 13322:14330 14342:15350 15362:16382" s="15" customFormat="1" x14ac:dyDescent="0.45">
      <c r="A33"/>
      <c r="B33" s="11" t="s">
        <v>74</v>
      </c>
      <c r="C33" s="15">
        <f>C32/C29</f>
        <v>0.28873215345762671</v>
      </c>
      <c r="D33" s="15">
        <f t="shared" ref="D33:M33" si="11">D32/D29</f>
        <v>0.24008432869085819</v>
      </c>
      <c r="E33" s="15">
        <f t="shared" si="11"/>
        <v>0.3079185811015055</v>
      </c>
      <c r="F33" s="15">
        <f t="shared" si="11"/>
        <v>0.41488864359457062</v>
      </c>
      <c r="G33" s="15">
        <f t="shared" si="11"/>
        <v>0.36598668930458911</v>
      </c>
      <c r="H33" s="15">
        <f t="shared" si="11"/>
        <v>0.3476551419016512</v>
      </c>
      <c r="I33" s="15">
        <f t="shared" si="11"/>
        <v>0.56066505441354142</v>
      </c>
      <c r="J33" s="15">
        <f t="shared" si="11"/>
        <v>0.37690425758234503</v>
      </c>
      <c r="K33" s="15">
        <f t="shared" si="11"/>
        <v>0.19031969979838745</v>
      </c>
      <c r="L33" s="15">
        <f t="shared" si="11"/>
        <v>0.34791860000077685</v>
      </c>
      <c r="M33" s="15">
        <f t="shared" si="11"/>
        <v>0.53154324210172854</v>
      </c>
      <c r="N33" s="11"/>
      <c r="Z33" s="11"/>
      <c r="AL33" s="11"/>
      <c r="AX33" s="11"/>
      <c r="BJ33" s="11"/>
      <c r="BV33" s="11"/>
      <c r="CH33" s="11"/>
      <c r="CT33" s="11"/>
      <c r="DF33" s="11"/>
      <c r="DR33" s="11"/>
      <c r="ED33" s="11"/>
      <c r="EP33" s="11"/>
      <c r="FB33" s="11"/>
      <c r="FN33" s="11"/>
      <c r="FZ33" s="11"/>
      <c r="GL33" s="11"/>
      <c r="GX33" s="11"/>
      <c r="HJ33" s="11"/>
      <c r="HV33" s="11"/>
      <c r="IH33" s="11"/>
      <c r="IT33" s="11"/>
      <c r="JF33" s="11"/>
      <c r="JR33" s="11"/>
      <c r="KD33" s="11"/>
      <c r="KP33" s="11"/>
      <c r="LB33" s="11"/>
      <c r="LN33" s="11"/>
      <c r="LZ33" s="11"/>
      <c r="ML33" s="11"/>
      <c r="MX33" s="11"/>
      <c r="NJ33" s="11"/>
      <c r="NV33" s="11"/>
      <c r="OH33" s="11"/>
      <c r="OT33" s="11"/>
      <c r="PF33" s="11"/>
      <c r="PR33" s="11"/>
      <c r="QD33" s="11"/>
      <c r="QP33" s="11"/>
      <c r="RB33" s="11"/>
      <c r="RN33" s="11"/>
      <c r="RZ33" s="11"/>
      <c r="SL33" s="11"/>
      <c r="SX33" s="11"/>
      <c r="TJ33" s="11"/>
      <c r="TV33" s="11"/>
      <c r="UH33" s="11"/>
      <c r="UT33" s="11"/>
      <c r="VF33" s="11"/>
      <c r="VR33" s="11"/>
      <c r="WD33" s="11"/>
      <c r="WP33" s="11"/>
      <c r="XB33" s="11"/>
      <c r="XN33" s="11"/>
      <c r="XZ33" s="11"/>
      <c r="YL33" s="11"/>
      <c r="YX33" s="11"/>
      <c r="ZJ33" s="11"/>
      <c r="ZV33" s="11"/>
      <c r="AAH33" s="11"/>
      <c r="AAT33" s="11"/>
      <c r="ABF33" s="11"/>
      <c r="ABR33" s="11"/>
      <c r="ACD33" s="11"/>
      <c r="ACP33" s="11"/>
      <c r="ADB33" s="11"/>
      <c r="ADN33" s="11"/>
      <c r="ADZ33" s="11"/>
      <c r="AEL33" s="11"/>
      <c r="AEX33" s="11"/>
      <c r="AFJ33" s="11"/>
      <c r="AFV33" s="11"/>
      <c r="AGH33" s="11"/>
      <c r="AGT33" s="11"/>
      <c r="AHF33" s="11"/>
      <c r="AHR33" s="11"/>
      <c r="AID33" s="11"/>
      <c r="AIP33" s="11"/>
      <c r="AJB33" s="11"/>
      <c r="AJN33" s="11"/>
      <c r="AJZ33" s="11"/>
      <c r="AKL33" s="11"/>
      <c r="AKX33" s="11"/>
      <c r="ALJ33" s="11"/>
      <c r="ALV33" s="11"/>
      <c r="AMH33" s="11"/>
      <c r="AMT33" s="11"/>
      <c r="ANF33" s="11"/>
      <c r="ANR33" s="11"/>
      <c r="AOD33" s="11"/>
      <c r="AOP33" s="11"/>
      <c r="APB33" s="11"/>
      <c r="APN33" s="11"/>
      <c r="APZ33" s="11"/>
      <c r="AQL33" s="11"/>
      <c r="AQX33" s="11"/>
      <c r="ARJ33" s="11"/>
      <c r="ARV33" s="11"/>
      <c r="ASH33" s="11"/>
      <c r="AST33" s="11"/>
      <c r="ATF33" s="11"/>
      <c r="ATR33" s="11"/>
      <c r="AUD33" s="11"/>
      <c r="AUP33" s="11"/>
      <c r="AVB33" s="11"/>
      <c r="AVN33" s="11"/>
      <c r="AVZ33" s="11"/>
      <c r="AWL33" s="11"/>
      <c r="AWX33" s="11"/>
      <c r="AXJ33" s="11"/>
      <c r="AXV33" s="11"/>
      <c r="AYH33" s="11"/>
      <c r="AYT33" s="11"/>
      <c r="AZF33" s="11"/>
      <c r="AZR33" s="11"/>
      <c r="BAD33" s="11"/>
      <c r="BAP33" s="11"/>
      <c r="BBB33" s="11"/>
      <c r="BBN33" s="11"/>
      <c r="BBZ33" s="11"/>
      <c r="BCL33" s="11"/>
      <c r="BCX33" s="11"/>
      <c r="BDJ33" s="11"/>
      <c r="BDV33" s="11"/>
      <c r="BEH33" s="11"/>
      <c r="BET33" s="11"/>
      <c r="BFF33" s="11"/>
      <c r="BFR33" s="11"/>
      <c r="BGD33" s="11"/>
      <c r="BGP33" s="11"/>
      <c r="BHB33" s="11"/>
      <c r="BHN33" s="11"/>
      <c r="BHZ33" s="11"/>
      <c r="BIL33" s="11"/>
      <c r="BIX33" s="11"/>
      <c r="BJJ33" s="11"/>
      <c r="BJV33" s="11"/>
      <c r="BKH33" s="11"/>
      <c r="BKT33" s="11"/>
      <c r="BLF33" s="11"/>
      <c r="BLR33" s="11"/>
      <c r="BMD33" s="11"/>
      <c r="BMP33" s="11"/>
      <c r="BNB33" s="11"/>
      <c r="BNN33" s="11"/>
      <c r="BNZ33" s="11"/>
      <c r="BOL33" s="11"/>
      <c r="BOX33" s="11"/>
      <c r="BPJ33" s="11"/>
      <c r="BPV33" s="11"/>
      <c r="BQH33" s="11"/>
      <c r="BQT33" s="11"/>
      <c r="BRF33" s="11"/>
      <c r="BRR33" s="11"/>
      <c r="BSD33" s="11"/>
      <c r="BSP33" s="11"/>
      <c r="BTB33" s="11"/>
      <c r="BTN33" s="11"/>
      <c r="BTZ33" s="11"/>
      <c r="BUL33" s="11"/>
      <c r="BUX33" s="11"/>
      <c r="BVJ33" s="11"/>
      <c r="BVV33" s="11"/>
      <c r="BWH33" s="11"/>
      <c r="BWT33" s="11"/>
      <c r="BXF33" s="11"/>
      <c r="BXR33" s="11"/>
      <c r="BYD33" s="11"/>
      <c r="BYP33" s="11"/>
      <c r="BZB33" s="11"/>
      <c r="BZN33" s="11"/>
      <c r="BZZ33" s="11"/>
      <c r="CAL33" s="11"/>
      <c r="CAX33" s="11"/>
      <c r="CBJ33" s="11"/>
      <c r="CBV33" s="11"/>
      <c r="CCH33" s="11"/>
      <c r="CCT33" s="11"/>
      <c r="CDF33" s="11"/>
      <c r="CDR33" s="11"/>
      <c r="CED33" s="11"/>
      <c r="CEP33" s="11"/>
      <c r="CFB33" s="11"/>
      <c r="CFN33" s="11"/>
      <c r="CFZ33" s="11"/>
      <c r="CGL33" s="11"/>
      <c r="CGX33" s="11"/>
      <c r="CHJ33" s="11"/>
      <c r="CHV33" s="11"/>
      <c r="CIH33" s="11"/>
      <c r="CIT33" s="11"/>
      <c r="CJF33" s="11"/>
      <c r="CJR33" s="11"/>
      <c r="CKD33" s="11"/>
      <c r="CKP33" s="11"/>
      <c r="CLB33" s="11"/>
      <c r="CLN33" s="11"/>
      <c r="CLZ33" s="11"/>
      <c r="CML33" s="11"/>
      <c r="CMX33" s="11"/>
      <c r="CNJ33" s="11"/>
      <c r="CNV33" s="11"/>
      <c r="COH33" s="11"/>
      <c r="COT33" s="11"/>
      <c r="CPF33" s="11"/>
      <c r="CPR33" s="11"/>
      <c r="CQD33" s="11"/>
      <c r="CQP33" s="11"/>
      <c r="CRB33" s="11"/>
      <c r="CRN33" s="11"/>
      <c r="CRZ33" s="11"/>
      <c r="CSL33" s="11"/>
      <c r="CSX33" s="11"/>
      <c r="CTJ33" s="11"/>
      <c r="CTV33" s="11"/>
      <c r="CUH33" s="11"/>
      <c r="CUT33" s="11"/>
      <c r="CVF33" s="11"/>
      <c r="CVR33" s="11"/>
      <c r="CWD33" s="11"/>
      <c r="CWP33" s="11"/>
      <c r="CXB33" s="11"/>
      <c r="CXN33" s="11"/>
      <c r="CXZ33" s="11"/>
      <c r="CYL33" s="11"/>
      <c r="CYX33" s="11"/>
      <c r="CZJ33" s="11"/>
      <c r="CZV33" s="11"/>
      <c r="DAH33" s="11"/>
      <c r="DAT33" s="11"/>
      <c r="DBF33" s="11"/>
      <c r="DBR33" s="11"/>
      <c r="DCD33" s="11"/>
      <c r="DCP33" s="11"/>
      <c r="DDB33" s="11"/>
      <c r="DDN33" s="11"/>
      <c r="DDZ33" s="11"/>
      <c r="DEL33" s="11"/>
      <c r="DEX33" s="11"/>
      <c r="DFJ33" s="11"/>
      <c r="DFV33" s="11"/>
      <c r="DGH33" s="11"/>
      <c r="DGT33" s="11"/>
      <c r="DHF33" s="11"/>
      <c r="DHR33" s="11"/>
      <c r="DID33" s="11"/>
      <c r="DIP33" s="11"/>
      <c r="DJB33" s="11"/>
      <c r="DJN33" s="11"/>
      <c r="DJZ33" s="11"/>
      <c r="DKL33" s="11"/>
      <c r="DKX33" s="11"/>
      <c r="DLJ33" s="11"/>
      <c r="DLV33" s="11"/>
      <c r="DMH33" s="11"/>
      <c r="DMT33" s="11"/>
      <c r="DNF33" s="11"/>
      <c r="DNR33" s="11"/>
      <c r="DOD33" s="11"/>
      <c r="DOP33" s="11"/>
      <c r="DPB33" s="11"/>
      <c r="DPN33" s="11"/>
      <c r="DPZ33" s="11"/>
      <c r="DQL33" s="11"/>
      <c r="DQX33" s="11"/>
      <c r="DRJ33" s="11"/>
      <c r="DRV33" s="11"/>
      <c r="DSH33" s="11"/>
      <c r="DST33" s="11"/>
      <c r="DTF33" s="11"/>
      <c r="DTR33" s="11"/>
      <c r="DUD33" s="11"/>
      <c r="DUP33" s="11"/>
      <c r="DVB33" s="11"/>
      <c r="DVN33" s="11"/>
      <c r="DVZ33" s="11"/>
      <c r="DWL33" s="11"/>
      <c r="DWX33" s="11"/>
      <c r="DXJ33" s="11"/>
      <c r="DXV33" s="11"/>
      <c r="DYH33" s="11"/>
      <c r="DYT33" s="11"/>
      <c r="DZF33" s="11"/>
      <c r="DZR33" s="11"/>
      <c r="EAD33" s="11"/>
      <c r="EAP33" s="11"/>
      <c r="EBB33" s="11"/>
      <c r="EBN33" s="11"/>
      <c r="EBZ33" s="11"/>
      <c r="ECL33" s="11"/>
      <c r="ECX33" s="11"/>
      <c r="EDJ33" s="11"/>
      <c r="EDV33" s="11"/>
      <c r="EEH33" s="11"/>
      <c r="EET33" s="11"/>
      <c r="EFF33" s="11"/>
      <c r="EFR33" s="11"/>
      <c r="EGD33" s="11"/>
      <c r="EGP33" s="11"/>
      <c r="EHB33" s="11"/>
      <c r="EHN33" s="11"/>
      <c r="EHZ33" s="11"/>
      <c r="EIL33" s="11"/>
      <c r="EIX33" s="11"/>
      <c r="EJJ33" s="11"/>
      <c r="EJV33" s="11"/>
      <c r="EKH33" s="11"/>
      <c r="EKT33" s="11"/>
      <c r="ELF33" s="11"/>
      <c r="ELR33" s="11"/>
      <c r="EMD33" s="11"/>
      <c r="EMP33" s="11"/>
      <c r="ENB33" s="11"/>
      <c r="ENN33" s="11"/>
      <c r="ENZ33" s="11"/>
      <c r="EOL33" s="11"/>
      <c r="EOX33" s="11"/>
      <c r="EPJ33" s="11"/>
      <c r="EPV33" s="11"/>
      <c r="EQH33" s="11"/>
      <c r="EQT33" s="11"/>
      <c r="ERF33" s="11"/>
      <c r="ERR33" s="11"/>
      <c r="ESD33" s="11"/>
      <c r="ESP33" s="11"/>
      <c r="ETB33" s="11"/>
      <c r="ETN33" s="11"/>
      <c r="ETZ33" s="11"/>
      <c r="EUL33" s="11"/>
      <c r="EUX33" s="11"/>
      <c r="EVJ33" s="11"/>
      <c r="EVV33" s="11"/>
      <c r="EWH33" s="11"/>
      <c r="EWT33" s="11"/>
      <c r="EXF33" s="11"/>
      <c r="EXR33" s="11"/>
      <c r="EYD33" s="11"/>
      <c r="EYP33" s="11"/>
      <c r="EZB33" s="11"/>
      <c r="EZN33" s="11"/>
      <c r="EZZ33" s="11"/>
      <c r="FAL33" s="11"/>
      <c r="FAX33" s="11"/>
      <c r="FBJ33" s="11"/>
      <c r="FBV33" s="11"/>
      <c r="FCH33" s="11"/>
      <c r="FCT33" s="11"/>
      <c r="FDF33" s="11"/>
      <c r="FDR33" s="11"/>
      <c r="FED33" s="11"/>
      <c r="FEP33" s="11"/>
      <c r="FFB33" s="11"/>
      <c r="FFN33" s="11"/>
      <c r="FFZ33" s="11"/>
      <c r="FGL33" s="11"/>
      <c r="FGX33" s="11"/>
      <c r="FHJ33" s="11"/>
      <c r="FHV33" s="11"/>
      <c r="FIH33" s="11"/>
      <c r="FIT33" s="11"/>
      <c r="FJF33" s="11"/>
      <c r="FJR33" s="11"/>
      <c r="FKD33" s="11"/>
      <c r="FKP33" s="11"/>
      <c r="FLB33" s="11"/>
      <c r="FLN33" s="11"/>
      <c r="FLZ33" s="11"/>
      <c r="FML33" s="11"/>
      <c r="FMX33" s="11"/>
      <c r="FNJ33" s="11"/>
      <c r="FNV33" s="11"/>
      <c r="FOH33" s="11"/>
      <c r="FOT33" s="11"/>
      <c r="FPF33" s="11"/>
      <c r="FPR33" s="11"/>
      <c r="FQD33" s="11"/>
      <c r="FQP33" s="11"/>
      <c r="FRB33" s="11"/>
      <c r="FRN33" s="11"/>
      <c r="FRZ33" s="11"/>
      <c r="FSL33" s="11"/>
      <c r="FSX33" s="11"/>
      <c r="FTJ33" s="11"/>
      <c r="FTV33" s="11"/>
      <c r="FUH33" s="11"/>
      <c r="FUT33" s="11"/>
      <c r="FVF33" s="11"/>
      <c r="FVR33" s="11"/>
      <c r="FWD33" s="11"/>
      <c r="FWP33" s="11"/>
      <c r="FXB33" s="11"/>
      <c r="FXN33" s="11"/>
      <c r="FXZ33" s="11"/>
      <c r="FYL33" s="11"/>
      <c r="FYX33" s="11"/>
      <c r="FZJ33" s="11"/>
      <c r="FZV33" s="11"/>
      <c r="GAH33" s="11"/>
      <c r="GAT33" s="11"/>
      <c r="GBF33" s="11"/>
      <c r="GBR33" s="11"/>
      <c r="GCD33" s="11"/>
      <c r="GCP33" s="11"/>
      <c r="GDB33" s="11"/>
      <c r="GDN33" s="11"/>
      <c r="GDZ33" s="11"/>
      <c r="GEL33" s="11"/>
      <c r="GEX33" s="11"/>
      <c r="GFJ33" s="11"/>
      <c r="GFV33" s="11"/>
      <c r="GGH33" s="11"/>
      <c r="GGT33" s="11"/>
      <c r="GHF33" s="11"/>
      <c r="GHR33" s="11"/>
      <c r="GID33" s="11"/>
      <c r="GIP33" s="11"/>
      <c r="GJB33" s="11"/>
      <c r="GJN33" s="11"/>
      <c r="GJZ33" s="11"/>
      <c r="GKL33" s="11"/>
      <c r="GKX33" s="11"/>
      <c r="GLJ33" s="11"/>
      <c r="GLV33" s="11"/>
      <c r="GMH33" s="11"/>
      <c r="GMT33" s="11"/>
      <c r="GNF33" s="11"/>
      <c r="GNR33" s="11"/>
      <c r="GOD33" s="11"/>
      <c r="GOP33" s="11"/>
      <c r="GPB33" s="11"/>
      <c r="GPN33" s="11"/>
      <c r="GPZ33" s="11"/>
      <c r="GQL33" s="11"/>
      <c r="GQX33" s="11"/>
      <c r="GRJ33" s="11"/>
      <c r="GRV33" s="11"/>
      <c r="GSH33" s="11"/>
      <c r="GST33" s="11"/>
      <c r="GTF33" s="11"/>
      <c r="GTR33" s="11"/>
      <c r="GUD33" s="11"/>
      <c r="GUP33" s="11"/>
      <c r="GVB33" s="11"/>
      <c r="GVN33" s="11"/>
      <c r="GVZ33" s="11"/>
      <c r="GWL33" s="11"/>
      <c r="GWX33" s="11"/>
      <c r="GXJ33" s="11"/>
      <c r="GXV33" s="11"/>
      <c r="GYH33" s="11"/>
      <c r="GYT33" s="11"/>
      <c r="GZF33" s="11"/>
      <c r="GZR33" s="11"/>
      <c r="HAD33" s="11"/>
      <c r="HAP33" s="11"/>
      <c r="HBB33" s="11"/>
      <c r="HBN33" s="11"/>
      <c r="HBZ33" s="11"/>
      <c r="HCL33" s="11"/>
      <c r="HCX33" s="11"/>
      <c r="HDJ33" s="11"/>
      <c r="HDV33" s="11"/>
      <c r="HEH33" s="11"/>
      <c r="HET33" s="11"/>
      <c r="HFF33" s="11"/>
      <c r="HFR33" s="11"/>
      <c r="HGD33" s="11"/>
      <c r="HGP33" s="11"/>
      <c r="HHB33" s="11"/>
      <c r="HHN33" s="11"/>
      <c r="HHZ33" s="11"/>
      <c r="HIL33" s="11"/>
      <c r="HIX33" s="11"/>
      <c r="HJJ33" s="11"/>
      <c r="HJV33" s="11"/>
      <c r="HKH33" s="11"/>
      <c r="HKT33" s="11"/>
      <c r="HLF33" s="11"/>
      <c r="HLR33" s="11"/>
      <c r="HMD33" s="11"/>
      <c r="HMP33" s="11"/>
      <c r="HNB33" s="11"/>
      <c r="HNN33" s="11"/>
      <c r="HNZ33" s="11"/>
      <c r="HOL33" s="11"/>
      <c r="HOX33" s="11"/>
      <c r="HPJ33" s="11"/>
      <c r="HPV33" s="11"/>
      <c r="HQH33" s="11"/>
      <c r="HQT33" s="11"/>
      <c r="HRF33" s="11"/>
      <c r="HRR33" s="11"/>
      <c r="HSD33" s="11"/>
      <c r="HSP33" s="11"/>
      <c r="HTB33" s="11"/>
      <c r="HTN33" s="11"/>
      <c r="HTZ33" s="11"/>
      <c r="HUL33" s="11"/>
      <c r="HUX33" s="11"/>
      <c r="HVJ33" s="11"/>
      <c r="HVV33" s="11"/>
      <c r="HWH33" s="11"/>
      <c r="HWT33" s="11"/>
      <c r="HXF33" s="11"/>
      <c r="HXR33" s="11"/>
      <c r="HYD33" s="11"/>
      <c r="HYP33" s="11"/>
      <c r="HZB33" s="11"/>
      <c r="HZN33" s="11"/>
      <c r="HZZ33" s="11"/>
      <c r="IAL33" s="11"/>
      <c r="IAX33" s="11"/>
      <c r="IBJ33" s="11"/>
      <c r="IBV33" s="11"/>
      <c r="ICH33" s="11"/>
      <c r="ICT33" s="11"/>
      <c r="IDF33" s="11"/>
      <c r="IDR33" s="11"/>
      <c r="IED33" s="11"/>
      <c r="IEP33" s="11"/>
      <c r="IFB33" s="11"/>
      <c r="IFN33" s="11"/>
      <c r="IFZ33" s="11"/>
      <c r="IGL33" s="11"/>
      <c r="IGX33" s="11"/>
      <c r="IHJ33" s="11"/>
      <c r="IHV33" s="11"/>
      <c r="IIH33" s="11"/>
      <c r="IIT33" s="11"/>
      <c r="IJF33" s="11"/>
      <c r="IJR33" s="11"/>
      <c r="IKD33" s="11"/>
      <c r="IKP33" s="11"/>
      <c r="ILB33" s="11"/>
      <c r="ILN33" s="11"/>
      <c r="ILZ33" s="11"/>
      <c r="IML33" s="11"/>
      <c r="IMX33" s="11"/>
      <c r="INJ33" s="11"/>
      <c r="INV33" s="11"/>
      <c r="IOH33" s="11"/>
      <c r="IOT33" s="11"/>
      <c r="IPF33" s="11"/>
      <c r="IPR33" s="11"/>
      <c r="IQD33" s="11"/>
      <c r="IQP33" s="11"/>
      <c r="IRB33" s="11"/>
      <c r="IRN33" s="11"/>
      <c r="IRZ33" s="11"/>
      <c r="ISL33" s="11"/>
      <c r="ISX33" s="11"/>
      <c r="ITJ33" s="11"/>
      <c r="ITV33" s="11"/>
      <c r="IUH33" s="11"/>
      <c r="IUT33" s="11"/>
      <c r="IVF33" s="11"/>
      <c r="IVR33" s="11"/>
      <c r="IWD33" s="11"/>
      <c r="IWP33" s="11"/>
      <c r="IXB33" s="11"/>
      <c r="IXN33" s="11"/>
      <c r="IXZ33" s="11"/>
      <c r="IYL33" s="11"/>
      <c r="IYX33" s="11"/>
      <c r="IZJ33" s="11"/>
      <c r="IZV33" s="11"/>
      <c r="JAH33" s="11"/>
      <c r="JAT33" s="11"/>
      <c r="JBF33" s="11"/>
      <c r="JBR33" s="11"/>
      <c r="JCD33" s="11"/>
      <c r="JCP33" s="11"/>
      <c r="JDB33" s="11"/>
      <c r="JDN33" s="11"/>
      <c r="JDZ33" s="11"/>
      <c r="JEL33" s="11"/>
      <c r="JEX33" s="11"/>
      <c r="JFJ33" s="11"/>
      <c r="JFV33" s="11"/>
      <c r="JGH33" s="11"/>
      <c r="JGT33" s="11"/>
      <c r="JHF33" s="11"/>
      <c r="JHR33" s="11"/>
      <c r="JID33" s="11"/>
      <c r="JIP33" s="11"/>
      <c r="JJB33" s="11"/>
      <c r="JJN33" s="11"/>
      <c r="JJZ33" s="11"/>
      <c r="JKL33" s="11"/>
      <c r="JKX33" s="11"/>
      <c r="JLJ33" s="11"/>
      <c r="JLV33" s="11"/>
      <c r="JMH33" s="11"/>
      <c r="JMT33" s="11"/>
      <c r="JNF33" s="11"/>
      <c r="JNR33" s="11"/>
      <c r="JOD33" s="11"/>
      <c r="JOP33" s="11"/>
      <c r="JPB33" s="11"/>
      <c r="JPN33" s="11"/>
      <c r="JPZ33" s="11"/>
      <c r="JQL33" s="11"/>
      <c r="JQX33" s="11"/>
      <c r="JRJ33" s="11"/>
      <c r="JRV33" s="11"/>
      <c r="JSH33" s="11"/>
      <c r="JST33" s="11"/>
      <c r="JTF33" s="11"/>
      <c r="JTR33" s="11"/>
      <c r="JUD33" s="11"/>
      <c r="JUP33" s="11"/>
      <c r="JVB33" s="11"/>
      <c r="JVN33" s="11"/>
      <c r="JVZ33" s="11"/>
      <c r="JWL33" s="11"/>
      <c r="JWX33" s="11"/>
      <c r="JXJ33" s="11"/>
      <c r="JXV33" s="11"/>
      <c r="JYH33" s="11"/>
      <c r="JYT33" s="11"/>
      <c r="JZF33" s="11"/>
      <c r="JZR33" s="11"/>
      <c r="KAD33" s="11"/>
      <c r="KAP33" s="11"/>
      <c r="KBB33" s="11"/>
      <c r="KBN33" s="11"/>
      <c r="KBZ33" s="11"/>
      <c r="KCL33" s="11"/>
      <c r="KCX33" s="11"/>
      <c r="KDJ33" s="11"/>
      <c r="KDV33" s="11"/>
      <c r="KEH33" s="11"/>
      <c r="KET33" s="11"/>
      <c r="KFF33" s="11"/>
      <c r="KFR33" s="11"/>
      <c r="KGD33" s="11"/>
      <c r="KGP33" s="11"/>
      <c r="KHB33" s="11"/>
      <c r="KHN33" s="11"/>
      <c r="KHZ33" s="11"/>
      <c r="KIL33" s="11"/>
      <c r="KIX33" s="11"/>
      <c r="KJJ33" s="11"/>
      <c r="KJV33" s="11"/>
      <c r="KKH33" s="11"/>
      <c r="KKT33" s="11"/>
      <c r="KLF33" s="11"/>
      <c r="KLR33" s="11"/>
      <c r="KMD33" s="11"/>
      <c r="KMP33" s="11"/>
      <c r="KNB33" s="11"/>
      <c r="KNN33" s="11"/>
      <c r="KNZ33" s="11"/>
      <c r="KOL33" s="11"/>
      <c r="KOX33" s="11"/>
      <c r="KPJ33" s="11"/>
      <c r="KPV33" s="11"/>
      <c r="KQH33" s="11"/>
      <c r="KQT33" s="11"/>
      <c r="KRF33" s="11"/>
      <c r="KRR33" s="11"/>
      <c r="KSD33" s="11"/>
      <c r="KSP33" s="11"/>
      <c r="KTB33" s="11"/>
      <c r="KTN33" s="11"/>
      <c r="KTZ33" s="11"/>
      <c r="KUL33" s="11"/>
      <c r="KUX33" s="11"/>
      <c r="KVJ33" s="11"/>
      <c r="KVV33" s="11"/>
      <c r="KWH33" s="11"/>
      <c r="KWT33" s="11"/>
      <c r="KXF33" s="11"/>
      <c r="KXR33" s="11"/>
      <c r="KYD33" s="11"/>
      <c r="KYP33" s="11"/>
      <c r="KZB33" s="11"/>
      <c r="KZN33" s="11"/>
      <c r="KZZ33" s="11"/>
      <c r="LAL33" s="11"/>
      <c r="LAX33" s="11"/>
      <c r="LBJ33" s="11"/>
      <c r="LBV33" s="11"/>
      <c r="LCH33" s="11"/>
      <c r="LCT33" s="11"/>
      <c r="LDF33" s="11"/>
      <c r="LDR33" s="11"/>
      <c r="LED33" s="11"/>
      <c r="LEP33" s="11"/>
      <c r="LFB33" s="11"/>
      <c r="LFN33" s="11"/>
      <c r="LFZ33" s="11"/>
      <c r="LGL33" s="11"/>
      <c r="LGX33" s="11"/>
      <c r="LHJ33" s="11"/>
      <c r="LHV33" s="11"/>
      <c r="LIH33" s="11"/>
      <c r="LIT33" s="11"/>
      <c r="LJF33" s="11"/>
      <c r="LJR33" s="11"/>
      <c r="LKD33" s="11"/>
      <c r="LKP33" s="11"/>
      <c r="LLB33" s="11"/>
      <c r="LLN33" s="11"/>
      <c r="LLZ33" s="11"/>
      <c r="LML33" s="11"/>
      <c r="LMX33" s="11"/>
      <c r="LNJ33" s="11"/>
      <c r="LNV33" s="11"/>
      <c r="LOH33" s="11"/>
      <c r="LOT33" s="11"/>
      <c r="LPF33" s="11"/>
      <c r="LPR33" s="11"/>
      <c r="LQD33" s="11"/>
      <c r="LQP33" s="11"/>
      <c r="LRB33" s="11"/>
      <c r="LRN33" s="11"/>
      <c r="LRZ33" s="11"/>
      <c r="LSL33" s="11"/>
      <c r="LSX33" s="11"/>
      <c r="LTJ33" s="11"/>
      <c r="LTV33" s="11"/>
      <c r="LUH33" s="11"/>
      <c r="LUT33" s="11"/>
      <c r="LVF33" s="11"/>
      <c r="LVR33" s="11"/>
      <c r="LWD33" s="11"/>
      <c r="LWP33" s="11"/>
      <c r="LXB33" s="11"/>
      <c r="LXN33" s="11"/>
      <c r="LXZ33" s="11"/>
      <c r="LYL33" s="11"/>
      <c r="LYX33" s="11"/>
      <c r="LZJ33" s="11"/>
      <c r="LZV33" s="11"/>
      <c r="MAH33" s="11"/>
      <c r="MAT33" s="11"/>
      <c r="MBF33" s="11"/>
      <c r="MBR33" s="11"/>
      <c r="MCD33" s="11"/>
      <c r="MCP33" s="11"/>
      <c r="MDB33" s="11"/>
      <c r="MDN33" s="11"/>
      <c r="MDZ33" s="11"/>
      <c r="MEL33" s="11"/>
      <c r="MEX33" s="11"/>
      <c r="MFJ33" s="11"/>
      <c r="MFV33" s="11"/>
      <c r="MGH33" s="11"/>
      <c r="MGT33" s="11"/>
      <c r="MHF33" s="11"/>
      <c r="MHR33" s="11"/>
      <c r="MID33" s="11"/>
      <c r="MIP33" s="11"/>
      <c r="MJB33" s="11"/>
      <c r="MJN33" s="11"/>
      <c r="MJZ33" s="11"/>
      <c r="MKL33" s="11"/>
      <c r="MKX33" s="11"/>
      <c r="MLJ33" s="11"/>
      <c r="MLV33" s="11"/>
      <c r="MMH33" s="11"/>
      <c r="MMT33" s="11"/>
      <c r="MNF33" s="11"/>
      <c r="MNR33" s="11"/>
      <c r="MOD33" s="11"/>
      <c r="MOP33" s="11"/>
      <c r="MPB33" s="11"/>
      <c r="MPN33" s="11"/>
      <c r="MPZ33" s="11"/>
      <c r="MQL33" s="11"/>
      <c r="MQX33" s="11"/>
      <c r="MRJ33" s="11"/>
      <c r="MRV33" s="11"/>
      <c r="MSH33" s="11"/>
      <c r="MST33" s="11"/>
      <c r="MTF33" s="11"/>
      <c r="MTR33" s="11"/>
      <c r="MUD33" s="11"/>
      <c r="MUP33" s="11"/>
      <c r="MVB33" s="11"/>
      <c r="MVN33" s="11"/>
      <c r="MVZ33" s="11"/>
      <c r="MWL33" s="11"/>
      <c r="MWX33" s="11"/>
      <c r="MXJ33" s="11"/>
      <c r="MXV33" s="11"/>
      <c r="MYH33" s="11"/>
      <c r="MYT33" s="11"/>
      <c r="MZF33" s="11"/>
      <c r="MZR33" s="11"/>
      <c r="NAD33" s="11"/>
      <c r="NAP33" s="11"/>
      <c r="NBB33" s="11"/>
      <c r="NBN33" s="11"/>
      <c r="NBZ33" s="11"/>
      <c r="NCL33" s="11"/>
      <c r="NCX33" s="11"/>
      <c r="NDJ33" s="11"/>
      <c r="NDV33" s="11"/>
      <c r="NEH33" s="11"/>
      <c r="NET33" s="11"/>
      <c r="NFF33" s="11"/>
      <c r="NFR33" s="11"/>
      <c r="NGD33" s="11"/>
      <c r="NGP33" s="11"/>
      <c r="NHB33" s="11"/>
      <c r="NHN33" s="11"/>
      <c r="NHZ33" s="11"/>
      <c r="NIL33" s="11"/>
      <c r="NIX33" s="11"/>
      <c r="NJJ33" s="11"/>
      <c r="NJV33" s="11"/>
      <c r="NKH33" s="11"/>
      <c r="NKT33" s="11"/>
      <c r="NLF33" s="11"/>
      <c r="NLR33" s="11"/>
      <c r="NMD33" s="11"/>
      <c r="NMP33" s="11"/>
      <c r="NNB33" s="11"/>
      <c r="NNN33" s="11"/>
      <c r="NNZ33" s="11"/>
      <c r="NOL33" s="11"/>
      <c r="NOX33" s="11"/>
      <c r="NPJ33" s="11"/>
      <c r="NPV33" s="11"/>
      <c r="NQH33" s="11"/>
      <c r="NQT33" s="11"/>
      <c r="NRF33" s="11"/>
      <c r="NRR33" s="11"/>
      <c r="NSD33" s="11"/>
      <c r="NSP33" s="11"/>
      <c r="NTB33" s="11"/>
      <c r="NTN33" s="11"/>
      <c r="NTZ33" s="11"/>
      <c r="NUL33" s="11"/>
      <c r="NUX33" s="11"/>
      <c r="NVJ33" s="11"/>
      <c r="NVV33" s="11"/>
      <c r="NWH33" s="11"/>
      <c r="NWT33" s="11"/>
      <c r="NXF33" s="11"/>
      <c r="NXR33" s="11"/>
      <c r="NYD33" s="11"/>
      <c r="NYP33" s="11"/>
      <c r="NZB33" s="11"/>
      <c r="NZN33" s="11"/>
      <c r="NZZ33" s="11"/>
      <c r="OAL33" s="11"/>
      <c r="OAX33" s="11"/>
      <c r="OBJ33" s="11"/>
      <c r="OBV33" s="11"/>
      <c r="OCH33" s="11"/>
      <c r="OCT33" s="11"/>
      <c r="ODF33" s="11"/>
      <c r="ODR33" s="11"/>
      <c r="OED33" s="11"/>
      <c r="OEP33" s="11"/>
      <c r="OFB33" s="11"/>
      <c r="OFN33" s="11"/>
      <c r="OFZ33" s="11"/>
      <c r="OGL33" s="11"/>
      <c r="OGX33" s="11"/>
      <c r="OHJ33" s="11"/>
      <c r="OHV33" s="11"/>
      <c r="OIH33" s="11"/>
      <c r="OIT33" s="11"/>
      <c r="OJF33" s="11"/>
      <c r="OJR33" s="11"/>
      <c r="OKD33" s="11"/>
      <c r="OKP33" s="11"/>
      <c r="OLB33" s="11"/>
      <c r="OLN33" s="11"/>
      <c r="OLZ33" s="11"/>
      <c r="OML33" s="11"/>
      <c r="OMX33" s="11"/>
      <c r="ONJ33" s="11"/>
      <c r="ONV33" s="11"/>
      <c r="OOH33" s="11"/>
      <c r="OOT33" s="11"/>
      <c r="OPF33" s="11"/>
      <c r="OPR33" s="11"/>
      <c r="OQD33" s="11"/>
      <c r="OQP33" s="11"/>
      <c r="ORB33" s="11"/>
      <c r="ORN33" s="11"/>
      <c r="ORZ33" s="11"/>
      <c r="OSL33" s="11"/>
      <c r="OSX33" s="11"/>
      <c r="OTJ33" s="11"/>
      <c r="OTV33" s="11"/>
      <c r="OUH33" s="11"/>
      <c r="OUT33" s="11"/>
      <c r="OVF33" s="11"/>
      <c r="OVR33" s="11"/>
      <c r="OWD33" s="11"/>
      <c r="OWP33" s="11"/>
      <c r="OXB33" s="11"/>
      <c r="OXN33" s="11"/>
      <c r="OXZ33" s="11"/>
      <c r="OYL33" s="11"/>
      <c r="OYX33" s="11"/>
      <c r="OZJ33" s="11"/>
      <c r="OZV33" s="11"/>
      <c r="PAH33" s="11"/>
      <c r="PAT33" s="11"/>
      <c r="PBF33" s="11"/>
      <c r="PBR33" s="11"/>
      <c r="PCD33" s="11"/>
      <c r="PCP33" s="11"/>
      <c r="PDB33" s="11"/>
      <c r="PDN33" s="11"/>
      <c r="PDZ33" s="11"/>
      <c r="PEL33" s="11"/>
      <c r="PEX33" s="11"/>
      <c r="PFJ33" s="11"/>
      <c r="PFV33" s="11"/>
      <c r="PGH33" s="11"/>
      <c r="PGT33" s="11"/>
      <c r="PHF33" s="11"/>
      <c r="PHR33" s="11"/>
      <c r="PID33" s="11"/>
      <c r="PIP33" s="11"/>
      <c r="PJB33" s="11"/>
      <c r="PJN33" s="11"/>
      <c r="PJZ33" s="11"/>
      <c r="PKL33" s="11"/>
      <c r="PKX33" s="11"/>
      <c r="PLJ33" s="11"/>
      <c r="PLV33" s="11"/>
      <c r="PMH33" s="11"/>
      <c r="PMT33" s="11"/>
      <c r="PNF33" s="11"/>
      <c r="PNR33" s="11"/>
      <c r="POD33" s="11"/>
      <c r="POP33" s="11"/>
      <c r="PPB33" s="11"/>
      <c r="PPN33" s="11"/>
      <c r="PPZ33" s="11"/>
      <c r="PQL33" s="11"/>
      <c r="PQX33" s="11"/>
      <c r="PRJ33" s="11"/>
      <c r="PRV33" s="11"/>
      <c r="PSH33" s="11"/>
      <c r="PST33" s="11"/>
      <c r="PTF33" s="11"/>
      <c r="PTR33" s="11"/>
      <c r="PUD33" s="11"/>
      <c r="PUP33" s="11"/>
      <c r="PVB33" s="11"/>
      <c r="PVN33" s="11"/>
      <c r="PVZ33" s="11"/>
      <c r="PWL33" s="11"/>
      <c r="PWX33" s="11"/>
      <c r="PXJ33" s="11"/>
      <c r="PXV33" s="11"/>
      <c r="PYH33" s="11"/>
      <c r="PYT33" s="11"/>
      <c r="PZF33" s="11"/>
      <c r="PZR33" s="11"/>
      <c r="QAD33" s="11"/>
      <c r="QAP33" s="11"/>
      <c r="QBB33" s="11"/>
      <c r="QBN33" s="11"/>
      <c r="QBZ33" s="11"/>
      <c r="QCL33" s="11"/>
      <c r="QCX33" s="11"/>
      <c r="QDJ33" s="11"/>
      <c r="QDV33" s="11"/>
      <c r="QEH33" s="11"/>
      <c r="QET33" s="11"/>
      <c r="QFF33" s="11"/>
      <c r="QFR33" s="11"/>
      <c r="QGD33" s="11"/>
      <c r="QGP33" s="11"/>
      <c r="QHB33" s="11"/>
      <c r="QHN33" s="11"/>
      <c r="QHZ33" s="11"/>
      <c r="QIL33" s="11"/>
      <c r="QIX33" s="11"/>
      <c r="QJJ33" s="11"/>
      <c r="QJV33" s="11"/>
      <c r="QKH33" s="11"/>
      <c r="QKT33" s="11"/>
      <c r="QLF33" s="11"/>
      <c r="QLR33" s="11"/>
      <c r="QMD33" s="11"/>
      <c r="QMP33" s="11"/>
      <c r="QNB33" s="11"/>
      <c r="QNN33" s="11"/>
      <c r="QNZ33" s="11"/>
      <c r="QOL33" s="11"/>
      <c r="QOX33" s="11"/>
      <c r="QPJ33" s="11"/>
      <c r="QPV33" s="11"/>
      <c r="QQH33" s="11"/>
      <c r="QQT33" s="11"/>
      <c r="QRF33" s="11"/>
      <c r="QRR33" s="11"/>
      <c r="QSD33" s="11"/>
      <c r="QSP33" s="11"/>
      <c r="QTB33" s="11"/>
      <c r="QTN33" s="11"/>
      <c r="QTZ33" s="11"/>
      <c r="QUL33" s="11"/>
      <c r="QUX33" s="11"/>
      <c r="QVJ33" s="11"/>
      <c r="QVV33" s="11"/>
      <c r="QWH33" s="11"/>
      <c r="QWT33" s="11"/>
      <c r="QXF33" s="11"/>
      <c r="QXR33" s="11"/>
      <c r="QYD33" s="11"/>
      <c r="QYP33" s="11"/>
      <c r="QZB33" s="11"/>
      <c r="QZN33" s="11"/>
      <c r="QZZ33" s="11"/>
      <c r="RAL33" s="11"/>
      <c r="RAX33" s="11"/>
      <c r="RBJ33" s="11"/>
      <c r="RBV33" s="11"/>
      <c r="RCH33" s="11"/>
      <c r="RCT33" s="11"/>
      <c r="RDF33" s="11"/>
      <c r="RDR33" s="11"/>
      <c r="RED33" s="11"/>
      <c r="REP33" s="11"/>
      <c r="RFB33" s="11"/>
      <c r="RFN33" s="11"/>
      <c r="RFZ33" s="11"/>
      <c r="RGL33" s="11"/>
      <c r="RGX33" s="11"/>
      <c r="RHJ33" s="11"/>
      <c r="RHV33" s="11"/>
      <c r="RIH33" s="11"/>
      <c r="RIT33" s="11"/>
      <c r="RJF33" s="11"/>
      <c r="RJR33" s="11"/>
      <c r="RKD33" s="11"/>
      <c r="RKP33" s="11"/>
      <c r="RLB33" s="11"/>
      <c r="RLN33" s="11"/>
      <c r="RLZ33" s="11"/>
      <c r="RML33" s="11"/>
      <c r="RMX33" s="11"/>
      <c r="RNJ33" s="11"/>
      <c r="RNV33" s="11"/>
      <c r="ROH33" s="11"/>
      <c r="ROT33" s="11"/>
      <c r="RPF33" s="11"/>
      <c r="RPR33" s="11"/>
      <c r="RQD33" s="11"/>
      <c r="RQP33" s="11"/>
      <c r="RRB33" s="11"/>
      <c r="RRN33" s="11"/>
      <c r="RRZ33" s="11"/>
      <c r="RSL33" s="11"/>
      <c r="RSX33" s="11"/>
      <c r="RTJ33" s="11"/>
      <c r="RTV33" s="11"/>
      <c r="RUH33" s="11"/>
      <c r="RUT33" s="11"/>
      <c r="RVF33" s="11"/>
      <c r="RVR33" s="11"/>
      <c r="RWD33" s="11"/>
      <c r="RWP33" s="11"/>
      <c r="RXB33" s="11"/>
      <c r="RXN33" s="11"/>
      <c r="RXZ33" s="11"/>
      <c r="RYL33" s="11"/>
      <c r="RYX33" s="11"/>
      <c r="RZJ33" s="11"/>
      <c r="RZV33" s="11"/>
      <c r="SAH33" s="11"/>
      <c r="SAT33" s="11"/>
      <c r="SBF33" s="11"/>
      <c r="SBR33" s="11"/>
      <c r="SCD33" s="11"/>
      <c r="SCP33" s="11"/>
      <c r="SDB33" s="11"/>
      <c r="SDN33" s="11"/>
      <c r="SDZ33" s="11"/>
      <c r="SEL33" s="11"/>
      <c r="SEX33" s="11"/>
      <c r="SFJ33" s="11"/>
      <c r="SFV33" s="11"/>
      <c r="SGH33" s="11"/>
      <c r="SGT33" s="11"/>
      <c r="SHF33" s="11"/>
      <c r="SHR33" s="11"/>
      <c r="SID33" s="11"/>
      <c r="SIP33" s="11"/>
      <c r="SJB33" s="11"/>
      <c r="SJN33" s="11"/>
      <c r="SJZ33" s="11"/>
      <c r="SKL33" s="11"/>
      <c r="SKX33" s="11"/>
      <c r="SLJ33" s="11"/>
      <c r="SLV33" s="11"/>
      <c r="SMH33" s="11"/>
      <c r="SMT33" s="11"/>
      <c r="SNF33" s="11"/>
      <c r="SNR33" s="11"/>
      <c r="SOD33" s="11"/>
      <c r="SOP33" s="11"/>
      <c r="SPB33" s="11"/>
      <c r="SPN33" s="11"/>
      <c r="SPZ33" s="11"/>
      <c r="SQL33" s="11"/>
      <c r="SQX33" s="11"/>
      <c r="SRJ33" s="11"/>
      <c r="SRV33" s="11"/>
      <c r="SSH33" s="11"/>
      <c r="SST33" s="11"/>
      <c r="STF33" s="11"/>
      <c r="STR33" s="11"/>
      <c r="SUD33" s="11"/>
      <c r="SUP33" s="11"/>
      <c r="SVB33" s="11"/>
      <c r="SVN33" s="11"/>
      <c r="SVZ33" s="11"/>
      <c r="SWL33" s="11"/>
      <c r="SWX33" s="11"/>
      <c r="SXJ33" s="11"/>
      <c r="SXV33" s="11"/>
      <c r="SYH33" s="11"/>
      <c r="SYT33" s="11"/>
      <c r="SZF33" s="11"/>
      <c r="SZR33" s="11"/>
      <c r="TAD33" s="11"/>
      <c r="TAP33" s="11"/>
      <c r="TBB33" s="11"/>
      <c r="TBN33" s="11"/>
      <c r="TBZ33" s="11"/>
      <c r="TCL33" s="11"/>
      <c r="TCX33" s="11"/>
      <c r="TDJ33" s="11"/>
      <c r="TDV33" s="11"/>
      <c r="TEH33" s="11"/>
      <c r="TET33" s="11"/>
      <c r="TFF33" s="11"/>
      <c r="TFR33" s="11"/>
      <c r="TGD33" s="11"/>
      <c r="TGP33" s="11"/>
      <c r="THB33" s="11"/>
      <c r="THN33" s="11"/>
      <c r="THZ33" s="11"/>
      <c r="TIL33" s="11"/>
      <c r="TIX33" s="11"/>
      <c r="TJJ33" s="11"/>
      <c r="TJV33" s="11"/>
      <c r="TKH33" s="11"/>
      <c r="TKT33" s="11"/>
      <c r="TLF33" s="11"/>
      <c r="TLR33" s="11"/>
      <c r="TMD33" s="11"/>
      <c r="TMP33" s="11"/>
      <c r="TNB33" s="11"/>
      <c r="TNN33" s="11"/>
      <c r="TNZ33" s="11"/>
      <c r="TOL33" s="11"/>
      <c r="TOX33" s="11"/>
      <c r="TPJ33" s="11"/>
      <c r="TPV33" s="11"/>
      <c r="TQH33" s="11"/>
      <c r="TQT33" s="11"/>
      <c r="TRF33" s="11"/>
      <c r="TRR33" s="11"/>
      <c r="TSD33" s="11"/>
      <c r="TSP33" s="11"/>
      <c r="TTB33" s="11"/>
      <c r="TTN33" s="11"/>
      <c r="TTZ33" s="11"/>
      <c r="TUL33" s="11"/>
      <c r="TUX33" s="11"/>
      <c r="TVJ33" s="11"/>
      <c r="TVV33" s="11"/>
      <c r="TWH33" s="11"/>
      <c r="TWT33" s="11"/>
      <c r="TXF33" s="11"/>
      <c r="TXR33" s="11"/>
      <c r="TYD33" s="11"/>
      <c r="TYP33" s="11"/>
      <c r="TZB33" s="11"/>
      <c r="TZN33" s="11"/>
      <c r="TZZ33" s="11"/>
      <c r="UAL33" s="11"/>
      <c r="UAX33" s="11"/>
      <c r="UBJ33" s="11"/>
      <c r="UBV33" s="11"/>
      <c r="UCH33" s="11"/>
      <c r="UCT33" s="11"/>
      <c r="UDF33" s="11"/>
      <c r="UDR33" s="11"/>
      <c r="UED33" s="11"/>
      <c r="UEP33" s="11"/>
      <c r="UFB33" s="11"/>
      <c r="UFN33" s="11"/>
      <c r="UFZ33" s="11"/>
      <c r="UGL33" s="11"/>
      <c r="UGX33" s="11"/>
      <c r="UHJ33" s="11"/>
      <c r="UHV33" s="11"/>
      <c r="UIH33" s="11"/>
      <c r="UIT33" s="11"/>
      <c r="UJF33" s="11"/>
      <c r="UJR33" s="11"/>
      <c r="UKD33" s="11"/>
      <c r="UKP33" s="11"/>
      <c r="ULB33" s="11"/>
      <c r="ULN33" s="11"/>
      <c r="ULZ33" s="11"/>
      <c r="UML33" s="11"/>
      <c r="UMX33" s="11"/>
      <c r="UNJ33" s="11"/>
      <c r="UNV33" s="11"/>
      <c r="UOH33" s="11"/>
      <c r="UOT33" s="11"/>
      <c r="UPF33" s="11"/>
      <c r="UPR33" s="11"/>
      <c r="UQD33" s="11"/>
      <c r="UQP33" s="11"/>
      <c r="URB33" s="11"/>
      <c r="URN33" s="11"/>
      <c r="URZ33" s="11"/>
      <c r="USL33" s="11"/>
      <c r="USX33" s="11"/>
      <c r="UTJ33" s="11"/>
      <c r="UTV33" s="11"/>
      <c r="UUH33" s="11"/>
      <c r="UUT33" s="11"/>
      <c r="UVF33" s="11"/>
      <c r="UVR33" s="11"/>
      <c r="UWD33" s="11"/>
      <c r="UWP33" s="11"/>
      <c r="UXB33" s="11"/>
      <c r="UXN33" s="11"/>
      <c r="UXZ33" s="11"/>
      <c r="UYL33" s="11"/>
      <c r="UYX33" s="11"/>
      <c r="UZJ33" s="11"/>
      <c r="UZV33" s="11"/>
      <c r="VAH33" s="11"/>
      <c r="VAT33" s="11"/>
      <c r="VBF33" s="11"/>
      <c r="VBR33" s="11"/>
      <c r="VCD33" s="11"/>
      <c r="VCP33" s="11"/>
      <c r="VDB33" s="11"/>
      <c r="VDN33" s="11"/>
      <c r="VDZ33" s="11"/>
      <c r="VEL33" s="11"/>
      <c r="VEX33" s="11"/>
      <c r="VFJ33" s="11"/>
      <c r="VFV33" s="11"/>
      <c r="VGH33" s="11"/>
      <c r="VGT33" s="11"/>
      <c r="VHF33" s="11"/>
      <c r="VHR33" s="11"/>
      <c r="VID33" s="11"/>
      <c r="VIP33" s="11"/>
      <c r="VJB33" s="11"/>
      <c r="VJN33" s="11"/>
      <c r="VJZ33" s="11"/>
      <c r="VKL33" s="11"/>
      <c r="VKX33" s="11"/>
      <c r="VLJ33" s="11"/>
      <c r="VLV33" s="11"/>
      <c r="VMH33" s="11"/>
      <c r="VMT33" s="11"/>
      <c r="VNF33" s="11"/>
      <c r="VNR33" s="11"/>
      <c r="VOD33" s="11"/>
      <c r="VOP33" s="11"/>
      <c r="VPB33" s="11"/>
      <c r="VPN33" s="11"/>
      <c r="VPZ33" s="11"/>
      <c r="VQL33" s="11"/>
      <c r="VQX33" s="11"/>
      <c r="VRJ33" s="11"/>
      <c r="VRV33" s="11"/>
      <c r="VSH33" s="11"/>
      <c r="VST33" s="11"/>
      <c r="VTF33" s="11"/>
      <c r="VTR33" s="11"/>
      <c r="VUD33" s="11"/>
      <c r="VUP33" s="11"/>
      <c r="VVB33" s="11"/>
      <c r="VVN33" s="11"/>
      <c r="VVZ33" s="11"/>
      <c r="VWL33" s="11"/>
      <c r="VWX33" s="11"/>
      <c r="VXJ33" s="11"/>
      <c r="VXV33" s="11"/>
      <c r="VYH33" s="11"/>
      <c r="VYT33" s="11"/>
      <c r="VZF33" s="11"/>
      <c r="VZR33" s="11"/>
      <c r="WAD33" s="11"/>
      <c r="WAP33" s="11"/>
      <c r="WBB33" s="11"/>
      <c r="WBN33" s="11"/>
      <c r="WBZ33" s="11"/>
      <c r="WCL33" s="11"/>
      <c r="WCX33" s="11"/>
      <c r="WDJ33" s="11"/>
      <c r="WDV33" s="11"/>
      <c r="WEH33" s="11"/>
      <c r="WET33" s="11"/>
      <c r="WFF33" s="11"/>
      <c r="WFR33" s="11"/>
      <c r="WGD33" s="11"/>
      <c r="WGP33" s="11"/>
      <c r="WHB33" s="11"/>
      <c r="WHN33" s="11"/>
      <c r="WHZ33" s="11"/>
      <c r="WIL33" s="11"/>
      <c r="WIX33" s="11"/>
      <c r="WJJ33" s="11"/>
      <c r="WJV33" s="11"/>
      <c r="WKH33" s="11"/>
      <c r="WKT33" s="11"/>
      <c r="WLF33" s="11"/>
      <c r="WLR33" s="11"/>
      <c r="WMD33" s="11"/>
      <c r="WMP33" s="11"/>
      <c r="WNB33" s="11"/>
      <c r="WNN33" s="11"/>
      <c r="WNZ33" s="11"/>
      <c r="WOL33" s="11"/>
      <c r="WOX33" s="11"/>
      <c r="WPJ33" s="11"/>
      <c r="WPV33" s="11"/>
      <c r="WQH33" s="11"/>
      <c r="WQT33" s="11"/>
      <c r="WRF33" s="11"/>
      <c r="WRR33" s="11"/>
      <c r="WSD33" s="11"/>
      <c r="WSP33" s="11"/>
      <c r="WTB33" s="11"/>
      <c r="WTN33" s="11"/>
      <c r="WTZ33" s="11"/>
      <c r="WUL33" s="11"/>
      <c r="WUX33" s="11"/>
      <c r="WVJ33" s="11"/>
      <c r="WVV33" s="11"/>
      <c r="WWH33" s="11"/>
      <c r="WWT33" s="11"/>
      <c r="WXF33" s="11"/>
      <c r="WXR33" s="11"/>
      <c r="WYD33" s="11"/>
      <c r="WYP33" s="11"/>
      <c r="WZB33" s="11"/>
      <c r="WZN33" s="11"/>
      <c r="WZZ33" s="11"/>
      <c r="XAL33" s="11"/>
      <c r="XAX33" s="11"/>
      <c r="XBJ33" s="11"/>
      <c r="XBV33" s="11"/>
      <c r="XCH33" s="11"/>
      <c r="XCT33" s="11"/>
      <c r="XDF33" s="11"/>
      <c r="XDR33" s="11"/>
      <c r="XED33" s="11"/>
      <c r="XEP33" s="11"/>
      <c r="XFB33" s="11"/>
    </row>
    <row r="35" spans="1:1022 1034:2042 2054:3062 3074:4094 4106:5114 5126:6134 6146:7166 7178:8186 8198:9206 9218:10238 10250:11258 11270:12278 12290:13310 13322:14330 14342:15350 15362:16382" x14ac:dyDescent="0.45">
      <c r="B35" t="s">
        <v>75</v>
      </c>
      <c r="C35" s="30">
        <f>C29-C32</f>
        <v>3534.6099999999888</v>
      </c>
      <c r="D35" s="30">
        <f t="shared" ref="D35:M35" si="12">D29-D32</f>
        <v>3341.4100000000053</v>
      </c>
      <c r="E35" s="30">
        <f t="shared" si="12"/>
        <v>-3663.2699999999973</v>
      </c>
      <c r="F35" s="30">
        <f t="shared" si="12"/>
        <v>901.13000000000443</v>
      </c>
      <c r="G35" s="30">
        <f t="shared" si="12"/>
        <v>-12584.340000000004</v>
      </c>
      <c r="H35" s="30">
        <f t="shared" si="12"/>
        <v>-10026.410000000003</v>
      </c>
      <c r="I35" s="30">
        <f t="shared" si="12"/>
        <v>363.33000000000226</v>
      </c>
      <c r="J35" s="30">
        <f t="shared" si="12"/>
        <v>2694.5899999999929</v>
      </c>
      <c r="K35" s="30">
        <f t="shared" si="12"/>
        <v>3907.590000000002</v>
      </c>
      <c r="L35" s="30">
        <f t="shared" si="12"/>
        <v>3358.7799999999961</v>
      </c>
      <c r="M35" s="30">
        <f t="shared" si="12"/>
        <v>3571.4299999999989</v>
      </c>
    </row>
    <row r="36" spans="1:1022 1034:2042 2054:3062 3074:4094 4106:5114 5126:6134 6146:7166 7178:8186 8198:9206 9218:10238 10250:11258 11270:12278 12290:13310 13322:14330 14342:15350 15362:16382" x14ac:dyDescent="0.45">
      <c r="B36" s="11" t="s">
        <v>76</v>
      </c>
      <c r="C36" s="32">
        <f t="shared" ref="C36:M36" si="13">C35/C6</f>
        <v>7.8620110418391634E-2</v>
      </c>
      <c r="D36" s="32">
        <f t="shared" si="13"/>
        <v>6.8598282646086667E-2</v>
      </c>
      <c r="E36" s="32">
        <f t="shared" si="13"/>
        <v>-7.2106121049439684E-2</v>
      </c>
      <c r="F36" s="32">
        <f t="shared" si="13"/>
        <v>1.8750853134374166E-2</v>
      </c>
      <c r="G36" s="32">
        <f t="shared" si="13"/>
        <v>-0.2582735503546959</v>
      </c>
      <c r="H36" s="32">
        <f t="shared" si="13"/>
        <v>-0.19227152246508636</v>
      </c>
      <c r="I36" s="32">
        <f t="shared" si="13"/>
        <v>6.6158058271096037E-3</v>
      </c>
      <c r="J36" s="32">
        <f t="shared" si="13"/>
        <v>3.2886910519224717E-2</v>
      </c>
      <c r="K36" s="32">
        <f t="shared" si="13"/>
        <v>5.1252573554438581E-2</v>
      </c>
      <c r="L36" s="32">
        <f t="shared" si="13"/>
        <v>3.8675442272113968E-2</v>
      </c>
      <c r="M36" s="32">
        <f t="shared" si="13"/>
        <v>3.411511965122898E-2</v>
      </c>
    </row>
    <row r="38" spans="1:1022 1034:2042 2054:3062 3074:4094 4106:5114 5126:6134 6146:7166 7178:8186 8198:9206 9218:10238 10250:11258 11270:12278 12290:13310 13322:14330 14342:15350 15362:16382" x14ac:dyDescent="0.45">
      <c r="B38" t="s">
        <v>79</v>
      </c>
      <c r="C38" s="17">
        <f>IFERROR(datasheet!B93,0)</f>
        <v>181.03</v>
      </c>
      <c r="D38" s="17">
        <f>IFERROR(datasheet!C93,0)</f>
        <v>185.46</v>
      </c>
      <c r="E38" s="17">
        <f>IFERROR(datasheet!D93,0)</f>
        <v>196.36</v>
      </c>
      <c r="F38" s="17">
        <f>IFERROR(datasheet!E93,0)</f>
        <v>212.8</v>
      </c>
      <c r="G38" s="17">
        <f>IFERROR(datasheet!F93,0)</f>
        <v>276.06</v>
      </c>
      <c r="H38" s="17">
        <f>IFERROR(datasheet!G93,0)</f>
        <v>460.4</v>
      </c>
      <c r="I38" s="17">
        <f>IFERROR(datasheet!H93,0)</f>
        <v>673.76</v>
      </c>
      <c r="J38" s="17">
        <f>IFERROR(datasheet!I93,0)</f>
        <v>1047.77</v>
      </c>
      <c r="K38" s="17">
        <f>IFERROR(datasheet!J93,0)</f>
        <v>1101.0999999999999</v>
      </c>
      <c r="L38" s="17">
        <f>IFERROR(datasheet!K93,0)</f>
        <v>1101.0999999999999</v>
      </c>
      <c r="M38" s="17">
        <f>IFERROR(datasheet!L93,0)</f>
        <v>0</v>
      </c>
    </row>
    <row r="40" spans="1:1022 1034:2042 2054:3062 3074:4094 4106:5114 5126:6134 6146:7166 7178:8186 8198:9206 9218:10238 10250:11258 11270:12278 12290:13310 13322:14330 14342:15350 15362:16382" x14ac:dyDescent="0.45">
      <c r="B40" t="s">
        <v>77</v>
      </c>
      <c r="C40" s="17">
        <f>IFERROR(C35/C38,0)</f>
        <v>19.524995857040206</v>
      </c>
      <c r="D40" s="17">
        <f t="shared" ref="D40:M40" si="14">IFERROR(D35/D38,0)</f>
        <v>18.016876954599404</v>
      </c>
      <c r="E40" s="17">
        <f t="shared" si="14"/>
        <v>-18.655887146058244</v>
      </c>
      <c r="F40" s="17">
        <f t="shared" si="14"/>
        <v>4.2346334586466368</v>
      </c>
      <c r="G40" s="17">
        <f t="shared" si="14"/>
        <v>-45.585524885894387</v>
      </c>
      <c r="H40" s="17">
        <f t="shared" si="14"/>
        <v>-21.777606429192016</v>
      </c>
      <c r="I40" s="17">
        <f t="shared" si="14"/>
        <v>0.53925730230349422</v>
      </c>
      <c r="J40" s="17">
        <f t="shared" si="14"/>
        <v>2.5717380722868501</v>
      </c>
      <c r="K40" s="17">
        <f t="shared" si="14"/>
        <v>3.5488057397148327</v>
      </c>
      <c r="L40" s="17">
        <f t="shared" si="14"/>
        <v>3.0503859776587015</v>
      </c>
      <c r="M40" s="17">
        <f t="shared" si="14"/>
        <v>0</v>
      </c>
    </row>
    <row r="41" spans="1:1022 1034:2042 2054:3062 3074:4094 4106:5114 5126:6134 6146:7166 7178:8186 8198:9206 9218:10238 10250:11258 11270:12278 12290:13310 13322:14330 14342:15350 15362:16382" x14ac:dyDescent="0.45">
      <c r="B41" s="11" t="s">
        <v>80</v>
      </c>
      <c r="C41" s="15"/>
      <c r="D41" s="15">
        <f>D40/C40-1</f>
        <v>-7.724042112393148E-2</v>
      </c>
      <c r="E41" s="15">
        <f t="shared" ref="E41:M41" si="15">E40/D40-1</f>
        <v>-2.0354673117360504</v>
      </c>
      <c r="F41" s="15">
        <f t="shared" si="15"/>
        <v>-1.2269864426973318</v>
      </c>
      <c r="G41" s="15">
        <f t="shared" si="15"/>
        <v>-11.764928141021029</v>
      </c>
      <c r="H41" s="15">
        <f t="shared" si="15"/>
        <v>-0.52226926236554749</v>
      </c>
      <c r="I41" s="15">
        <f t="shared" si="15"/>
        <v>-1.0247620097303549</v>
      </c>
      <c r="J41" s="15">
        <f t="shared" si="15"/>
        <v>3.76903708359887</v>
      </c>
      <c r="K41" s="15">
        <f t="shared" si="15"/>
        <v>0.3799250312296194</v>
      </c>
      <c r="L41" s="15">
        <f t="shared" si="15"/>
        <v>-0.14044718099903153</v>
      </c>
      <c r="M41" s="15">
        <f t="shared" si="15"/>
        <v>-1</v>
      </c>
    </row>
    <row r="43" spans="1:1022 1034:2042 2054:3062 3074:4094 4106:5114 5126:6134 6146:7166 7178:8186 8198:9206 9218:10238 10250:11258 11270:12278 12290:13310 13322:14330 14342:15350 15362:16382" x14ac:dyDescent="0.45">
      <c r="B43" t="s">
        <v>78</v>
      </c>
      <c r="C43" s="17">
        <f>IFERROR(datasheet!B31/historicalFS!C38,0)</f>
        <v>2.0000552394630722</v>
      </c>
      <c r="D43" s="17">
        <f>IFERROR(datasheet!C31/historicalFS!D38,0)</f>
        <v>3.2999029440310577</v>
      </c>
      <c r="E43" s="17">
        <f>IFERROR(datasheet!D31/historicalFS!E38,0)</f>
        <v>0.38139132206151966</v>
      </c>
      <c r="F43" s="17">
        <f>IFERROR(datasheet!E31/historicalFS!F38,0)</f>
        <v>0</v>
      </c>
      <c r="G43" s="17">
        <f>IFERROR(datasheet!F31/historicalFS!G38,0)</f>
        <v>0</v>
      </c>
      <c r="H43" s="17">
        <f>IFERROR(datasheet!G31/historicalFS!H38,0)</f>
        <v>0</v>
      </c>
      <c r="I43" s="17">
        <f>IFERROR(datasheet!H31/historicalFS!I38,0)</f>
        <v>0</v>
      </c>
      <c r="J43" s="17">
        <f>IFERROR(datasheet!I31/historicalFS!J38,0)</f>
        <v>0</v>
      </c>
      <c r="K43" s="17">
        <f>IFERROR(datasheet!J31/historicalFS!K38,0)</f>
        <v>0.63999636726909459</v>
      </c>
      <c r="L43" s="17">
        <f>IFERROR(datasheet!K31/historicalFS!L38,0)</f>
        <v>0.65000454091363191</v>
      </c>
      <c r="M43" s="17">
        <f>IFERROR(datasheet!L31/historicalFS!M38,0)</f>
        <v>0</v>
      </c>
    </row>
    <row r="44" spans="1:1022 1034:2042 2054:3062 3074:4094 4106:5114 5126:6134 6146:7166 7178:8186 8198:9206 9218:10238 10250:11258 11270:12278 12290:13310 13322:14330 14342:15350 15362:16382" x14ac:dyDescent="0.45">
      <c r="B44" s="11" t="s">
        <v>81</v>
      </c>
      <c r="C44" s="15">
        <f>IFERROR(C43/C40,0)</f>
        <v>0.102435629390513</v>
      </c>
      <c r="D44" s="15">
        <f t="shared" ref="D44:M44" si="16">IFERROR(D43/D40,0)</f>
        <v>0.18315621249711916</v>
      </c>
      <c r="E44" s="15">
        <f t="shared" si="16"/>
        <v>-2.0443483554310783E-2</v>
      </c>
      <c r="F44" s="15">
        <f t="shared" si="16"/>
        <v>0</v>
      </c>
      <c r="G44" s="15">
        <f t="shared" si="16"/>
        <v>0</v>
      </c>
      <c r="H44" s="15">
        <f t="shared" si="16"/>
        <v>0</v>
      </c>
      <c r="I44" s="15">
        <f t="shared" si="16"/>
        <v>0</v>
      </c>
      <c r="J44" s="15">
        <f t="shared" si="16"/>
        <v>0</v>
      </c>
      <c r="K44" s="15">
        <f t="shared" si="16"/>
        <v>0.18034133570819857</v>
      </c>
      <c r="L44" s="15">
        <f t="shared" si="16"/>
        <v>0.21308927646347808</v>
      </c>
      <c r="M44" s="15">
        <f t="shared" si="16"/>
        <v>0</v>
      </c>
    </row>
    <row r="46" spans="1:1022 1034:2042 2054:3062 3074:4094 4106:5114 5126:6134 6146:7166 7178:8186 8198:9206 9218:10238 10250:11258 11270:12278 12290:13310 13322:14330 14342:15350 15362:16382" x14ac:dyDescent="0.45">
      <c r="B46" s="18" t="s">
        <v>82</v>
      </c>
      <c r="C46" s="19">
        <f>IFERROR(IF(C40&gt;C43,1-C44,0),0)</f>
        <v>0.89756437060948702</v>
      </c>
      <c r="D46" s="19">
        <f t="shared" ref="D46:M46" si="17">IFERROR(IF(D40&gt;D43,1-D44,0),0)</f>
        <v>0.81684378750288089</v>
      </c>
      <c r="E46" s="19">
        <f t="shared" si="17"/>
        <v>0</v>
      </c>
      <c r="F46" s="19">
        <f t="shared" si="17"/>
        <v>1</v>
      </c>
      <c r="G46" s="19">
        <f t="shared" si="17"/>
        <v>0</v>
      </c>
      <c r="H46" s="19">
        <f t="shared" si="17"/>
        <v>0</v>
      </c>
      <c r="I46" s="19">
        <f t="shared" si="17"/>
        <v>1</v>
      </c>
      <c r="J46" s="19">
        <f t="shared" si="17"/>
        <v>1</v>
      </c>
      <c r="K46" s="19">
        <f t="shared" si="17"/>
        <v>0.81965866429180145</v>
      </c>
      <c r="L46" s="19">
        <f t="shared" si="17"/>
        <v>0.78691072353652192</v>
      </c>
      <c r="M46" s="19">
        <f t="shared" si="17"/>
        <v>0</v>
      </c>
    </row>
    <row r="48" spans="1:1022 1034:2042 2054:3062 3074:4094 4106:5114 5126:6134 6146:7166 7178:8186 8198:9206 9218:10238 10250:11258 11270:12278 12290:13310 13322:14330 14342:15350 15362:16382" x14ac:dyDescent="0.45">
      <c r="A48" s="12" t="s">
        <v>57</v>
      </c>
      <c r="B48" s="12" t="s">
        <v>83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2:13" x14ac:dyDescent="0.45">
      <c r="B49" t="s">
        <v>31</v>
      </c>
      <c r="C49" s="20">
        <f>IFERROR(datasheet!B57,0)</f>
        <v>362.07</v>
      </c>
      <c r="D49" s="20">
        <f>IFERROR(datasheet!C57,0)</f>
        <v>370.91</v>
      </c>
      <c r="E49" s="20">
        <f>IFERROR(datasheet!D57,0)</f>
        <v>392.72</v>
      </c>
      <c r="F49" s="20">
        <f>IFERROR(datasheet!E57,0)</f>
        <v>425.59</v>
      </c>
      <c r="G49" s="20">
        <f>IFERROR(datasheet!F57,0)</f>
        <v>552.11</v>
      </c>
      <c r="H49" s="20">
        <f>IFERROR(datasheet!G57,0)</f>
        <v>920.81</v>
      </c>
      <c r="I49" s="20">
        <f>IFERROR(datasheet!H57,0)</f>
        <v>1347.51</v>
      </c>
      <c r="J49" s="20">
        <f>IFERROR(datasheet!I57,0)</f>
        <v>2095.54</v>
      </c>
      <c r="K49" s="20">
        <f>IFERROR(datasheet!J57,0)</f>
        <v>2202.1999999999998</v>
      </c>
      <c r="L49" s="20">
        <f>IFERROR(datasheet!K57,0)</f>
        <v>2202.1999999999998</v>
      </c>
    </row>
    <row r="50" spans="2:13" x14ac:dyDescent="0.45">
      <c r="B50" t="s">
        <v>32</v>
      </c>
      <c r="C50" s="20">
        <f>IFERROR(datasheet!B58,0)</f>
        <v>37731.15</v>
      </c>
      <c r="D50" s="20">
        <f>IFERROR(datasheet!C58,0)</f>
        <v>41668.53</v>
      </c>
      <c r="E50" s="20">
        <f>IFERROR(datasheet!D58,0)</f>
        <v>41411.53</v>
      </c>
      <c r="F50" s="20">
        <f>IFERROR(datasheet!E58,0)</f>
        <v>42989.75</v>
      </c>
      <c r="G50" s="20">
        <f>IFERROR(datasheet!F58,0)</f>
        <v>40965.19</v>
      </c>
      <c r="H50" s="20">
        <f>IFERROR(datasheet!G58,0)</f>
        <v>45163.56</v>
      </c>
      <c r="I50" s="20">
        <f>IFERROR(datasheet!H58,0)</f>
        <v>62528.86</v>
      </c>
      <c r="J50" s="20">
        <f>IFERROR(datasheet!I58,0)</f>
        <v>90438.8</v>
      </c>
      <c r="K50" s="20">
        <f>IFERROR(datasheet!J58,0)</f>
        <v>95379.72</v>
      </c>
      <c r="L50" s="20">
        <f>IFERROR(datasheet!K58,0)</f>
        <v>100678.3</v>
      </c>
    </row>
    <row r="51" spans="2:13" x14ac:dyDescent="0.45">
      <c r="B51" t="s">
        <v>33</v>
      </c>
      <c r="C51" s="20">
        <f>IFERROR(datasheet!B59,0)</f>
        <v>520236.84</v>
      </c>
      <c r="D51" s="20">
        <f>IFERROR(datasheet!C59,0)</f>
        <v>574450.18999999994</v>
      </c>
      <c r="E51" s="20">
        <f>IFERROR(datasheet!D59,0)</f>
        <v>652056.38</v>
      </c>
      <c r="F51" s="20">
        <f>IFERROR(datasheet!E59,0)</f>
        <v>672986.87</v>
      </c>
      <c r="G51" s="20">
        <f>IFERROR(datasheet!F59,0)</f>
        <v>713768.67</v>
      </c>
      <c r="H51" s="20">
        <f>IFERROR(datasheet!G59,0)</f>
        <v>728702.15</v>
      </c>
      <c r="I51" s="20">
        <f>IFERROR(datasheet!H59,0)</f>
        <v>772766.78</v>
      </c>
      <c r="J51" s="20">
        <f>IFERROR(datasheet!I59,0)</f>
        <v>1166015</v>
      </c>
      <c r="K51" s="20">
        <f>IFERROR(datasheet!J59,0)</f>
        <v>1213606.1299999999</v>
      </c>
      <c r="L51" s="20">
        <f>IFERROR(datasheet!K59,0)</f>
        <v>1360495.69</v>
      </c>
    </row>
    <row r="52" spans="2:13" x14ac:dyDescent="0.45">
      <c r="B52" t="s">
        <v>34</v>
      </c>
      <c r="C52" s="20">
        <f>IFERROR(datasheet!B60,0)</f>
        <v>16490.419999999998</v>
      </c>
      <c r="D52" s="20">
        <f>IFERROR(datasheet!C60,0)</f>
        <v>19521.54</v>
      </c>
      <c r="E52" s="20">
        <f>IFERROR(datasheet!D60,0)</f>
        <v>18932.330000000002</v>
      </c>
      <c r="F52" s="20">
        <f>IFERROR(datasheet!E60,0)</f>
        <v>16908.7</v>
      </c>
      <c r="G52" s="20">
        <f>IFERROR(datasheet!F60,0)</f>
        <v>22242.1</v>
      </c>
      <c r="H52" s="20">
        <f>IFERROR(datasheet!G60,0)</f>
        <v>15333.22</v>
      </c>
      <c r="I52" s="20">
        <f>IFERROR(datasheet!H60,0)</f>
        <v>14814.09</v>
      </c>
      <c r="J52" s="20">
        <f>IFERROR(datasheet!I60,0)</f>
        <v>21175.72</v>
      </c>
      <c r="K52" s="20">
        <f>IFERROR(datasheet!J60,0)</f>
        <v>28113.08</v>
      </c>
      <c r="L52" s="20">
        <f>IFERROR(datasheet!K60,0)</f>
        <v>30272.75</v>
      </c>
    </row>
    <row r="53" spans="2:13" x14ac:dyDescent="0.45">
      <c r="B53" s="33" t="s">
        <v>84</v>
      </c>
      <c r="C53" s="30">
        <f>IFERROR(datasheet!B61,0)</f>
        <v>574820.48</v>
      </c>
      <c r="D53" s="30">
        <f>IFERROR(datasheet!C61,0)</f>
        <v>636011.17000000004</v>
      </c>
      <c r="E53" s="30">
        <f>IFERROR(datasheet!D61,0)</f>
        <v>712792.96</v>
      </c>
      <c r="F53" s="30">
        <f>IFERROR(datasheet!E61,0)</f>
        <v>733310.91</v>
      </c>
      <c r="G53" s="30">
        <f>IFERROR(datasheet!F61,0)</f>
        <v>777528.07</v>
      </c>
      <c r="H53" s="30">
        <f>IFERROR(datasheet!G61,0)</f>
        <v>790119.74</v>
      </c>
      <c r="I53" s="30">
        <f>IFERROR(datasheet!H61,0)</f>
        <v>851457.24</v>
      </c>
      <c r="J53" s="30">
        <f>IFERROR(datasheet!I61,0)</f>
        <v>1279725.06</v>
      </c>
      <c r="K53" s="30">
        <f>IFERROR(datasheet!J61,0)</f>
        <v>1339301.1299999999</v>
      </c>
      <c r="L53" s="30">
        <f>IFERROR(datasheet!K61,0)</f>
        <v>1493648.94</v>
      </c>
      <c r="M53" s="10"/>
    </row>
    <row r="54" spans="2:13" x14ac:dyDescent="0.45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2:13" x14ac:dyDescent="0.45">
      <c r="B55" t="s">
        <v>85</v>
      </c>
      <c r="C55" s="20">
        <f>IFERROR(datasheet!B62,0)</f>
        <v>3490.44</v>
      </c>
      <c r="D55" s="20">
        <f>IFERROR(datasheet!C62,0)</f>
        <v>3655.77</v>
      </c>
      <c r="E55" s="20">
        <f>IFERROR(datasheet!D62,0)</f>
        <v>5308.12</v>
      </c>
      <c r="F55" s="20">
        <f>IFERROR(datasheet!E62,0)</f>
        <v>6297.76</v>
      </c>
      <c r="G55" s="20">
        <f>IFERROR(datasheet!F62,0)</f>
        <v>6370.99</v>
      </c>
      <c r="H55" s="20">
        <f>IFERROR(datasheet!G62,0)</f>
        <v>6246.22</v>
      </c>
      <c r="I55" s="20">
        <f>IFERROR(datasheet!H62,0)</f>
        <v>7261.98</v>
      </c>
      <c r="J55" s="20">
        <f>IFERROR(datasheet!I62,0)</f>
        <v>11048.7</v>
      </c>
      <c r="K55" s="20">
        <f>IFERROR(datasheet!J62,0)</f>
        <v>10696.21</v>
      </c>
      <c r="L55" s="20">
        <f>IFERROR(datasheet!K62,0)</f>
        <v>12083.96</v>
      </c>
    </row>
    <row r="56" spans="2:13" x14ac:dyDescent="0.45">
      <c r="B56" t="s">
        <v>37</v>
      </c>
      <c r="C56" s="20">
        <f>IFERROR(datasheet!B63,0)</f>
        <v>0</v>
      </c>
      <c r="D56" s="20">
        <f>IFERROR(datasheet!C63,0)</f>
        <v>0</v>
      </c>
      <c r="E56" s="20">
        <f>IFERROR(datasheet!D63,0)</f>
        <v>0</v>
      </c>
      <c r="F56" s="20">
        <f>IFERROR(datasheet!E63,0)</f>
        <v>0</v>
      </c>
      <c r="G56" s="20">
        <f>IFERROR(datasheet!F63,0)</f>
        <v>0</v>
      </c>
      <c r="H56" s="20">
        <f>IFERROR(datasheet!G63,0)</f>
        <v>0</v>
      </c>
      <c r="I56" s="20">
        <f>IFERROR(datasheet!H63,0)</f>
        <v>0</v>
      </c>
      <c r="J56" s="20">
        <f>IFERROR(datasheet!I63,0)</f>
        <v>0</v>
      </c>
      <c r="K56" s="20">
        <f>IFERROR(datasheet!J63,0)</f>
        <v>0</v>
      </c>
      <c r="L56" s="20">
        <f>IFERROR(datasheet!K63,0)</f>
        <v>0</v>
      </c>
    </row>
    <row r="57" spans="2:13" x14ac:dyDescent="0.45">
      <c r="B57" t="s">
        <v>38</v>
      </c>
      <c r="C57" s="20">
        <f>IFERROR(datasheet!B64,0)</f>
        <v>149224.70000000001</v>
      </c>
      <c r="D57" s="20">
        <f>IFERROR(datasheet!C64,0)</f>
        <v>156761.66</v>
      </c>
      <c r="E57" s="20">
        <f>IFERROR(datasheet!D64,0)</f>
        <v>165126.48000000001</v>
      </c>
      <c r="F57" s="20">
        <f>IFERROR(datasheet!E64,0)</f>
        <v>191527.16</v>
      </c>
      <c r="G57" s="20">
        <f>IFERROR(datasheet!F64,0)</f>
        <v>204418.68</v>
      </c>
      <c r="H57" s="20">
        <f>IFERROR(datasheet!G64,0)</f>
        <v>210578.31</v>
      </c>
      <c r="I57" s="20">
        <f>IFERROR(datasheet!H64,0)</f>
        <v>253782.47</v>
      </c>
      <c r="J57" s="20">
        <f>IFERROR(datasheet!I64,0)</f>
        <v>404368.96</v>
      </c>
      <c r="K57" s="20">
        <f>IFERROR(datasheet!J64,0)</f>
        <v>388585.82</v>
      </c>
      <c r="L57" s="20">
        <f>IFERROR(datasheet!K64,0)</f>
        <v>416913.84</v>
      </c>
    </row>
    <row r="58" spans="2:13" x14ac:dyDescent="0.45">
      <c r="B58" t="s">
        <v>39</v>
      </c>
      <c r="C58" s="20">
        <f>IFERROR(datasheet!B65-SUM(datasheet!B67:B69),0)</f>
        <v>375239.35000000003</v>
      </c>
      <c r="D58" s="20">
        <f>IFERROR(datasheet!C65-SUM(datasheet!C67:C69),0)</f>
        <v>417334.52</v>
      </c>
      <c r="E58" s="20">
        <f>IFERROR(datasheet!D65-SUM(datasheet!D67:D69),0)</f>
        <v>463308.98</v>
      </c>
      <c r="F58" s="20">
        <f>IFERROR(datasheet!E65-SUM(datasheet!E67:E69),0)</f>
        <v>444106.9</v>
      </c>
      <c r="G58" s="20">
        <f>IFERROR(datasheet!F65-SUM(datasheet!F67:F69),0)</f>
        <v>469250.25</v>
      </c>
      <c r="H58" s="20">
        <f>IFERROR(datasheet!G65-SUM(datasheet!G67:G69),0)</f>
        <v>495999.24</v>
      </c>
      <c r="I58" s="20">
        <f>IFERROR(datasheet!H65-SUM(datasheet!H67:H69),0)</f>
        <v>512657.04000000004</v>
      </c>
      <c r="J58" s="20">
        <f>IFERROR(datasheet!I65-SUM(datasheet!I67:I69),0)</f>
        <v>750972.97</v>
      </c>
      <c r="K58" s="20">
        <f>IFERROR(datasheet!J65-SUM(datasheet!J67:J69),0)</f>
        <v>805825.22</v>
      </c>
      <c r="L58" s="20">
        <f>IFERROR(datasheet!K65-SUM(datasheet!K67:K69),0)</f>
        <v>907322.65999999992</v>
      </c>
    </row>
    <row r="59" spans="2:13" x14ac:dyDescent="0.45">
      <c r="B59" s="33" t="s">
        <v>86</v>
      </c>
      <c r="C59" s="30">
        <f>IFERROR(SUM(C55:C58),0)</f>
        <v>527954.49</v>
      </c>
      <c r="D59" s="30">
        <f t="shared" ref="D59:L59" si="18">IFERROR(SUM(D55:D58),0)</f>
        <v>577751.94999999995</v>
      </c>
      <c r="E59" s="30">
        <f t="shared" si="18"/>
        <v>633743.57999999996</v>
      </c>
      <c r="F59" s="30">
        <f t="shared" si="18"/>
        <v>641931.82000000007</v>
      </c>
      <c r="G59" s="30">
        <f t="shared" si="18"/>
        <v>680039.91999999993</v>
      </c>
      <c r="H59" s="30">
        <f t="shared" si="18"/>
        <v>712823.77</v>
      </c>
      <c r="I59" s="30">
        <f t="shared" si="18"/>
        <v>773701.49</v>
      </c>
      <c r="J59" s="30">
        <f t="shared" si="18"/>
        <v>1166390.6299999999</v>
      </c>
      <c r="K59" s="30">
        <f t="shared" si="18"/>
        <v>1205107.25</v>
      </c>
      <c r="L59" s="30">
        <f t="shared" si="18"/>
        <v>1336320.46</v>
      </c>
      <c r="M59" s="10"/>
    </row>
    <row r="61" spans="2:13" x14ac:dyDescent="0.45">
      <c r="B61" t="s">
        <v>40</v>
      </c>
      <c r="C61" s="20">
        <f>IFERROR(datasheet!B67,0)</f>
        <v>0</v>
      </c>
      <c r="D61" s="20">
        <f>IFERROR(datasheet!C67,0)</f>
        <v>0</v>
      </c>
      <c r="E61" s="20">
        <f>IFERROR(datasheet!D67,0)</f>
        <v>0</v>
      </c>
      <c r="F61" s="20">
        <f>IFERROR(datasheet!E67,0)</f>
        <v>0</v>
      </c>
      <c r="G61" s="20">
        <f>IFERROR(datasheet!F67,0)</f>
        <v>0</v>
      </c>
      <c r="H61" s="20">
        <f>IFERROR(datasheet!G67,0)</f>
        <v>0</v>
      </c>
      <c r="I61" s="20">
        <f>IFERROR(datasheet!H67,0)</f>
        <v>0</v>
      </c>
      <c r="J61" s="20">
        <f>IFERROR(datasheet!I67,0)</f>
        <v>0</v>
      </c>
      <c r="K61" s="20">
        <f>IFERROR(datasheet!J67,0)</f>
        <v>0</v>
      </c>
      <c r="L61" s="20">
        <f>IFERROR(datasheet!K67,0)</f>
        <v>0</v>
      </c>
    </row>
    <row r="62" spans="2:13" x14ac:dyDescent="0.45">
      <c r="B62" t="s">
        <v>41</v>
      </c>
      <c r="C62" s="20">
        <f>IFERROR(datasheet!B68,0)</f>
        <v>0</v>
      </c>
      <c r="D62" s="20">
        <f>IFERROR(datasheet!C68,0)</f>
        <v>0</v>
      </c>
      <c r="E62" s="20">
        <f>IFERROR(datasheet!D68,0)</f>
        <v>0</v>
      </c>
      <c r="F62" s="20">
        <f>IFERROR(datasheet!E68,0)</f>
        <v>0</v>
      </c>
      <c r="G62" s="20">
        <f>IFERROR(datasheet!F68,0)</f>
        <v>0</v>
      </c>
      <c r="H62" s="20">
        <f>IFERROR(datasheet!G68,0)</f>
        <v>0</v>
      </c>
      <c r="I62" s="20">
        <f>IFERROR(datasheet!H68,0)</f>
        <v>0</v>
      </c>
      <c r="J62" s="20">
        <f>IFERROR(datasheet!I68,0)</f>
        <v>0</v>
      </c>
      <c r="K62" s="20">
        <f>IFERROR(datasheet!J68,0)</f>
        <v>0</v>
      </c>
      <c r="L62" s="20">
        <f>IFERROR(datasheet!K68,0)</f>
        <v>0</v>
      </c>
    </row>
    <row r="63" spans="2:13" x14ac:dyDescent="0.45">
      <c r="B63" t="s">
        <v>42</v>
      </c>
      <c r="C63" s="20">
        <f>IFERROR(datasheet!B69,0)</f>
        <v>46865.99</v>
      </c>
      <c r="D63" s="20">
        <f>IFERROR(datasheet!C69,0)</f>
        <v>58259.22</v>
      </c>
      <c r="E63" s="20">
        <f>IFERROR(datasheet!D69,0)</f>
        <v>79049.38</v>
      </c>
      <c r="F63" s="20">
        <f>IFERROR(datasheet!E69,0)</f>
        <v>91379.09</v>
      </c>
      <c r="G63" s="20">
        <f>IFERROR(datasheet!F69,0)</f>
        <v>97488.15</v>
      </c>
      <c r="H63" s="20">
        <f>IFERROR(datasheet!G69,0)</f>
        <v>77295.97</v>
      </c>
      <c r="I63" s="20">
        <f>IFERROR(datasheet!H69,0)</f>
        <v>77755.75</v>
      </c>
      <c r="J63" s="20">
        <f>IFERROR(datasheet!I69,0)</f>
        <v>113334.43</v>
      </c>
      <c r="K63" s="20">
        <f>IFERROR(datasheet!J69,0)</f>
        <v>134193.88</v>
      </c>
      <c r="L63" s="20">
        <f>IFERROR(datasheet!K69,0)</f>
        <v>157328.48000000001</v>
      </c>
    </row>
    <row r="64" spans="2:13" x14ac:dyDescent="0.45">
      <c r="B64" s="33" t="s">
        <v>87</v>
      </c>
      <c r="C64" s="30">
        <f>IFERROR(SUM(C63,C62,C61),0)</f>
        <v>46865.99</v>
      </c>
      <c r="D64" s="30">
        <f t="shared" ref="D64:L64" si="19">IFERROR(SUM(D63,D62,D61),0)</f>
        <v>58259.22</v>
      </c>
      <c r="E64" s="30">
        <f t="shared" si="19"/>
        <v>79049.38</v>
      </c>
      <c r="F64" s="30">
        <f t="shared" si="19"/>
        <v>91379.09</v>
      </c>
      <c r="G64" s="30">
        <f t="shared" si="19"/>
        <v>97488.15</v>
      </c>
      <c r="H64" s="30">
        <f t="shared" si="19"/>
        <v>77295.97</v>
      </c>
      <c r="I64" s="30">
        <f t="shared" si="19"/>
        <v>77755.75</v>
      </c>
      <c r="J64" s="30">
        <f t="shared" si="19"/>
        <v>113334.43</v>
      </c>
      <c r="K64" s="30">
        <f t="shared" si="19"/>
        <v>134193.88</v>
      </c>
      <c r="L64" s="30">
        <f t="shared" si="19"/>
        <v>157328.48000000001</v>
      </c>
    </row>
    <row r="66" spans="1:17" x14ac:dyDescent="0.45">
      <c r="B66" s="33" t="s">
        <v>88</v>
      </c>
      <c r="C66" s="30">
        <f>IFERROR(SUM(C59,C64),0)</f>
        <v>574820.48</v>
      </c>
      <c r="D66" s="30">
        <f t="shared" ref="D66:L66" si="20">IFERROR(SUM(D59,D64),0)</f>
        <v>636011.16999999993</v>
      </c>
      <c r="E66" s="30">
        <f t="shared" si="20"/>
        <v>712792.96</v>
      </c>
      <c r="F66" s="30">
        <f t="shared" si="20"/>
        <v>733310.91</v>
      </c>
      <c r="G66" s="30">
        <f t="shared" si="20"/>
        <v>777528.07</v>
      </c>
      <c r="H66" s="30">
        <f t="shared" si="20"/>
        <v>790119.74</v>
      </c>
      <c r="I66" s="30">
        <f t="shared" si="20"/>
        <v>851457.24</v>
      </c>
      <c r="J66" s="30">
        <f t="shared" si="20"/>
        <v>1279725.0599999998</v>
      </c>
      <c r="K66" s="30">
        <f t="shared" si="20"/>
        <v>1339301.1299999999</v>
      </c>
      <c r="L66" s="30">
        <f t="shared" si="20"/>
        <v>1493648.94</v>
      </c>
      <c r="M66" s="10"/>
      <c r="N66" s="10"/>
    </row>
    <row r="67" spans="1:17" x14ac:dyDescent="0.45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Q67" t="s">
        <v>99</v>
      </c>
    </row>
    <row r="68" spans="1:17" x14ac:dyDescent="0.45">
      <c r="B68" t="s">
        <v>89</v>
      </c>
      <c r="C68" t="b">
        <f>C66=C53</f>
        <v>1</v>
      </c>
      <c r="D68" t="b">
        <f t="shared" ref="D68:L68" si="21">D66=D53</f>
        <v>1</v>
      </c>
      <c r="E68" t="b">
        <f t="shared" si="21"/>
        <v>1</v>
      </c>
      <c r="F68" t="b">
        <f t="shared" si="21"/>
        <v>1</v>
      </c>
      <c r="G68" t="b">
        <f t="shared" si="21"/>
        <v>1</v>
      </c>
      <c r="H68" t="b">
        <f t="shared" si="21"/>
        <v>1</v>
      </c>
      <c r="I68" t="b">
        <f t="shared" si="21"/>
        <v>1</v>
      </c>
      <c r="J68" t="b">
        <f t="shared" si="21"/>
        <v>1</v>
      </c>
      <c r="K68" t="b">
        <f t="shared" si="21"/>
        <v>1</v>
      </c>
      <c r="L68" t="b">
        <f t="shared" si="21"/>
        <v>1</v>
      </c>
    </row>
    <row r="70" spans="1:17" x14ac:dyDescent="0.45">
      <c r="A70" s="23" t="s">
        <v>114</v>
      </c>
      <c r="B70" s="23" t="s">
        <v>115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</row>
    <row r="71" spans="1:17" x14ac:dyDescent="0.45">
      <c r="B71" s="10" t="s">
        <v>117</v>
      </c>
    </row>
    <row r="72" spans="1:17" x14ac:dyDescent="0.45">
      <c r="B72" t="s">
        <v>91</v>
      </c>
      <c r="C72" s="20">
        <f>IFERROR('cash flow data'!E4,0)</f>
        <v>13311</v>
      </c>
      <c r="D72" s="20">
        <f>IFERROR('cash flow data'!F4,0)</f>
        <v>14563</v>
      </c>
      <c r="E72" s="20">
        <f>IFERROR('cash flow data'!G4,0)</f>
        <v>15358</v>
      </c>
      <c r="F72" s="20">
        <f>IFERROR('cash flow data'!H4,0)</f>
        <v>17270</v>
      </c>
      <c r="G72" s="20">
        <f>IFERROR('cash flow data'!I4,0)</f>
        <v>8305</v>
      </c>
      <c r="H72" s="20">
        <f>IFERROR('cash flow data'!J4,0)</f>
        <v>13580</v>
      </c>
      <c r="I72" s="20">
        <f>IFERROR('cash flow data'!K4,0)</f>
        <v>16862</v>
      </c>
      <c r="J72" s="20">
        <f>IFERROR('cash flow data'!L4,0)</f>
        <v>26551</v>
      </c>
      <c r="K72" s="20">
        <f>IFERROR('cash flow data'!M4,0)</f>
        <v>24532</v>
      </c>
      <c r="L72" s="20">
        <f>IFERROR('cash flow data'!N4,0)</f>
        <v>28086</v>
      </c>
    </row>
    <row r="73" spans="1:17" x14ac:dyDescent="0.45">
      <c r="B73" t="s">
        <v>92</v>
      </c>
      <c r="C73" s="20">
        <f>IFERROR('cash flow data'!E5,0)</f>
        <v>-50411</v>
      </c>
      <c r="D73" s="20">
        <f>IFERROR('cash flow data'!F5,0)</f>
        <v>-46780</v>
      </c>
      <c r="E73" s="20">
        <f>IFERROR('cash flow data'!G5,0)</f>
        <v>-60250</v>
      </c>
      <c r="F73" s="20">
        <f>IFERROR('cash flow data'!H5,0)</f>
        <v>7438</v>
      </c>
      <c r="G73" s="20">
        <f>IFERROR('cash flow data'!I5,0)</f>
        <v>-39447</v>
      </c>
      <c r="H73" s="20">
        <f>IFERROR('cash flow data'!J5,0)</f>
        <v>-48883</v>
      </c>
      <c r="I73" s="20">
        <f>IFERROR('cash flow data'!K5,0)</f>
        <v>-29243</v>
      </c>
      <c r="J73" s="20">
        <f>IFERROR('cash flow data'!L5,0)</f>
        <v>4879</v>
      </c>
      <c r="K73" s="20">
        <f>IFERROR('cash flow data'!M5,0)</f>
        <v>-68538</v>
      </c>
      <c r="L73" s="20">
        <f>IFERROR('cash flow data'!N5,0)</f>
        <v>-118493</v>
      </c>
    </row>
    <row r="74" spans="1:17" x14ac:dyDescent="0.45">
      <c r="B74" t="s">
        <v>93</v>
      </c>
      <c r="C74" s="20">
        <f>IFERROR('cash flow data'!E6,0)</f>
        <v>-15329</v>
      </c>
      <c r="D74" s="20">
        <f>IFERROR('cash flow data'!F6,0)</f>
        <v>-6626</v>
      </c>
      <c r="E74" s="20">
        <f>IFERROR('cash flow data'!G6,0)</f>
        <v>-8095</v>
      </c>
      <c r="F74" s="20">
        <f>IFERROR('cash flow data'!H6,0)</f>
        <v>-27445</v>
      </c>
      <c r="G74" s="20">
        <f>IFERROR('cash flow data'!I6,0)</f>
        <v>-15353</v>
      </c>
      <c r="H74" s="20">
        <f>IFERROR('cash flow data'!J6,0)</f>
        <v>-6986</v>
      </c>
      <c r="I74" s="20">
        <f>IFERROR('cash flow data'!K6,0)</f>
        <v>-42716</v>
      </c>
      <c r="J74" s="20">
        <f>IFERROR('cash flow data'!L6,0)</f>
        <v>-19674</v>
      </c>
      <c r="K74" s="20">
        <f>IFERROR('cash flow data'!M6,0)</f>
        <v>15305</v>
      </c>
      <c r="L74" s="20">
        <f>IFERROR('cash flow data'!N6,0)</f>
        <v>-29448</v>
      </c>
    </row>
    <row r="75" spans="1:17" x14ac:dyDescent="0.45">
      <c r="B75" t="s">
        <v>94</v>
      </c>
      <c r="C75" s="20">
        <f>IFERROR('cash flow data'!E7,0)</f>
        <v>8031</v>
      </c>
      <c r="D75" s="20">
        <f>IFERROR('cash flow data'!F7,0)</f>
        <v>-7219</v>
      </c>
      <c r="E75" s="20">
        <f>IFERROR('cash flow data'!G7,0)</f>
        <v>16051</v>
      </c>
      <c r="F75" s="20">
        <f>IFERROR('cash flow data'!H7,0)</f>
        <v>-29203</v>
      </c>
      <c r="G75" s="20">
        <f>IFERROR('cash flow data'!I7,0)</f>
        <v>23206</v>
      </c>
      <c r="H75" s="20">
        <f>IFERROR('cash flow data'!J7,0)</f>
        <v>-16287</v>
      </c>
      <c r="I75" s="20">
        <f>IFERROR('cash flow data'!K7,0)</f>
        <v>16875</v>
      </c>
      <c r="J75" s="20">
        <f>IFERROR('cash flow data'!L7,0)</f>
        <v>-30006</v>
      </c>
      <c r="K75" s="20">
        <f>IFERROR('cash flow data'!M7,0)</f>
        <v>4620</v>
      </c>
      <c r="L75" s="20">
        <f>IFERROR('cash flow data'!N7,0)</f>
        <v>6315</v>
      </c>
    </row>
    <row r="76" spans="1:17" x14ac:dyDescent="0.45">
      <c r="B76" t="s">
        <v>95</v>
      </c>
      <c r="C76" s="20">
        <f>IFERROR('cash flow data'!E8,0)</f>
        <v>62203</v>
      </c>
      <c r="D76" s="20">
        <f>IFERROR('cash flow data'!F8,0)</f>
        <v>54042</v>
      </c>
      <c r="E76" s="20">
        <f>IFERROR('cash flow data'!G8,0)</f>
        <v>55137</v>
      </c>
      <c r="F76" s="20">
        <f>IFERROR('cash flow data'!H8,0)</f>
        <v>59268</v>
      </c>
      <c r="G76" s="20">
        <f>IFERROR('cash flow data'!I8,0)</f>
        <v>18788</v>
      </c>
      <c r="H76" s="20">
        <f>IFERROR('cash flow data'!J8,0)</f>
        <v>33435</v>
      </c>
      <c r="I76" s="20">
        <f>IFERROR('cash flow data'!K8,0)</f>
        <v>28380</v>
      </c>
      <c r="J76" s="20">
        <f>IFERROR('cash flow data'!L8,0)</f>
        <v>35746</v>
      </c>
      <c r="K76" s="20">
        <f>IFERROR('cash flow data'!M8,0)</f>
        <v>40518</v>
      </c>
      <c r="L76" s="20">
        <f>IFERROR('cash flow data'!N8,0)</f>
        <v>136113</v>
      </c>
    </row>
    <row r="77" spans="1:17" x14ac:dyDescent="0.45">
      <c r="B77" t="s">
        <v>96</v>
      </c>
      <c r="C77" s="20">
        <f>IFERROR('cash flow data'!E9,0)</f>
        <v>825</v>
      </c>
      <c r="D77" s="20">
        <f>IFERROR('cash flow data'!F9,0)</f>
        <v>-610</v>
      </c>
      <c r="E77" s="20">
        <f>IFERROR('cash flow data'!G9,0)</f>
        <v>-2463</v>
      </c>
      <c r="F77" s="20">
        <f>IFERROR('cash flow data'!H9,0)</f>
        <v>-3974</v>
      </c>
      <c r="G77" s="20">
        <f>IFERROR('cash flow data'!I9,0)</f>
        <v>4540</v>
      </c>
      <c r="H77" s="20">
        <f>IFERROR('cash flow data'!J9,0)</f>
        <v>-8361</v>
      </c>
      <c r="I77" s="20">
        <f>IFERROR('cash flow data'!K9,0)</f>
        <v>-753</v>
      </c>
      <c r="J77" s="20">
        <f>IFERROR('cash flow data'!L9,0)</f>
        <v>-15942</v>
      </c>
      <c r="K77" s="20">
        <f>IFERROR('cash flow data'!M9,0)</f>
        <v>5225</v>
      </c>
      <c r="L77" s="20">
        <f>IFERROR('cash flow data'!N9,0)</f>
        <v>1224</v>
      </c>
    </row>
    <row r="78" spans="1:17" x14ac:dyDescent="0.45">
      <c r="B78" t="s">
        <v>97</v>
      </c>
      <c r="C78" s="20">
        <f>IFERROR('cash flow data'!E10,0)</f>
        <v>5320</v>
      </c>
      <c r="D78" s="20">
        <f>IFERROR('cash flow data'!F10,0)</f>
        <v>-7193</v>
      </c>
      <c r="E78" s="20">
        <f>IFERROR('cash flow data'!G10,0)</f>
        <v>381</v>
      </c>
      <c r="F78" s="20">
        <f>IFERROR('cash flow data'!H10,0)</f>
        <v>6085</v>
      </c>
      <c r="G78" s="20">
        <f>IFERROR('cash flow data'!I10,0)</f>
        <v>-8265</v>
      </c>
      <c r="H78" s="20">
        <f>IFERROR('cash flow data'!J10,0)</f>
        <v>-47082</v>
      </c>
      <c r="I78" s="20">
        <f>IFERROR('cash flow data'!K10,0)</f>
        <v>-27457</v>
      </c>
      <c r="J78" s="20">
        <f>IFERROR('cash flow data'!L10,0)</f>
        <v>-24997</v>
      </c>
      <c r="K78" s="20">
        <f>IFERROR('cash flow data'!M10,0)</f>
        <v>-2871</v>
      </c>
      <c r="L78" s="20">
        <f>IFERROR('cash flow data'!N10,0)</f>
        <v>-4289</v>
      </c>
    </row>
    <row r="79" spans="1:17" x14ac:dyDescent="0.45">
      <c r="B79" t="s">
        <v>98</v>
      </c>
      <c r="C79" s="20">
        <f>IFERROR('cash flow data'!E11,0)</f>
        <v>-1725</v>
      </c>
      <c r="D79" s="20">
        <f>IFERROR('cash flow data'!F11,0)</f>
        <v>-2556</v>
      </c>
      <c r="E79" s="20">
        <f>IFERROR('cash flow data'!G11,0)</f>
        <v>-1572</v>
      </c>
      <c r="F79" s="20">
        <f>IFERROR('cash flow data'!H11,0)</f>
        <v>-1417</v>
      </c>
      <c r="G79" s="20">
        <f>IFERROR('cash flow data'!I11,0)</f>
        <v>-1782</v>
      </c>
      <c r="H79" s="20">
        <f>IFERROR('cash flow data'!J11,0)</f>
        <v>-30</v>
      </c>
      <c r="I79" s="20">
        <f>IFERROR('cash flow data'!K11,0)</f>
        <v>-2198</v>
      </c>
      <c r="J79" s="20">
        <f>IFERROR('cash flow data'!L11,0)</f>
        <v>-314</v>
      </c>
      <c r="K79" s="20">
        <f>IFERROR('cash flow data'!M11,0)</f>
        <v>-1629</v>
      </c>
      <c r="L79" s="20">
        <f>IFERROR('cash flow data'!N11,0)</f>
        <v>-1204</v>
      </c>
    </row>
    <row r="80" spans="1:17" ht="14.65" thickBot="1" x14ac:dyDescent="0.5">
      <c r="B80" t="s">
        <v>99</v>
      </c>
      <c r="C80" s="20">
        <f>IFERROR('cash flow data'!E12,0)</f>
        <v>0</v>
      </c>
      <c r="D80" s="20">
        <f>IFERROR('cash flow data'!F12,0)</f>
        <v>0</v>
      </c>
      <c r="E80" s="20">
        <f>IFERROR('cash flow data'!G12,0)</f>
        <v>0</v>
      </c>
      <c r="F80" s="20">
        <f>IFERROR('cash flow data'!H12,0)</f>
        <v>0</v>
      </c>
      <c r="G80" s="20">
        <f>IFERROR('cash flow data'!I12,0)</f>
        <v>0</v>
      </c>
      <c r="H80" s="20">
        <f>IFERROR('cash flow data'!J12,0)</f>
        <v>0</v>
      </c>
      <c r="I80" s="20">
        <f>IFERROR('cash flow data'!K12,0)</f>
        <v>0</v>
      </c>
      <c r="J80" s="20">
        <f>IFERROR('cash flow data'!L12,0)</f>
        <v>29711</v>
      </c>
      <c r="K80" s="20">
        <f>IFERROR('cash flow data'!M12,0)</f>
        <v>0</v>
      </c>
      <c r="L80" s="20">
        <f>IFERROR('cash flow data'!N12,0)</f>
        <v>0</v>
      </c>
    </row>
    <row r="81" spans="2:12" x14ac:dyDescent="0.45">
      <c r="B81" s="10" t="s">
        <v>116</v>
      </c>
      <c r="C81" s="24">
        <f>SUM(C72:C80)</f>
        <v>22225</v>
      </c>
      <c r="D81" s="24">
        <f t="shared" ref="D81:L81" si="22">SUM(D72:D80)</f>
        <v>-2379</v>
      </c>
      <c r="E81" s="24">
        <f t="shared" si="22"/>
        <v>14547</v>
      </c>
      <c r="F81" s="24">
        <f t="shared" si="22"/>
        <v>28022</v>
      </c>
      <c r="G81" s="24">
        <f t="shared" si="22"/>
        <v>-10008</v>
      </c>
      <c r="H81" s="24">
        <f t="shared" si="22"/>
        <v>-80614</v>
      </c>
      <c r="I81" s="24">
        <f t="shared" si="22"/>
        <v>-40250</v>
      </c>
      <c r="J81" s="24">
        <f t="shared" si="22"/>
        <v>5954</v>
      </c>
      <c r="K81" s="24">
        <f t="shared" si="22"/>
        <v>17162</v>
      </c>
      <c r="L81" s="24">
        <f t="shared" si="22"/>
        <v>18304</v>
      </c>
    </row>
    <row r="83" spans="2:12" x14ac:dyDescent="0.45">
      <c r="B83" s="10" t="s">
        <v>118</v>
      </c>
    </row>
    <row r="84" spans="2:12" x14ac:dyDescent="0.45">
      <c r="B84" t="s">
        <v>101</v>
      </c>
      <c r="C84" s="20">
        <f>IFERROR('cash flow data'!E14,0)</f>
        <v>-430</v>
      </c>
      <c r="D84" s="20">
        <f>IFERROR('cash flow data'!F14,0)</f>
        <v>-546</v>
      </c>
      <c r="E84" s="20">
        <f>IFERROR('cash flow data'!G14,0)</f>
        <v>-606</v>
      </c>
      <c r="F84" s="20">
        <f>IFERROR('cash flow data'!H14,0)</f>
        <v>-496</v>
      </c>
      <c r="G84" s="20">
        <f>IFERROR('cash flow data'!I14,0)</f>
        <v>-652</v>
      </c>
      <c r="H84" s="20">
        <f>IFERROR('cash flow data'!J14,0)</f>
        <v>-440</v>
      </c>
      <c r="I84" s="20">
        <f>IFERROR('cash flow data'!K14,0)</f>
        <v>-338</v>
      </c>
      <c r="J84" s="20">
        <f>IFERROR('cash flow data'!L14,0)</f>
        <v>-787</v>
      </c>
      <c r="K84" s="20">
        <f>IFERROR('cash flow data'!M14,0)</f>
        <v>-536</v>
      </c>
      <c r="L84" s="20">
        <f>IFERROR('cash flow data'!N14,0)</f>
        <v>-552</v>
      </c>
    </row>
    <row r="85" spans="2:12" x14ac:dyDescent="0.45">
      <c r="B85" t="s">
        <v>102</v>
      </c>
      <c r="C85" s="20">
        <f>IFERROR('cash flow data'!E15,0)</f>
        <v>128</v>
      </c>
      <c r="D85" s="20">
        <f>IFERROR('cash flow data'!F15,0)</f>
        <v>0</v>
      </c>
      <c r="E85" s="20">
        <f>IFERROR('cash flow data'!G15,0)</f>
        <v>0</v>
      </c>
      <c r="F85" s="20">
        <f>IFERROR('cash flow data'!H15,0)</f>
        <v>0</v>
      </c>
      <c r="G85" s="20">
        <f>IFERROR('cash flow data'!I15,0)</f>
        <v>0</v>
      </c>
      <c r="H85" s="20">
        <f>IFERROR('cash flow data'!J15,0)</f>
        <v>0</v>
      </c>
      <c r="I85" s="20">
        <f>IFERROR('cash flow data'!K15,0)</f>
        <v>0</v>
      </c>
      <c r="J85" s="20">
        <f>IFERROR('cash flow data'!L15,0)</f>
        <v>0</v>
      </c>
      <c r="K85" s="20">
        <f>IFERROR('cash flow data'!M15,0)</f>
        <v>0</v>
      </c>
      <c r="L85" s="20">
        <f>IFERROR('cash flow data'!N15,0)</f>
        <v>0</v>
      </c>
    </row>
    <row r="86" spans="2:12" x14ac:dyDescent="0.45">
      <c r="B86" t="s">
        <v>103</v>
      </c>
      <c r="C86" s="20">
        <f>IFERROR('cash flow data'!E16,0)</f>
        <v>0</v>
      </c>
      <c r="D86" s="20">
        <f>IFERROR('cash flow data'!F16,0)</f>
        <v>0</v>
      </c>
      <c r="E86" s="20">
        <f>IFERROR('cash flow data'!G16,0)</f>
        <v>23</v>
      </c>
      <c r="F86" s="20">
        <f>IFERROR('cash flow data'!H16,0)</f>
        <v>96</v>
      </c>
      <c r="G86" s="20">
        <f>IFERROR('cash flow data'!I16,0)</f>
        <v>140</v>
      </c>
      <c r="H86" s="20">
        <f>IFERROR('cash flow data'!J16,0)</f>
        <v>149</v>
      </c>
      <c r="I86" s="20">
        <f>IFERROR('cash flow data'!K16,0)</f>
        <v>0</v>
      </c>
      <c r="J86" s="20">
        <f>IFERROR('cash flow data'!L16,0)</f>
        <v>0</v>
      </c>
      <c r="K86" s="20">
        <f>IFERROR('cash flow data'!M16,0)</f>
        <v>0</v>
      </c>
      <c r="L86" s="20">
        <f>IFERROR('cash flow data'!N16,0)</f>
        <v>0</v>
      </c>
    </row>
    <row r="87" spans="2:12" x14ac:dyDescent="0.45">
      <c r="B87" t="s">
        <v>104</v>
      </c>
      <c r="C87" s="20">
        <f>IFERROR('cash flow data'!E17,0)</f>
        <v>0</v>
      </c>
      <c r="D87" s="20">
        <f>IFERROR('cash flow data'!F17,0)</f>
        <v>-326</v>
      </c>
      <c r="E87" s="20">
        <f>IFERROR('cash flow data'!G17,0)</f>
        <v>-769</v>
      </c>
      <c r="F87" s="20">
        <f>IFERROR('cash flow data'!H17,0)</f>
        <v>0</v>
      </c>
      <c r="G87" s="20">
        <f>IFERROR('cash flow data'!I17,0)</f>
        <v>0</v>
      </c>
      <c r="H87" s="20">
        <f>IFERROR('cash flow data'!J17,0)</f>
        <v>0</v>
      </c>
      <c r="I87" s="20">
        <f>IFERROR('cash flow data'!K17,0)</f>
        <v>0</v>
      </c>
      <c r="J87" s="20">
        <f>IFERROR('cash flow data'!L17,0)</f>
        <v>0</v>
      </c>
      <c r="K87" s="20">
        <f>IFERROR('cash flow data'!M17,0)</f>
        <v>-668</v>
      </c>
      <c r="L87" s="20">
        <f>IFERROR('cash flow data'!N17,0)</f>
        <v>-180</v>
      </c>
    </row>
    <row r="88" spans="2:12" x14ac:dyDescent="0.45">
      <c r="B88" t="s">
        <v>105</v>
      </c>
      <c r="C88" s="20">
        <f>IFERROR('cash flow data'!E18,0)</f>
        <v>0</v>
      </c>
      <c r="D88" s="20">
        <f>IFERROR('cash flow data'!F18,0)</f>
        <v>0</v>
      </c>
      <c r="E88" s="20">
        <f>IFERROR('cash flow data'!G18,0)</f>
        <v>0</v>
      </c>
      <c r="F88" s="20">
        <f>IFERROR('cash flow data'!H18,0)</f>
        <v>559</v>
      </c>
      <c r="G88" s="20">
        <f>IFERROR('cash flow data'!I18,0)</f>
        <v>904</v>
      </c>
      <c r="H88" s="20">
        <f>IFERROR('cash flow data'!J18,0)</f>
        <v>0</v>
      </c>
      <c r="I88" s="20">
        <f>IFERROR('cash flow data'!K18,0)</f>
        <v>0</v>
      </c>
      <c r="J88" s="20">
        <f>IFERROR('cash flow data'!L18,0)</f>
        <v>0</v>
      </c>
      <c r="K88" s="20">
        <f>IFERROR('cash flow data'!M18,0)</f>
        <v>0</v>
      </c>
      <c r="L88" s="20">
        <f>IFERROR('cash flow data'!N18,0)</f>
        <v>0</v>
      </c>
    </row>
    <row r="89" spans="2:12" ht="14.65" thickBot="1" x14ac:dyDescent="0.5">
      <c r="B89" t="s">
        <v>106</v>
      </c>
      <c r="C89" s="20">
        <f>IFERROR('cash flow data'!E19,0)</f>
        <v>0</v>
      </c>
      <c r="D89" s="20">
        <f>IFERROR('cash flow data'!F19,0)</f>
        <v>0</v>
      </c>
      <c r="E89" s="20">
        <f>IFERROR('cash flow data'!G19,0)</f>
        <v>0</v>
      </c>
      <c r="F89" s="20">
        <f>IFERROR('cash flow data'!H19,0)</f>
        <v>0</v>
      </c>
      <c r="G89" s="20">
        <f>IFERROR('cash flow data'!I19,0)</f>
        <v>0</v>
      </c>
      <c r="H89" s="20">
        <f>IFERROR('cash flow data'!J19,0)</f>
        <v>-338</v>
      </c>
      <c r="I89" s="20">
        <f>IFERROR('cash flow data'!K19,0)</f>
        <v>0</v>
      </c>
      <c r="J89" s="20">
        <f>IFERROR('cash flow data'!L19,0)</f>
        <v>0</v>
      </c>
      <c r="K89" s="20">
        <f>IFERROR('cash flow data'!M19,0)</f>
        <v>0</v>
      </c>
      <c r="L89" s="20">
        <f>IFERROR('cash flow data'!N19,0)</f>
        <v>0</v>
      </c>
    </row>
    <row r="90" spans="2:12" x14ac:dyDescent="0.45">
      <c r="B90" s="10" t="s">
        <v>119</v>
      </c>
      <c r="C90" s="25">
        <f>SUM(C84:C89)</f>
        <v>-302</v>
      </c>
      <c r="D90" s="25">
        <f t="shared" ref="D90:L90" si="23">SUM(D84:D89)</f>
        <v>-872</v>
      </c>
      <c r="E90" s="25">
        <f t="shared" si="23"/>
        <v>-1352</v>
      </c>
      <c r="F90" s="25">
        <f t="shared" si="23"/>
        <v>159</v>
      </c>
      <c r="G90" s="25">
        <f t="shared" si="23"/>
        <v>392</v>
      </c>
      <c r="H90" s="25">
        <f t="shared" si="23"/>
        <v>-629</v>
      </c>
      <c r="I90" s="25">
        <f t="shared" si="23"/>
        <v>-338</v>
      </c>
      <c r="J90" s="25">
        <f t="shared" si="23"/>
        <v>-787</v>
      </c>
      <c r="K90" s="25">
        <f t="shared" si="23"/>
        <v>-1204</v>
      </c>
      <c r="L90" s="25">
        <f t="shared" si="23"/>
        <v>-732</v>
      </c>
    </row>
    <row r="92" spans="2:12" x14ac:dyDescent="0.45">
      <c r="B92" s="10" t="s">
        <v>120</v>
      </c>
    </row>
    <row r="93" spans="2:12" x14ac:dyDescent="0.45">
      <c r="B93" t="s">
        <v>108</v>
      </c>
      <c r="C93" s="20">
        <f>IFERROR('cash flow data'!E21,0)</f>
        <v>643</v>
      </c>
      <c r="D93" s="20">
        <f>IFERROR('cash flow data'!F21,0)</f>
        <v>1327</v>
      </c>
      <c r="E93" s="20">
        <f>IFERROR('cash flow data'!G21,0)</f>
        <v>2009</v>
      </c>
      <c r="F93" s="20">
        <f>IFERROR('cash flow data'!H21,0)</f>
        <v>1066</v>
      </c>
      <c r="G93" s="20">
        <f>IFERROR('cash flow data'!I21,0)</f>
        <v>10486</v>
      </c>
      <c r="H93" s="20">
        <f>IFERROR('cash flow data'!J21,0)</f>
        <v>14810</v>
      </c>
      <c r="I93" s="20">
        <f>IFERROR('cash flow data'!K21,0)</f>
        <v>16091</v>
      </c>
      <c r="J93" s="20">
        <f>IFERROR('cash flow data'!L21,0)</f>
        <v>3777</v>
      </c>
      <c r="K93" s="20">
        <f>IFERROR('cash flow data'!M21,0)</f>
        <v>1793</v>
      </c>
      <c r="L93" s="20">
        <f>IFERROR('cash flow data'!N21,0)</f>
        <v>0</v>
      </c>
    </row>
    <row r="94" spans="2:12" x14ac:dyDescent="0.45">
      <c r="B94" t="s">
        <v>109</v>
      </c>
      <c r="C94" s="20">
        <f>IFERROR('cash flow data'!E22,0)</f>
        <v>0</v>
      </c>
      <c r="D94" s="20">
        <f>IFERROR('cash flow data'!F22,0)</f>
        <v>7391</v>
      </c>
      <c r="E94" s="20">
        <f>IFERROR('cash flow data'!G22,0)</f>
        <v>6418</v>
      </c>
      <c r="F94" s="20">
        <f>IFERROR('cash flow data'!H22,0)</f>
        <v>0</v>
      </c>
      <c r="G94" s="20">
        <f>IFERROR('cash flow data'!I22,0)</f>
        <v>0</v>
      </c>
      <c r="H94" s="20">
        <f>IFERROR('cash flow data'!J22,0)</f>
        <v>0</v>
      </c>
      <c r="I94" s="20">
        <f>IFERROR('cash flow data'!K22,0)</f>
        <v>0</v>
      </c>
      <c r="J94" s="20">
        <f>IFERROR('cash flow data'!L22,0)</f>
        <v>3505</v>
      </c>
      <c r="K94" s="20">
        <f>IFERROR('cash flow data'!M22,0)</f>
        <v>2454</v>
      </c>
      <c r="L94" s="20">
        <f>IFERROR('cash flow data'!N22,0)</f>
        <v>4462</v>
      </c>
    </row>
    <row r="95" spans="2:12" x14ac:dyDescent="0.45">
      <c r="B95" t="s">
        <v>110</v>
      </c>
      <c r="C95" s="20">
        <f>IFERROR('cash flow data'!E23,0)</f>
        <v>0</v>
      </c>
      <c r="D95" s="20">
        <f>IFERROR('cash flow data'!F23,0)</f>
        <v>0</v>
      </c>
      <c r="E95" s="20">
        <f>IFERROR('cash flow data'!G23,0)</f>
        <v>0</v>
      </c>
      <c r="F95" s="20">
        <f>IFERROR('cash flow data'!H23,0)</f>
        <v>-9135</v>
      </c>
      <c r="G95" s="20">
        <f>IFERROR('cash flow data'!I23,0)</f>
        <v>-1212</v>
      </c>
      <c r="H95" s="20">
        <f>IFERROR('cash flow data'!J23,0)</f>
        <v>-2215</v>
      </c>
      <c r="I95" s="20">
        <f>IFERROR('cash flow data'!K23,0)</f>
        <v>-1190</v>
      </c>
      <c r="J95" s="20">
        <f>IFERROR('cash flow data'!L23,0)</f>
        <v>0</v>
      </c>
      <c r="K95" s="20">
        <f>IFERROR('cash flow data'!M23,0)</f>
        <v>0</v>
      </c>
      <c r="L95" s="20">
        <f>IFERROR('cash flow data'!N23,0)</f>
        <v>0</v>
      </c>
    </row>
    <row r="96" spans="2:12" x14ac:dyDescent="0.45">
      <c r="B96" t="s">
        <v>111</v>
      </c>
      <c r="C96" s="20">
        <f>IFERROR('cash flow data'!E24,0)</f>
        <v>-939</v>
      </c>
      <c r="D96" s="20">
        <f>IFERROR('cash flow data'!F24,0)</f>
        <v>-1224</v>
      </c>
      <c r="E96" s="20">
        <f>IFERROR('cash flow data'!G24,0)</f>
        <v>-1647</v>
      </c>
      <c r="F96" s="20">
        <f>IFERROR('cash flow data'!H24,0)</f>
        <v>-1624</v>
      </c>
      <c r="G96" s="20">
        <f>IFERROR('cash flow data'!I24,0)</f>
        <v>-1807</v>
      </c>
      <c r="H96" s="20">
        <f>IFERROR('cash flow data'!J24,0)</f>
        <v>0</v>
      </c>
      <c r="I96" s="20">
        <f>IFERROR('cash flow data'!K24,0)</f>
        <v>-1353</v>
      </c>
      <c r="J96" s="20">
        <f>IFERROR('cash flow data'!L24,0)</f>
        <v>-1993</v>
      </c>
      <c r="K96" s="20">
        <f>IFERROR('cash flow data'!M24,0)</f>
        <v>-2202</v>
      </c>
      <c r="L96" s="20">
        <f>IFERROR('cash flow data'!N24,0)</f>
        <v>-2468</v>
      </c>
    </row>
    <row r="97" spans="2:12" x14ac:dyDescent="0.45">
      <c r="B97" t="s">
        <v>112</v>
      </c>
      <c r="C97" s="20">
        <f>IFERROR('cash flow data'!E25,0)</f>
        <v>-1487</v>
      </c>
      <c r="D97" s="20">
        <f>IFERROR('cash flow data'!F25,0)</f>
        <v>-42</v>
      </c>
      <c r="E97" s="20">
        <f>IFERROR('cash flow data'!G25,0)</f>
        <v>-805</v>
      </c>
      <c r="F97" s="20">
        <f>IFERROR('cash flow data'!H25,0)</f>
        <v>-75</v>
      </c>
      <c r="G97" s="20">
        <f>IFERROR('cash flow data'!I25,0)</f>
        <v>-7</v>
      </c>
      <c r="H97" s="20">
        <f>IFERROR('cash flow data'!J25,0)</f>
        <v>-7</v>
      </c>
      <c r="I97" s="20">
        <f>IFERROR('cash flow data'!K25,0)</f>
        <v>-30</v>
      </c>
      <c r="J97" s="20">
        <f>IFERROR('cash flow data'!L25,0)</f>
        <v>0</v>
      </c>
      <c r="K97" s="20">
        <f>IFERROR('cash flow data'!M25,0)</f>
        <v>0</v>
      </c>
      <c r="L97" s="20">
        <f>IFERROR('cash flow data'!N25,0)</f>
        <v>-705</v>
      </c>
    </row>
    <row r="98" spans="2:12" ht="14.65" thickBot="1" x14ac:dyDescent="0.5">
      <c r="B98" t="s">
        <v>113</v>
      </c>
      <c r="C98" s="20">
        <f>IFERROR('cash flow data'!E26,0)</f>
        <v>3912</v>
      </c>
      <c r="D98" s="20">
        <f>IFERROR('cash flow data'!F26,0)</f>
        <v>0</v>
      </c>
      <c r="E98" s="20">
        <f>IFERROR('cash flow data'!G26,0)</f>
        <v>0</v>
      </c>
      <c r="F98" s="20">
        <f>IFERROR('cash flow data'!H26,0)</f>
        <v>0</v>
      </c>
      <c r="G98" s="20">
        <f>IFERROR('cash flow data'!I26,0)</f>
        <v>0</v>
      </c>
      <c r="H98" s="20">
        <f>IFERROR('cash flow data'!J26,0)</f>
        <v>1380</v>
      </c>
      <c r="I98" s="20">
        <f>IFERROR('cash flow data'!K26,0)</f>
        <v>73</v>
      </c>
      <c r="J98" s="20">
        <f>IFERROR('cash flow data'!L26,0)</f>
        <v>126</v>
      </c>
      <c r="K98" s="20">
        <f>IFERROR('cash flow data'!M26,0)</f>
        <v>-13</v>
      </c>
      <c r="L98" s="20">
        <f>IFERROR('cash flow data'!N26,0)</f>
        <v>-14</v>
      </c>
    </row>
    <row r="99" spans="2:12" x14ac:dyDescent="0.45">
      <c r="B99" s="10" t="s">
        <v>121</v>
      </c>
      <c r="C99" s="25">
        <f>SUM(C93:C98)</f>
        <v>2129</v>
      </c>
      <c r="D99" s="25">
        <f t="shared" ref="D99:L99" si="24">SUM(D93:D98)</f>
        <v>7452</v>
      </c>
      <c r="E99" s="25">
        <f t="shared" si="24"/>
        <v>5975</v>
      </c>
      <c r="F99" s="25">
        <f t="shared" si="24"/>
        <v>-9768</v>
      </c>
      <c r="G99" s="25">
        <f t="shared" si="24"/>
        <v>7460</v>
      </c>
      <c r="H99" s="25">
        <f t="shared" si="24"/>
        <v>13968</v>
      </c>
      <c r="I99" s="25">
        <f t="shared" si="24"/>
        <v>13591</v>
      </c>
      <c r="J99" s="25">
        <f t="shared" si="24"/>
        <v>5415</v>
      </c>
      <c r="K99" s="25">
        <f t="shared" si="24"/>
        <v>2032</v>
      </c>
      <c r="L99" s="25">
        <f t="shared" si="24"/>
        <v>1275</v>
      </c>
    </row>
    <row r="100" spans="2:12" ht="14.65" thickBot="1" x14ac:dyDescent="0.5"/>
    <row r="101" spans="2:12" ht="14.65" thickBot="1" x14ac:dyDescent="0.5">
      <c r="B101" s="10" t="s">
        <v>122</v>
      </c>
      <c r="C101" s="26">
        <f>IFERROR(C99+C90+C81,0)</f>
        <v>24052</v>
      </c>
      <c r="D101" s="26">
        <f t="shared" ref="D101:L101" si="25">SUM(D99,D90,D81)</f>
        <v>4201</v>
      </c>
      <c r="E101" s="26">
        <f t="shared" si="25"/>
        <v>19170</v>
      </c>
      <c r="F101" s="26">
        <f t="shared" si="25"/>
        <v>18413</v>
      </c>
      <c r="G101" s="26">
        <f t="shared" si="25"/>
        <v>-2156</v>
      </c>
      <c r="H101" s="26">
        <f t="shared" si="25"/>
        <v>-67275</v>
      </c>
      <c r="I101" s="26">
        <f t="shared" si="25"/>
        <v>-26997</v>
      </c>
      <c r="J101" s="26">
        <f t="shared" si="25"/>
        <v>10582</v>
      </c>
      <c r="K101" s="26">
        <f t="shared" si="25"/>
        <v>17990</v>
      </c>
      <c r="L101" s="26">
        <f t="shared" si="25"/>
        <v>18847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M23 M26 M3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41"/>
  <sheetViews>
    <sheetView showGridLines="0" tabSelected="1" topLeftCell="B1" zoomScale="85" zoomScaleNormal="85" workbookViewId="0">
      <pane ySplit="3" topLeftCell="A5" activePane="bottomLeft" state="frozen"/>
      <selection pane="bottomLeft" activeCell="C19" sqref="C19"/>
    </sheetView>
  </sheetViews>
  <sheetFormatPr defaultRowHeight="14.25" x14ac:dyDescent="0.45"/>
  <cols>
    <col min="1" max="1" width="2.73046875" customWidth="1"/>
    <col min="2" max="2" width="25.73046875" customWidth="1"/>
    <col min="3" max="5" width="9.59765625" bestFit="1" customWidth="1"/>
    <col min="6" max="6" width="10" bestFit="1" customWidth="1"/>
    <col min="7" max="7" width="11.265625" customWidth="1"/>
    <col min="8" max="12" width="9.59765625" bestFit="1" customWidth="1"/>
    <col min="13" max="13" width="15.1328125" customWidth="1"/>
  </cols>
  <sheetData>
    <row r="2" spans="2:15" x14ac:dyDescent="0.45">
      <c r="B2" s="86" t="str">
        <f>"Cash flow - "&amp;datasheet!B1</f>
        <v>Cash flow - PUNJAB NATIONAL BANK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2:15" x14ac:dyDescent="0.45">
      <c r="B3" s="7" t="s">
        <v>54</v>
      </c>
      <c r="C3" s="8">
        <f>datasheet!B16</f>
        <v>41729</v>
      </c>
      <c r="D3" s="8">
        <f>datasheet!C16</f>
        <v>42094</v>
      </c>
      <c r="E3" s="8">
        <f>datasheet!D16</f>
        <v>42460</v>
      </c>
      <c r="F3" s="8">
        <f>datasheet!E16</f>
        <v>42825</v>
      </c>
      <c r="G3" s="8">
        <f>datasheet!F16</f>
        <v>43190</v>
      </c>
      <c r="H3" s="8">
        <f>datasheet!G16</f>
        <v>43555</v>
      </c>
      <c r="I3" s="8">
        <f>datasheet!H16</f>
        <v>43921</v>
      </c>
      <c r="J3" s="8">
        <f>datasheet!I16</f>
        <v>44286</v>
      </c>
      <c r="K3" s="8">
        <f>datasheet!J16</f>
        <v>44651</v>
      </c>
      <c r="L3" s="8">
        <f>datasheet!K16</f>
        <v>45016</v>
      </c>
      <c r="M3" s="61" t="s">
        <v>158</v>
      </c>
      <c r="N3" s="61" t="s">
        <v>156</v>
      </c>
      <c r="O3" s="61" t="s">
        <v>157</v>
      </c>
    </row>
    <row r="4" spans="2:15" x14ac:dyDescent="0.45">
      <c r="B4" s="49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2:15" x14ac:dyDescent="0.45">
      <c r="B5" s="56" t="s">
        <v>123</v>
      </c>
      <c r="C5" s="50" t="str">
        <f>IFERROR(historicalFS!C7,0)</f>
        <v>-</v>
      </c>
      <c r="D5" s="51">
        <f>IFERROR(historicalFS!D7,0)</f>
        <v>8.3449497076054646E-2</v>
      </c>
      <c r="E5" s="51">
        <f>IFERROR(historicalFS!E7,0)</f>
        <v>4.299030462440645E-2</v>
      </c>
      <c r="F5" s="51">
        <f>IFERROR(historicalFS!F7,0)</f>
        <v>-5.4046866902068724E-2</v>
      </c>
      <c r="G5" s="51">
        <f>IFERROR(historicalFS!G7,0)</f>
        <v>1.3874253819544879E-2</v>
      </c>
      <c r="H5" s="51">
        <f>IFERROR(historicalFS!H7,0)</f>
        <v>7.0237055629724932E-2</v>
      </c>
      <c r="I5" s="51">
        <f>IFERROR(historicalFS!I7,0)</f>
        <v>5.3144621162349637E-2</v>
      </c>
      <c r="J5" s="51">
        <f>IFERROR(historicalFS!J7,0)</f>
        <v>0.49193914325378252</v>
      </c>
      <c r="K5" s="51">
        <f>IFERROR(historicalFS!K7,0)</f>
        <v>-6.9484321907247737E-2</v>
      </c>
      <c r="L5" s="51">
        <f>IFERROR(historicalFS!L7,0)</f>
        <v>0.13907667221523923</v>
      </c>
      <c r="N5" s="53">
        <f>IFERROR(AVERAGE(D5:L5),0)</f>
        <v>8.5686706552420652E-2</v>
      </c>
      <c r="O5" s="53">
        <f>IFERROR(MEDIAN(C5:L5),0)</f>
        <v>5.3144621162349637E-2</v>
      </c>
    </row>
    <row r="6" spans="2:15" x14ac:dyDescent="0.45">
      <c r="B6" s="57" t="s">
        <v>124</v>
      </c>
      <c r="C6" s="52" t="s">
        <v>60</v>
      </c>
      <c r="D6" s="52">
        <f>IFERROR(historicalFS!D20/historicalFS!C20-1,0)</f>
        <v>7.6521754160317146E-2</v>
      </c>
      <c r="E6" s="52">
        <f>IFERROR(historicalFS!E20/historicalFS!D20-1,0)</f>
        <v>-0.18473828989099539</v>
      </c>
      <c r="F6" s="52">
        <f>IFERROR(historicalFS!F20/historicalFS!E20-1,0)</f>
        <v>0.17800066687899974</v>
      </c>
      <c r="G6" s="52">
        <f>IFERROR(historicalFS!G20/historicalFS!F20-1,0)</f>
        <v>-0.58888589435575367</v>
      </c>
      <c r="H6" s="52">
        <f>IFERROR(historicalFS!H20/historicalFS!G20-1,0)</f>
        <v>0.39313328733930186</v>
      </c>
      <c r="I6" s="52">
        <f>IFERROR(historicalFS!I20/historicalFS!H20-1,0)</f>
        <v>0.93453253594512731</v>
      </c>
      <c r="J6" s="52">
        <f>IFERROR(historicalFS!J20/historicalFS!I20-1,0)</f>
        <v>0.45975341132201697</v>
      </c>
      <c r="K6" s="52">
        <f>IFERROR(historicalFS!K20/historicalFS!J20-1,0)</f>
        <v>-6.3552049113788422E-2</v>
      </c>
      <c r="L6" s="52">
        <f>IFERROR(historicalFS!L20/historicalFS!K20-1,0)</f>
        <v>0.10138634558269088</v>
      </c>
      <c r="N6" s="53">
        <f t="shared" ref="N6:N9" si="0">IFERROR(AVERAGE(D6:L6),0)</f>
        <v>0.14512797420754628</v>
      </c>
      <c r="O6" s="53">
        <f t="shared" ref="O6:O41" si="1">IFERROR(MEDIAN(C6:L6),0)</f>
        <v>0.10138634558269088</v>
      </c>
    </row>
    <row r="7" spans="2:15" x14ac:dyDescent="0.45">
      <c r="B7" s="57" t="s">
        <v>151</v>
      </c>
      <c r="C7" s="52" t="s">
        <v>60</v>
      </c>
      <c r="D7" s="53">
        <f>IFERROR(SUM(historicalFS!D29+historicalFS!D23)/(historicalFS!C29+historicalFS!C23)-1,0)</f>
        <v>7.6843371983855713E-2</v>
      </c>
      <c r="E7" s="53">
        <f>IFERROR(SUM(historicalFS!E29+historicalFS!E23)/(historicalFS!D29+historicalFS!D23)-1,0)</f>
        <v>-0.18753876944487902</v>
      </c>
      <c r="F7" s="53">
        <f>IFERROR(SUM(historicalFS!F29+historicalFS!F23)/(historicalFS!E29+historicalFS!E23)-1,0)</f>
        <v>0.17993785271237472</v>
      </c>
      <c r="G7" s="53">
        <f>IFERROR(SUM(historicalFS!G29+historicalFS!G23)/(historicalFS!F29+historicalFS!F23)-1,0)</f>
        <v>-0.60067928671684234</v>
      </c>
      <c r="H7" s="53">
        <f>IFERROR(SUM(historicalFS!H29+historicalFS!H23)/(historicalFS!G29+historicalFS!G23)-1,0)</f>
        <v>0.40961094718561863</v>
      </c>
      <c r="I7" s="53">
        <f>IFERROR(SUM(historicalFS!I29+historicalFS!I23)/(historicalFS!H29+historicalFS!H23)-1,0)</f>
        <v>0.96125399645128606</v>
      </c>
      <c r="J7" s="53">
        <f>IFERROR(SUM(historicalFS!J29+historicalFS!J23)/(historicalFS!I29+historicalFS!I23)-1,0)</f>
        <v>0.45749828087478783</v>
      </c>
      <c r="K7" s="53">
        <f>IFERROR(SUM(historicalFS!K29+historicalFS!K23)/(historicalFS!J29+historicalFS!J23)-1,0)</f>
        <v>-6.3123286975480974E-2</v>
      </c>
      <c r="L7" s="53">
        <f>IFERROR(SUM(historicalFS!L29+historicalFS!L23)/(historicalFS!K29+historicalFS!K23)-1,0)</f>
        <v>0.10297706623359071</v>
      </c>
      <c r="N7" s="53">
        <f t="shared" si="0"/>
        <v>0.14853113025603459</v>
      </c>
      <c r="O7" s="53">
        <f t="shared" si="1"/>
        <v>0.10297706623359071</v>
      </c>
    </row>
    <row r="8" spans="2:15" x14ac:dyDescent="0.45">
      <c r="B8" s="57" t="s">
        <v>125</v>
      </c>
      <c r="C8" s="52" t="s">
        <v>60</v>
      </c>
      <c r="D8" s="53">
        <f>IFERROR(historicalFS!D35/historicalFS!C35-1,0)</f>
        <v>-5.4659495672785385E-2</v>
      </c>
      <c r="E8" s="53">
        <f>IFERROR(historicalFS!E35/historicalFS!D35-1,0)</f>
        <v>-2.096324605480917</v>
      </c>
      <c r="F8" s="53">
        <f>IFERROR(historicalFS!F35/historicalFS!E35-1,0)</f>
        <v>-1.245990604023183</v>
      </c>
      <c r="G8" s="53">
        <f>IFERROR(historicalFS!G35/historicalFS!F35-1,0)</f>
        <v>-14.965066083694852</v>
      </c>
      <c r="H8" s="53">
        <f>IFERROR(historicalFS!H35/historicalFS!G35-1,0)</f>
        <v>-0.20326294426247216</v>
      </c>
      <c r="I8" s="53">
        <f>IFERROR(historicalFS!I35/historicalFS!H35-1,0)</f>
        <v>-1.0362372972978366</v>
      </c>
      <c r="J8" s="53">
        <f>IFERROR(historicalFS!J35/historicalFS!I35-1,0)</f>
        <v>6.4163707923925246</v>
      </c>
      <c r="K8" s="53">
        <f>IFERROR(historicalFS!K35/historicalFS!J35-1,0)</f>
        <v>0.45016124902119148</v>
      </c>
      <c r="L8" s="53">
        <f>IFERROR(historicalFS!L35/historicalFS!K35-1,0)</f>
        <v>-0.14044718099903153</v>
      </c>
      <c r="N8" s="53">
        <f t="shared" si="0"/>
        <v>-1.4306062411130407</v>
      </c>
      <c r="O8" s="53">
        <f t="shared" si="1"/>
        <v>-0.20326294426247216</v>
      </c>
    </row>
    <row r="9" spans="2:15" x14ac:dyDescent="0.45">
      <c r="B9" s="58" t="s">
        <v>126</v>
      </c>
      <c r="C9" s="54" t="s">
        <v>60</v>
      </c>
      <c r="D9" s="55">
        <f>IFERROR(historicalFS!D43/historicalFS!C43-1,0)</f>
        <v>0.64990590205745424</v>
      </c>
      <c r="E9" s="55">
        <f>IFERROR(historicalFS!E43/historicalFS!D43-1,0)</f>
        <v>-0.88442347289292578</v>
      </c>
      <c r="F9" s="55">
        <f>IFERROR(historicalFS!F43/historicalFS!E43-1,0)</f>
        <v>-1</v>
      </c>
      <c r="G9" s="55">
        <f>IFERROR(historicalFS!G43/historicalFS!F43-1,0)</f>
        <v>0</v>
      </c>
      <c r="H9" s="55">
        <f>IFERROR(historicalFS!H43/historicalFS!G43-1,0)</f>
        <v>0</v>
      </c>
      <c r="I9" s="55">
        <f>IFERROR(historicalFS!I43/historicalFS!H43-1,0)</f>
        <v>0</v>
      </c>
      <c r="J9" s="55">
        <f>IFERROR(historicalFS!J43/historicalFS!I43-1,0)</f>
        <v>0</v>
      </c>
      <c r="K9" s="55">
        <f>IFERROR(historicalFS!K43/historicalFS!J43-1,0)</f>
        <v>0</v>
      </c>
      <c r="L9" s="55">
        <f>IFERROR(historicalFS!L43/historicalFS!K43-1,0)</f>
        <v>1.5637860082304611E-2</v>
      </c>
      <c r="N9" s="53">
        <f t="shared" si="0"/>
        <v>-0.13543107897257411</v>
      </c>
      <c r="O9" s="53">
        <f t="shared" si="1"/>
        <v>0</v>
      </c>
    </row>
    <row r="10" spans="2:15" x14ac:dyDescent="0.45">
      <c r="N10" s="53"/>
      <c r="O10" s="53"/>
    </row>
    <row r="11" spans="2:15" x14ac:dyDescent="0.45">
      <c r="B11" s="48" t="s">
        <v>63</v>
      </c>
      <c r="C11" s="38">
        <f>IFERROR(historicalFS!C13,0)</f>
        <v>0.84935547751250107</v>
      </c>
      <c r="D11" s="38">
        <f>IFERROR(historicalFS!D13,0)</f>
        <v>0.84252620929414235</v>
      </c>
      <c r="E11" s="38">
        <f>IFERROR(historicalFS!E13,0)</f>
        <v>0.86636490487830942</v>
      </c>
      <c r="F11" s="38">
        <f>IFERROR(historicalFS!F13,0)</f>
        <v>0.88095987188834846</v>
      </c>
      <c r="G11" s="38">
        <f>IFERROR(historicalFS!G13,0)</f>
        <v>0.80481130265152179</v>
      </c>
      <c r="H11" s="38">
        <f>IFERROR(historicalFS!H13,0)</f>
        <v>0.85932421221950051</v>
      </c>
      <c r="I11" s="38">
        <f>IFERROR(historicalFS!I13,0)</f>
        <v>0.86536371727695316</v>
      </c>
      <c r="J11" s="38">
        <f>IFERROR(historicalFS!J13,0)</f>
        <v>0.84392609607880786</v>
      </c>
      <c r="K11" s="38">
        <f>IFERROR(historicalFS!K13,0)</f>
        <v>0.83556244649426692</v>
      </c>
      <c r="L11" s="38">
        <f>IFERROR(historicalFS!L13,0)</f>
        <v>0.81884578887352444</v>
      </c>
      <c r="N11" s="53">
        <f t="shared" ref="N11:N41" si="2">IFERROR(AVERAGE(C11:L11),0)</f>
        <v>0.84670400271678758</v>
      </c>
      <c r="O11" s="53">
        <f t="shared" si="1"/>
        <v>0.84664078679565447</v>
      </c>
    </row>
    <row r="12" spans="2:15" x14ac:dyDescent="0.45">
      <c r="B12" t="s">
        <v>127</v>
      </c>
      <c r="C12" s="39">
        <f>IFERROR(historicalFS!C21,0)</f>
        <v>0.74639158380616244</v>
      </c>
      <c r="D12" s="39">
        <f>IFERROR(historicalFS!D21,0)</f>
        <v>0.74161904108863475</v>
      </c>
      <c r="E12" s="39">
        <f>IFERROR(historicalFS!E21,0)</f>
        <v>0.57969245256316093</v>
      </c>
      <c r="F12" s="39">
        <f>IFERROR(historicalFS!F21,0)</f>
        <v>0.72189421633157225</v>
      </c>
      <c r="G12" s="39">
        <f>IFERROR(historicalFS!G21,0)</f>
        <v>0.29271962869049356</v>
      </c>
      <c r="H12" s="39">
        <f>IFERROR(historicalFS!H21,0)</f>
        <v>0.38103470295782277</v>
      </c>
      <c r="I12" s="39">
        <f>IFERROR(historicalFS!I21,0)</f>
        <v>0.69992669134324181</v>
      </c>
      <c r="J12" s="39">
        <f>IFERROR(historicalFS!J21,0)</f>
        <v>0.68482711240845329</v>
      </c>
      <c r="K12" s="39">
        <f>IFERROR(historicalFS!K21,0)</f>
        <v>0.68919305845623069</v>
      </c>
      <c r="L12" s="39">
        <f>IFERROR(historicalFS!L21,0)</f>
        <v>0.6663887011028462</v>
      </c>
      <c r="N12" s="53">
        <f t="shared" si="2"/>
        <v>0.62036871887486189</v>
      </c>
      <c r="O12" s="53">
        <f t="shared" si="1"/>
        <v>0.68701008543234199</v>
      </c>
    </row>
    <row r="13" spans="2:15" x14ac:dyDescent="0.45">
      <c r="B13" t="s">
        <v>128</v>
      </c>
      <c r="C13" s="39">
        <f>IFERROR((historicalFS!C20-historicalFS!C26)/historicalFS!C6,0)</f>
        <v>0.73823687794565984</v>
      </c>
      <c r="D13" s="39">
        <f>IFERROR((historicalFS!D20-historicalFS!D26)/historicalFS!D6,0)</f>
        <v>0.73373562045599849</v>
      </c>
      <c r="E13" s="39">
        <f>IFERROR((historicalFS!E20-historicalFS!E26)/historicalFS!E6,0)</f>
        <v>0.57156019807152481</v>
      </c>
      <c r="F13" s="39">
        <f>IFERROR((historicalFS!F20-historicalFS!F26)/historicalFS!F6,0)</f>
        <v>0.71293755389312274</v>
      </c>
      <c r="G13" s="39">
        <f>IFERROR((historicalFS!G20-historicalFS!G26)/historicalFS!G6,0)</f>
        <v>0.28079491265750423</v>
      </c>
      <c r="H13" s="39">
        <f>IFERROR((historicalFS!H20-historicalFS!H26)/historicalFS!H6,0)</f>
        <v>0.36983543105144406</v>
      </c>
      <c r="I13" s="39">
        <f>IFERROR((historicalFS!I20-historicalFS!I26)/historicalFS!I6,0)</f>
        <v>0.68873847200432348</v>
      </c>
      <c r="J13" s="39">
        <f>IFERROR((historicalFS!J20-historicalFS!J26)/historicalFS!J6,0)</f>
        <v>0.67283919954627458</v>
      </c>
      <c r="K13" s="39">
        <f>IFERROR((historicalFS!K20-historicalFS!K26)/historicalFS!K6,0)</f>
        <v>0.67743874983063768</v>
      </c>
      <c r="L13" s="39">
        <f>IFERROR((historicalFS!L20-historicalFS!L26)/historicalFS!L6,0)</f>
        <v>0.65596936805669015</v>
      </c>
      <c r="N13" s="53">
        <f t="shared" si="2"/>
        <v>0.61020863835131789</v>
      </c>
      <c r="O13" s="53">
        <f t="shared" si="1"/>
        <v>0.67513897468845618</v>
      </c>
    </row>
    <row r="14" spans="2:15" x14ac:dyDescent="0.45">
      <c r="B14" t="s">
        <v>129</v>
      </c>
      <c r="C14" s="39">
        <f>IFERROR(historicalFS!C30,0)</f>
        <v>0.11053516730804154</v>
      </c>
      <c r="D14" s="39">
        <f>IFERROR(historicalFS!D30,0)</f>
        <v>9.0270914571230307E-2</v>
      </c>
      <c r="E14" s="39">
        <f>IFERROR(historicalFS!E30,0)</f>
        <v>-0.10418733848425321</v>
      </c>
      <c r="F14" s="39">
        <f>IFERROR(historicalFS!F30,0)</f>
        <v>3.2046640231986057E-2</v>
      </c>
      <c r="G14" s="39">
        <f>IFERROR(historicalFS!G30,0)</f>
        <v>-0.40736297802866517</v>
      </c>
      <c r="H14" s="39">
        <f>IFERROR(historicalFS!H30,0)</f>
        <v>-0.29473907869156402</v>
      </c>
      <c r="I14" s="39">
        <f>IFERROR(historicalFS!I30,0)</f>
        <v>1.5058683343020459E-2</v>
      </c>
      <c r="J14" s="39">
        <f>IFERROR(historicalFS!J30,0)</f>
        <v>5.2779867170366486E-2</v>
      </c>
      <c r="K14" s="39">
        <f>IFERROR(historicalFS!K30,0)</f>
        <v>6.3299766020831372E-2</v>
      </c>
      <c r="L14" s="39">
        <f>IFERROR(historicalFS!L30,0)</f>
        <v>5.9310758246071793E-2</v>
      </c>
      <c r="N14" s="53">
        <f t="shared" si="2"/>
        <v>-3.8298759831293445E-2</v>
      </c>
      <c r="O14" s="53">
        <f t="shared" si="1"/>
        <v>4.2413253701176268E-2</v>
      </c>
    </row>
    <row r="15" spans="2:15" x14ac:dyDescent="0.45">
      <c r="B15" s="59" t="s">
        <v>130</v>
      </c>
      <c r="C15" s="40">
        <f>IFERROR(historicalFS!C36,0)</f>
        <v>7.8620110418391634E-2</v>
      </c>
      <c r="D15" s="40">
        <f>IFERROR(historicalFS!D36,0)</f>
        <v>6.8598282646086667E-2</v>
      </c>
      <c r="E15" s="40">
        <f>IFERROR(historicalFS!E36,0)</f>
        <v>-7.2106121049439684E-2</v>
      </c>
      <c r="F15" s="40">
        <f>IFERROR(historicalFS!F36,0)</f>
        <v>1.8750853134374166E-2</v>
      </c>
      <c r="G15" s="40">
        <f>IFERROR(historicalFS!G36,0)</f>
        <v>-0.2582735503546959</v>
      </c>
      <c r="H15" s="40">
        <f>IFERROR(historicalFS!H36,0)</f>
        <v>-0.19227152246508636</v>
      </c>
      <c r="I15" s="40">
        <f>IFERROR(historicalFS!I36,0)</f>
        <v>6.6158058271096037E-3</v>
      </c>
      <c r="J15" s="40">
        <f>IFERROR(historicalFS!J36,0)</f>
        <v>3.2886910519224717E-2</v>
      </c>
      <c r="K15" s="40">
        <f>IFERROR(historicalFS!K36,0)</f>
        <v>5.1252573554438581E-2</v>
      </c>
      <c r="L15" s="40">
        <f>IFERROR(historicalFS!L36,0)</f>
        <v>3.8675442272113968E-2</v>
      </c>
      <c r="N15" s="53">
        <f t="shared" si="2"/>
        <v>-2.2725121549748258E-2</v>
      </c>
      <c r="O15" s="53">
        <f t="shared" si="1"/>
        <v>2.5818881826799443E-2</v>
      </c>
    </row>
    <row r="16" spans="2:15" x14ac:dyDescent="0.45">
      <c r="N16" s="53"/>
      <c r="O16" s="53"/>
    </row>
    <row r="17" spans="2:15" x14ac:dyDescent="0.45">
      <c r="B17" s="48" t="s">
        <v>131</v>
      </c>
      <c r="C17" s="41">
        <f>IFERROR(historicalFS!C16,0)</f>
        <v>0.2077356933980069</v>
      </c>
      <c r="D17" s="41">
        <f>IFERROR(historicalFS!D16,0)</f>
        <v>0.22767010840935156</v>
      </c>
      <c r="E17" s="41">
        <f>IFERROR(historicalFS!E16,0)</f>
        <v>0.40673476252891755</v>
      </c>
      <c r="F17" s="41">
        <f>IFERROR(historicalFS!F16,0)</f>
        <v>0.34982608543662169</v>
      </c>
      <c r="G17" s="41">
        <f>IFERROR(historicalFS!G16,0)</f>
        <v>0.69440808950668909</v>
      </c>
      <c r="H17" s="41">
        <f>IFERROR(historicalFS!H16,0)</f>
        <v>0.61957012407583623</v>
      </c>
      <c r="I17" s="41">
        <f>IFERROR(historicalFS!I16,0)</f>
        <v>0.33637493244532624</v>
      </c>
      <c r="J17" s="41">
        <f>IFERROR(historicalFS!J16,0)</f>
        <v>0.31504046559816967</v>
      </c>
      <c r="K17" s="41">
        <f>IFERROR(historicalFS!K16,0)</f>
        <v>0.30808232173860467</v>
      </c>
      <c r="L17" s="41">
        <f>IFERROR(historicalFS!L16,0)</f>
        <v>0.29672547584330711</v>
      </c>
      <c r="N17" s="53">
        <f t="shared" si="2"/>
        <v>0.3762168058980831</v>
      </c>
      <c r="O17" s="53">
        <f t="shared" si="1"/>
        <v>0.32570769902174795</v>
      </c>
    </row>
    <row r="18" spans="2:15" x14ac:dyDescent="0.45">
      <c r="B18" t="s">
        <v>132</v>
      </c>
      <c r="C18" s="42">
        <f>IFERROR(historicalFS!C27,0)</f>
        <v>8.1547058605025268E-3</v>
      </c>
      <c r="D18" s="42">
        <f>IFERROR(historicalFS!D27,0)</f>
        <v>7.8834206326362944E-3</v>
      </c>
      <c r="E18" s="42">
        <f>IFERROR(historicalFS!E27,0)</f>
        <v>8.1322544916361678E-3</v>
      </c>
      <c r="F18" s="42">
        <f>IFERROR(historicalFS!F27,0)</f>
        <v>8.9566624384494753E-3</v>
      </c>
      <c r="G18" s="42">
        <f>IFERROR(historicalFS!G27,0)</f>
        <v>1.1924716032989327E-2</v>
      </c>
      <c r="H18" s="42">
        <f>IFERROR(historicalFS!H27,0)</f>
        <v>1.1199271906378759E-2</v>
      </c>
      <c r="I18" s="42">
        <f>IFERROR(historicalFS!I27,0)</f>
        <v>1.1188219338918339E-2</v>
      </c>
      <c r="J18" s="42">
        <f>IFERROR(historicalFS!J27,0)</f>
        <v>1.1987912862178729E-2</v>
      </c>
      <c r="K18" s="42">
        <f>IFERROR(historicalFS!K27,0)</f>
        <v>1.1754308625593063E-2</v>
      </c>
      <c r="L18" s="42">
        <f>IFERROR(historicalFS!L27,0)</f>
        <v>1.0419333046155986E-2</v>
      </c>
      <c r="N18" s="53">
        <f t="shared" si="2"/>
        <v>1.0160080523543868E-2</v>
      </c>
      <c r="O18" s="53">
        <f t="shared" si="1"/>
        <v>1.0803776192537163E-2</v>
      </c>
    </row>
    <row r="19" spans="2:15" x14ac:dyDescent="0.45">
      <c r="B19" s="59" t="s">
        <v>133</v>
      </c>
      <c r="C19" s="43">
        <f>C13</f>
        <v>0.73823687794565984</v>
      </c>
      <c r="D19" s="43">
        <f t="shared" ref="D19:L19" si="3">D13</f>
        <v>0.73373562045599849</v>
      </c>
      <c r="E19" s="43">
        <f t="shared" si="3"/>
        <v>0.57156019807152481</v>
      </c>
      <c r="F19" s="43">
        <f t="shared" si="3"/>
        <v>0.71293755389312274</v>
      </c>
      <c r="G19" s="43">
        <f t="shared" si="3"/>
        <v>0.28079491265750423</v>
      </c>
      <c r="H19" s="43">
        <f t="shared" si="3"/>
        <v>0.36983543105144406</v>
      </c>
      <c r="I19" s="43">
        <f t="shared" si="3"/>
        <v>0.68873847200432348</v>
      </c>
      <c r="J19" s="43">
        <f t="shared" si="3"/>
        <v>0.67283919954627458</v>
      </c>
      <c r="K19" s="43">
        <f t="shared" si="3"/>
        <v>0.67743874983063768</v>
      </c>
      <c r="L19" s="43">
        <f t="shared" si="3"/>
        <v>0.65596936805669015</v>
      </c>
      <c r="N19" s="53">
        <f t="shared" si="2"/>
        <v>0.61020863835131789</v>
      </c>
      <c r="O19" s="53">
        <f t="shared" si="1"/>
        <v>0.67513897468845618</v>
      </c>
    </row>
    <row r="20" spans="2:15" x14ac:dyDescent="0.45">
      <c r="N20" s="53"/>
      <c r="O20" s="53"/>
    </row>
    <row r="21" spans="2:15" x14ac:dyDescent="0.45">
      <c r="B21" s="48" t="s">
        <v>134</v>
      </c>
      <c r="C21" s="41">
        <f>(historicalFS!C20-historicalFS!C26)/SUM(historicalFS!C49:C51)</f>
        <v>5.9444623132059171E-2</v>
      </c>
      <c r="D21" s="41">
        <f>(historicalFS!D20-historicalFS!D26)/SUM(historicalFS!D49:D51)</f>
        <v>5.7973611007860769E-2</v>
      </c>
      <c r="E21" s="41">
        <f>(historicalFS!E20-historicalFS!E26)/SUM(historicalFS!E49:E51)</f>
        <v>4.1849139069902265E-2</v>
      </c>
      <c r="F21" s="41">
        <f>(historicalFS!F20-historicalFS!F26)/SUM(historicalFS!F49:F51)</f>
        <v>4.7825662067681234E-2</v>
      </c>
      <c r="G21" s="41">
        <f>(historicalFS!G20-historicalFS!G26)/SUM(historicalFS!G49:G51)</f>
        <v>1.8114582480593399E-2</v>
      </c>
      <c r="H21" s="41">
        <f>(historicalFS!H20-historicalFS!H26)/SUM(historicalFS!H49:H51)</f>
        <v>2.4891837302486883E-2</v>
      </c>
      <c r="I21" s="41">
        <f>(historicalFS!I20-historicalFS!I26)/SUM(historicalFS!I49:I51)</f>
        <v>4.5209800618101037E-2</v>
      </c>
      <c r="J21" s="41">
        <f>(historicalFS!J20-historicalFS!J26)/SUM(historicalFS!J49:J51)</f>
        <v>4.3803685916676091E-2</v>
      </c>
      <c r="K21" s="41">
        <f>(historicalFS!K20-historicalFS!K26)/SUM(historicalFS!K49:K51)</f>
        <v>3.9391123187860061E-2</v>
      </c>
      <c r="L21" s="41">
        <f>(historicalFS!L20-historicalFS!L26)/SUM(historicalFS!L49:L51)</f>
        <v>3.8929053506057111E-2</v>
      </c>
      <c r="N21" s="53">
        <f t="shared" si="2"/>
        <v>4.1743311828927807E-2</v>
      </c>
      <c r="O21" s="53">
        <f t="shared" si="1"/>
        <v>4.2826412493289182E-2</v>
      </c>
    </row>
    <row r="22" spans="2:15" x14ac:dyDescent="0.45">
      <c r="B22" t="s">
        <v>135</v>
      </c>
      <c r="C22" s="42">
        <f>historicalFS!C46</f>
        <v>0.89756437060948702</v>
      </c>
      <c r="D22" s="42">
        <f>historicalFS!D46</f>
        <v>0.81684378750288089</v>
      </c>
      <c r="E22" s="42">
        <f>historicalFS!E46</f>
        <v>0</v>
      </c>
      <c r="F22" s="42">
        <f>historicalFS!F46</f>
        <v>1</v>
      </c>
      <c r="G22" s="42">
        <f>historicalFS!G46</f>
        <v>0</v>
      </c>
      <c r="H22" s="42">
        <f>historicalFS!H46</f>
        <v>0</v>
      </c>
      <c r="I22" s="42">
        <f>historicalFS!I46</f>
        <v>1</v>
      </c>
      <c r="J22" s="42">
        <f>historicalFS!J46</f>
        <v>1</v>
      </c>
      <c r="K22" s="42">
        <f>historicalFS!K46</f>
        <v>0.81965866429180145</v>
      </c>
      <c r="L22" s="42">
        <f>historicalFS!L46</f>
        <v>0.78691072353652192</v>
      </c>
      <c r="N22" s="53">
        <f t="shared" si="2"/>
        <v>0.63209775459406914</v>
      </c>
      <c r="O22" s="53">
        <f t="shared" si="1"/>
        <v>0.81825122589734112</v>
      </c>
    </row>
    <row r="23" spans="2:15" x14ac:dyDescent="0.45">
      <c r="B23" t="s">
        <v>136</v>
      </c>
      <c r="C23" s="42">
        <f>historicalFS!C35/(SUM(historicalFS!C49:C50))</f>
        <v>9.2788427966971246E-2</v>
      </c>
      <c r="D23" s="42">
        <f>historicalFS!D35/(SUM(historicalFS!D49:D50))</f>
        <v>7.9482742871931814E-2</v>
      </c>
      <c r="E23" s="42">
        <f>historicalFS!E35/(SUM(historicalFS!E49:E50))</f>
        <v>-8.7629128617305596E-2</v>
      </c>
      <c r="F23" s="42">
        <f>historicalFS!F35/(SUM(historicalFS!F49:F50))</f>
        <v>2.0756027708178824E-2</v>
      </c>
      <c r="G23" s="42">
        <f>historicalFS!G35/(SUM(historicalFS!G49:G50))</f>
        <v>-0.30311075142169658</v>
      </c>
      <c r="H23" s="42">
        <f>historicalFS!H35/(SUM(historicalFS!H49:H50))</f>
        <v>-0.21756638964577371</v>
      </c>
      <c r="I23" s="42">
        <f>historicalFS!I35/(SUM(historicalFS!I49:I50))</f>
        <v>5.6880189027648607E-3</v>
      </c>
      <c r="J23" s="42">
        <f>historicalFS!J35/(SUM(historicalFS!J49:J50))</f>
        <v>2.9119892139501866E-2</v>
      </c>
      <c r="K23" s="42">
        <f>historicalFS!K35/(SUM(historicalFS!K49:K50))</f>
        <v>4.0044200810969925E-2</v>
      </c>
      <c r="L23" s="42">
        <f>historicalFS!L35/(SUM(historicalFS!L49:L50))</f>
        <v>3.2647391876983456E-2</v>
      </c>
      <c r="N23" s="53">
        <f t="shared" si="2"/>
        <v>-3.0777956740747386E-2</v>
      </c>
      <c r="O23" s="53">
        <f t="shared" si="1"/>
        <v>2.4937959923840347E-2</v>
      </c>
    </row>
    <row r="24" spans="2:15" x14ac:dyDescent="0.45">
      <c r="B24" t="s">
        <v>137</v>
      </c>
      <c r="C24" s="39">
        <f>IFERROR(C22*C23,0)</f>
        <v>8.3283586948018268E-2</v>
      </c>
      <c r="D24" s="39">
        <f t="shared" ref="D24:L24" si="4">IFERROR(D22*D23,0)</f>
        <v>6.4924984728626386E-2</v>
      </c>
      <c r="E24" s="39">
        <f t="shared" si="4"/>
        <v>0</v>
      </c>
      <c r="F24" s="39">
        <f t="shared" si="4"/>
        <v>2.0756027708178824E-2</v>
      </c>
      <c r="G24" s="39">
        <f t="shared" si="4"/>
        <v>0</v>
      </c>
      <c r="H24" s="39">
        <f t="shared" si="4"/>
        <v>0</v>
      </c>
      <c r="I24" s="39">
        <f t="shared" si="4"/>
        <v>5.6880189027648607E-3</v>
      </c>
      <c r="J24" s="39">
        <f t="shared" si="4"/>
        <v>2.9119892139501866E-2</v>
      </c>
      <c r="K24" s="39">
        <f t="shared" si="4"/>
        <v>3.282257614935228E-2</v>
      </c>
      <c r="L24" s="39">
        <f t="shared" si="4"/>
        <v>2.5690582763497418E-2</v>
      </c>
      <c r="N24" s="53">
        <f t="shared" si="2"/>
        <v>2.6228566933993985E-2</v>
      </c>
      <c r="O24" s="53">
        <f t="shared" si="1"/>
        <v>2.322330523583812E-2</v>
      </c>
    </row>
    <row r="25" spans="2:15" x14ac:dyDescent="0.45">
      <c r="B25" s="59" t="s">
        <v>138</v>
      </c>
      <c r="C25" s="44">
        <f>(historicalFS!C20-historicalFS!C26)/historicalFS!C23</f>
        <v>1.1760950550792033</v>
      </c>
      <c r="D25" s="44">
        <f>(historicalFS!D20-historicalFS!D26)/historicalFS!D23</f>
        <v>1.1402888359620396</v>
      </c>
      <c r="E25" s="44">
        <f>(historicalFS!E20-historicalFS!E26)/historicalFS!E23</f>
        <v>0.84581913681064036</v>
      </c>
      <c r="F25" s="44">
        <f>(historicalFS!F20-historicalFS!F26)/historicalFS!F23</f>
        <v>1.0470657481088592</v>
      </c>
      <c r="G25" s="44">
        <f>(historicalFS!G20-historicalFS!G26)/historicalFS!G23</f>
        <v>0.40803849880660481</v>
      </c>
      <c r="H25" s="44">
        <f>(historicalFS!H20-historicalFS!H26)/historicalFS!H23</f>
        <v>0.55649957322988508</v>
      </c>
      <c r="I25" s="44">
        <f>(historicalFS!I20-historicalFS!I26)/historicalFS!I23</f>
        <v>1.0223528798050245</v>
      </c>
      <c r="J25" s="44">
        <f>(historicalFS!J20-historicalFS!J26)/historicalFS!J23</f>
        <v>1.0851206721913653</v>
      </c>
      <c r="K25" s="44">
        <f>(historicalFS!K20-historicalFS!K26)/historicalFS!K23</f>
        <v>1.1030707505785609</v>
      </c>
      <c r="L25" s="44">
        <f>(historicalFS!L20-historicalFS!L26)/historicalFS!L23</f>
        <v>1.099404847715006</v>
      </c>
      <c r="N25" s="46">
        <f t="shared" si="2"/>
        <v>0.94837559982871888</v>
      </c>
      <c r="O25" s="46">
        <f t="shared" si="1"/>
        <v>1.0660932101501124</v>
      </c>
    </row>
    <row r="27" spans="2:15" x14ac:dyDescent="0.45">
      <c r="B27" s="48" t="s">
        <v>139</v>
      </c>
      <c r="C27" s="45">
        <f>IFERROR(historicalFS!C6/historicalFS!C61,0)</f>
        <v>0</v>
      </c>
      <c r="D27" s="45">
        <f>IFERROR(historicalFS!D6/historicalFS!D61,0)</f>
        <v>0</v>
      </c>
      <c r="E27" s="45">
        <f>IFERROR(historicalFS!E6/historicalFS!E61,0)</f>
        <v>0</v>
      </c>
      <c r="F27" s="45">
        <f>IFERROR(historicalFS!F6/historicalFS!F61,0)</f>
        <v>0</v>
      </c>
      <c r="G27" s="45">
        <f>IFERROR(historicalFS!G6/historicalFS!G61,0)</f>
        <v>0</v>
      </c>
      <c r="H27" s="45">
        <f>IFERROR(historicalFS!H6/historicalFS!H61,0)</f>
        <v>0</v>
      </c>
      <c r="I27" s="45">
        <f>IFERROR(historicalFS!I6/historicalFS!I61,0)</f>
        <v>0</v>
      </c>
      <c r="J27" s="45">
        <f>IFERROR(historicalFS!J6/historicalFS!J61,0)</f>
        <v>0</v>
      </c>
      <c r="K27" s="45">
        <f>IFERROR(historicalFS!K6/historicalFS!K61,0)</f>
        <v>0</v>
      </c>
      <c r="L27" s="45">
        <f>IFERROR(historicalFS!L6/historicalFS!L61,0)</f>
        <v>0</v>
      </c>
      <c r="N27" s="46">
        <f t="shared" si="2"/>
        <v>0</v>
      </c>
      <c r="O27" s="46">
        <f t="shared" si="1"/>
        <v>0</v>
      </c>
    </row>
    <row r="28" spans="2:15" x14ac:dyDescent="0.45">
      <c r="B28" t="s">
        <v>140</v>
      </c>
      <c r="C28" s="46">
        <f>IFERROR(historicalFS!C6/historicalFS!C52,0)</f>
        <v>2.7263156426579798</v>
      </c>
      <c r="D28" s="46">
        <f>IFERROR(historicalFS!D6/historicalFS!D52,0)</f>
        <v>2.4951832693527249</v>
      </c>
      <c r="E28" s="46">
        <f>IFERROR(historicalFS!E6/historicalFS!E52,0)</f>
        <v>2.6834451966556676</v>
      </c>
      <c r="F28" s="46">
        <f>IFERROR(historicalFS!F6/historicalFS!F52,0)</f>
        <v>2.8422102231395674</v>
      </c>
      <c r="G28" s="46">
        <f>IFERROR(historicalFS!G6/historicalFS!G52,0)</f>
        <v>2.1906587057876732</v>
      </c>
      <c r="H28" s="46">
        <f>IFERROR(historicalFS!H6/historicalFS!H52,0)</f>
        <v>3.400925572058576</v>
      </c>
      <c r="I28" s="46">
        <f>IFERROR(historicalFS!I6/historicalFS!I52,0)</f>
        <v>3.7071787737215045</v>
      </c>
      <c r="J28" s="46">
        <f>IFERROR(historicalFS!J6/historicalFS!J52,0)</f>
        <v>3.8692913393263604</v>
      </c>
      <c r="K28" s="46">
        <f>IFERROR(historicalFS!K6/historicalFS!K52,0)</f>
        <v>2.7119700153807407</v>
      </c>
      <c r="L28" s="46">
        <f>IFERROR(historicalFS!L6/historicalFS!L52,0)</f>
        <v>2.868761179608724</v>
      </c>
      <c r="N28" s="46">
        <f t="shared" si="2"/>
        <v>2.949593991768952</v>
      </c>
      <c r="O28" s="46">
        <f t="shared" si="1"/>
        <v>2.7842629328987734</v>
      </c>
    </row>
    <row r="29" spans="2:15" x14ac:dyDescent="0.45">
      <c r="B29" t="s">
        <v>141</v>
      </c>
      <c r="C29" s="46">
        <f>IFERROR(historicalFS!C6/historicalFS!C62,0)</f>
        <v>0</v>
      </c>
      <c r="D29" s="46">
        <f>IFERROR(historicalFS!D6/historicalFS!D62,0)</f>
        <v>0</v>
      </c>
      <c r="E29" s="46">
        <f>IFERROR(historicalFS!E6/historicalFS!E62,0)</f>
        <v>0</v>
      </c>
      <c r="F29" s="46">
        <f>IFERROR(historicalFS!F6/historicalFS!F62,0)</f>
        <v>0</v>
      </c>
      <c r="G29" s="46">
        <f>IFERROR(historicalFS!G6/historicalFS!G62,0)</f>
        <v>0</v>
      </c>
      <c r="H29" s="46">
        <f>IFERROR(historicalFS!H6/historicalFS!H62,0)</f>
        <v>0</v>
      </c>
      <c r="I29" s="46">
        <f>IFERROR(historicalFS!I6/historicalFS!I62,0)</f>
        <v>0</v>
      </c>
      <c r="J29" s="46">
        <f>IFERROR(historicalFS!J6/historicalFS!J62,0)</f>
        <v>0</v>
      </c>
      <c r="K29" s="46">
        <f>IFERROR(historicalFS!K6/historicalFS!K62,0)</f>
        <v>0</v>
      </c>
      <c r="L29" s="46">
        <f>IFERROR(historicalFS!L6/historicalFS!L62,0)</f>
        <v>0</v>
      </c>
      <c r="N29" s="46">
        <f t="shared" si="2"/>
        <v>0</v>
      </c>
      <c r="O29" s="46">
        <f t="shared" si="1"/>
        <v>0</v>
      </c>
    </row>
    <row r="30" spans="2:15" x14ac:dyDescent="0.45">
      <c r="B30" t="s">
        <v>142</v>
      </c>
      <c r="C30" s="46">
        <f>IFERROR(historicalFS!C6/historicalFS!C84,0)</f>
        <v>-104.5536976744186</v>
      </c>
      <c r="D30" s="46">
        <f>IFERROR(historicalFS!D6/historicalFS!D84,0)</f>
        <v>-89.212124542124542</v>
      </c>
      <c r="E30" s="46">
        <f>IFERROR(historicalFS!E6/historicalFS!E84,0)</f>
        <v>-83.834768976897692</v>
      </c>
      <c r="F30" s="46">
        <f>IFERROR(historicalFS!F6/historicalFS!F84,0)</f>
        <v>-96.891290322580645</v>
      </c>
      <c r="G30" s="46">
        <f>IFERROR(historicalFS!G6/historicalFS!G84,0)</f>
        <v>-74.731365030674851</v>
      </c>
      <c r="H30" s="46">
        <f>IFERROR(historicalFS!H6/historicalFS!H84,0)</f>
        <v>-118.51622727272728</v>
      </c>
      <c r="I30" s="46">
        <f>IFERROR(historicalFS!I6/historicalFS!I84,0)</f>
        <v>-162.4807100591716</v>
      </c>
      <c r="J30" s="46">
        <f>IFERROR(historicalFS!J6/historicalFS!J84,0)</f>
        <v>-104.11058449809403</v>
      </c>
      <c r="K30" s="46">
        <f>IFERROR(historicalFS!K6/historicalFS!K84,0)</f>
        <v>-142.24222014925374</v>
      </c>
      <c r="L30" s="46">
        <f>IFERROR(historicalFS!L6/historicalFS!L84,0)</f>
        <v>-157.32842391304348</v>
      </c>
      <c r="N30" s="46">
        <f t="shared" si="2"/>
        <v>-113.39014124389864</v>
      </c>
      <c r="O30" s="46">
        <f t="shared" si="1"/>
        <v>-104.33214108625631</v>
      </c>
    </row>
    <row r="31" spans="2:15" x14ac:dyDescent="0.45">
      <c r="B31" s="59" t="s">
        <v>143</v>
      </c>
      <c r="C31" s="44">
        <f>IFERROR(historicalFS!C6/SUM(historicalFS!C49:C50),0)</f>
        <v>1.1802123842510557</v>
      </c>
      <c r="D31" s="44">
        <f>IFERROR(historicalFS!D6/SUM(historicalFS!D49:D50),0)</f>
        <v>1.1586695731436956</v>
      </c>
      <c r="E31" s="44">
        <f>IFERROR(historicalFS!E6/SUM(historicalFS!E49:E50),0)</f>
        <v>1.2152800253562737</v>
      </c>
      <c r="F31" s="44">
        <f>IFERROR(historicalFS!F6/SUM(historicalFS!F49:F50),0)</f>
        <v>1.1069377782138756</v>
      </c>
      <c r="G31" s="44">
        <f>IFERROR(historicalFS!G6/SUM(historicalFS!G49:G50),0)</f>
        <v>1.1736035339484985</v>
      </c>
      <c r="H31" s="44">
        <f>IFERROR(historicalFS!H6/SUM(historicalFS!H49:H50),0)</f>
        <v>1.1315580531967782</v>
      </c>
      <c r="I31" s="44">
        <f>IFERROR(historicalFS!I6/SUM(historicalFS!I49:I50),0)</f>
        <v>0.85976206850827619</v>
      </c>
      <c r="J31" s="44">
        <f>IFERROR(historicalFS!J6/SUM(historicalFS!J49:J50),0)</f>
        <v>0.88545538877783103</v>
      </c>
      <c r="K31" s="44">
        <f>IFERROR(historicalFS!K6/SUM(historicalFS!K49:K50),0)</f>
        <v>0.78131102564901367</v>
      </c>
      <c r="L31" s="44">
        <f>IFERROR(historicalFS!L6/SUM(historicalFS!L49:L50),0)</f>
        <v>0.84413751877177889</v>
      </c>
      <c r="N31" s="46">
        <f t="shared" si="2"/>
        <v>1.033692734981708</v>
      </c>
      <c r="O31" s="46">
        <f t="shared" si="1"/>
        <v>1.1192479157053268</v>
      </c>
    </row>
    <row r="33" spans="1:15" x14ac:dyDescent="0.45">
      <c r="A33" s="10" t="s">
        <v>155</v>
      </c>
    </row>
    <row r="34" spans="1:15" x14ac:dyDescent="0.45">
      <c r="B34" s="48" t="s">
        <v>144</v>
      </c>
      <c r="C34" s="47">
        <f>IFERROR(365/C27,0)</f>
        <v>0</v>
      </c>
      <c r="D34" s="48">
        <f t="shared" ref="D34:L34" si="5">IFERROR(365/D27,0)</f>
        <v>0</v>
      </c>
      <c r="E34" s="48">
        <f t="shared" si="5"/>
        <v>0</v>
      </c>
      <c r="F34" s="48">
        <f t="shared" si="5"/>
        <v>0</v>
      </c>
      <c r="G34" s="48">
        <f t="shared" si="5"/>
        <v>0</v>
      </c>
      <c r="H34" s="48">
        <f t="shared" si="5"/>
        <v>0</v>
      </c>
      <c r="I34" s="48">
        <f t="shared" si="5"/>
        <v>0</v>
      </c>
      <c r="J34" s="48">
        <f t="shared" si="5"/>
        <v>0</v>
      </c>
      <c r="K34" s="48">
        <f t="shared" si="5"/>
        <v>0</v>
      </c>
      <c r="L34" s="48">
        <f t="shared" si="5"/>
        <v>0</v>
      </c>
      <c r="N34" s="60">
        <f t="shared" si="2"/>
        <v>0</v>
      </c>
      <c r="O34" s="60">
        <f t="shared" si="1"/>
        <v>0</v>
      </c>
    </row>
    <row r="35" spans="1:15" x14ac:dyDescent="0.45">
      <c r="B35" t="s">
        <v>145</v>
      </c>
      <c r="C35" s="60">
        <f>IFERROR(365/C28,0)</f>
        <v>133.88031608994064</v>
      </c>
      <c r="D35" s="60">
        <f t="shared" ref="D35:L35" si="6">IFERROR(365/D28,0)</f>
        <v>146.28184008891844</v>
      </c>
      <c r="E35" s="60">
        <f t="shared" si="6"/>
        <v>136.01917432668023</v>
      </c>
      <c r="F35" s="60">
        <f t="shared" si="6"/>
        <v>128.42118328489195</v>
      </c>
      <c r="G35" s="60">
        <f t="shared" si="6"/>
        <v>166.61655192371038</v>
      </c>
      <c r="H35" s="60">
        <f t="shared" si="6"/>
        <v>107.32372475269018</v>
      </c>
      <c r="I35" s="60">
        <f t="shared" si="6"/>
        <v>98.457620276453383</v>
      </c>
      <c r="J35" s="60">
        <f t="shared" si="6"/>
        <v>94.332519314388492</v>
      </c>
      <c r="K35" s="60">
        <f t="shared" si="6"/>
        <v>134.58850869660395</v>
      </c>
      <c r="L35" s="60">
        <f t="shared" si="6"/>
        <v>127.23261963890039</v>
      </c>
      <c r="N35" s="60">
        <f t="shared" si="2"/>
        <v>127.31540583931778</v>
      </c>
      <c r="O35" s="60">
        <f t="shared" si="1"/>
        <v>131.15074968741629</v>
      </c>
    </row>
    <row r="36" spans="1:15" x14ac:dyDescent="0.45">
      <c r="B36" t="s">
        <v>146</v>
      </c>
      <c r="C36">
        <f>IFERROR(365/C29,0)</f>
        <v>0</v>
      </c>
      <c r="D36">
        <f t="shared" ref="D36:L36" si="7">IFERROR(365/D29,0)</f>
        <v>0</v>
      </c>
      <c r="E36">
        <f t="shared" si="7"/>
        <v>0</v>
      </c>
      <c r="F36">
        <f t="shared" si="7"/>
        <v>0</v>
      </c>
      <c r="G36">
        <f t="shared" si="7"/>
        <v>0</v>
      </c>
      <c r="H36">
        <f t="shared" si="7"/>
        <v>0</v>
      </c>
      <c r="I36">
        <f t="shared" si="7"/>
        <v>0</v>
      </c>
      <c r="J36">
        <f t="shared" si="7"/>
        <v>0</v>
      </c>
      <c r="K36">
        <f t="shared" si="7"/>
        <v>0</v>
      </c>
      <c r="L36">
        <f t="shared" si="7"/>
        <v>0</v>
      </c>
      <c r="N36" s="60">
        <f t="shared" si="2"/>
        <v>0</v>
      </c>
      <c r="O36" s="60">
        <f t="shared" si="1"/>
        <v>0</v>
      </c>
    </row>
    <row r="37" spans="1:15" x14ac:dyDescent="0.45">
      <c r="B37" s="59" t="s">
        <v>147</v>
      </c>
      <c r="C37" s="60">
        <f>SUM(C34,C36)-C35</f>
        <v>-133.88031608994064</v>
      </c>
      <c r="D37" s="60">
        <f t="shared" ref="D37:L37" si="8">SUM(D34,D36)-D35</f>
        <v>-146.28184008891844</v>
      </c>
      <c r="E37" s="60">
        <f t="shared" si="8"/>
        <v>-136.01917432668023</v>
      </c>
      <c r="F37" s="60">
        <f t="shared" si="8"/>
        <v>-128.42118328489195</v>
      </c>
      <c r="G37" s="60">
        <f t="shared" si="8"/>
        <v>-166.61655192371038</v>
      </c>
      <c r="H37" s="60">
        <f t="shared" si="8"/>
        <v>-107.32372475269018</v>
      </c>
      <c r="I37" s="60">
        <f t="shared" si="8"/>
        <v>-98.457620276453383</v>
      </c>
      <c r="J37" s="60">
        <f t="shared" si="8"/>
        <v>-94.332519314388492</v>
      </c>
      <c r="K37" s="60">
        <f t="shared" si="8"/>
        <v>-134.58850869660395</v>
      </c>
      <c r="L37" s="60">
        <f t="shared" si="8"/>
        <v>-127.23261963890039</v>
      </c>
      <c r="N37" s="60">
        <f t="shared" si="2"/>
        <v>-127.31540583931778</v>
      </c>
      <c r="O37" s="60">
        <f t="shared" si="1"/>
        <v>-131.15074968741629</v>
      </c>
    </row>
    <row r="39" spans="1:15" x14ac:dyDescent="0.45">
      <c r="B39" s="48" t="s">
        <v>148</v>
      </c>
      <c r="C39" s="38">
        <f>IFERROR(historicalFS!C81/historicalFS!C6,0)</f>
        <v>0.4943492928636426</v>
      </c>
      <c r="D39" s="38">
        <f>IFERROR(historicalFS!D81/historicalFS!D6,0)</f>
        <v>-4.8840254388129542E-2</v>
      </c>
      <c r="E39" s="38">
        <f>IFERROR(historicalFS!E81/historicalFS!E6,0)</f>
        <v>0.28633645428980115</v>
      </c>
      <c r="F39" s="38">
        <f>IFERROR(historicalFS!F81/historicalFS!F6,0)</f>
        <v>0.5830861324464065</v>
      </c>
      <c r="G39" s="38">
        <f>IFERROR(historicalFS!G81/historicalFS!G6,0)</f>
        <v>-0.20539827213423953</v>
      </c>
      <c r="H39" s="38">
        <f>IFERROR(historicalFS!H81/historicalFS!H6,0)</f>
        <v>-1.545894942656491</v>
      </c>
      <c r="I39" s="38">
        <f>IFERROR(historicalFS!I81/historicalFS!I6,0)</f>
        <v>-0.73290447951217874</v>
      </c>
      <c r="J39" s="38">
        <f>IFERROR(historicalFS!J81/historicalFS!J6,0)</f>
        <v>7.266733166510099E-2</v>
      </c>
      <c r="K39" s="38">
        <f>IFERROR(historicalFS!K81/historicalFS!K6,0)</f>
        <v>0.22509952869704203</v>
      </c>
      <c r="L39" s="38">
        <f>IFERROR(historicalFS!L81/historicalFS!L6,0)</f>
        <v>0.21076560398381997</v>
      </c>
      <c r="N39" s="39">
        <f t="shared" si="2"/>
        <v>-6.6073360474522572E-2</v>
      </c>
      <c r="O39" s="39">
        <f t="shared" si="1"/>
        <v>0.14171646782446046</v>
      </c>
    </row>
    <row r="40" spans="1:15" x14ac:dyDescent="0.45">
      <c r="B40" t="s">
        <v>149</v>
      </c>
      <c r="C40" s="39">
        <f>IFERROR(historicalFS!C81/historicalFS!C66,0)</f>
        <v>3.8664245226614054E-2</v>
      </c>
      <c r="D40" s="39">
        <f>IFERROR(historicalFS!D81/historicalFS!D66,0)</f>
        <v>-3.7405003437282402E-3</v>
      </c>
      <c r="E40" s="39">
        <f>IFERROR(historicalFS!E81/historicalFS!E66,0)</f>
        <v>2.0408450723194575E-2</v>
      </c>
      <c r="F40" s="39">
        <f>IFERROR(historicalFS!F81/historicalFS!F66,0)</f>
        <v>3.821298663073211E-2</v>
      </c>
      <c r="G40" s="39">
        <f>IFERROR(historicalFS!G81/historicalFS!G66,0)</f>
        <v>-1.2871561022870853E-2</v>
      </c>
      <c r="H40" s="39">
        <f>IFERROR(historicalFS!H81/historicalFS!H66,0)</f>
        <v>-0.10202757369408338</v>
      </c>
      <c r="I40" s="39">
        <f>IFERROR(historicalFS!I81/historicalFS!I66,0)</f>
        <v>-4.727189823413798E-2</v>
      </c>
      <c r="J40" s="39">
        <f>IFERROR(historicalFS!J81/historicalFS!J66,0)</f>
        <v>4.6525618557473596E-3</v>
      </c>
      <c r="K40" s="39">
        <f>IFERROR(historicalFS!K81/historicalFS!K66,0)</f>
        <v>1.2814145837389088E-2</v>
      </c>
      <c r="L40" s="39">
        <f>IFERROR(historicalFS!L81/historicalFS!L66,0)</f>
        <v>1.2254552933971218E-2</v>
      </c>
      <c r="N40" s="39">
        <f t="shared" si="2"/>
        <v>-3.8904590087172051E-3</v>
      </c>
      <c r="O40" s="39">
        <f t="shared" si="1"/>
        <v>8.4535573948592881E-3</v>
      </c>
    </row>
    <row r="41" spans="1:15" x14ac:dyDescent="0.45">
      <c r="B41" s="59" t="s">
        <v>150</v>
      </c>
      <c r="C41" s="40">
        <f>IFERROR(historicalFS!C81/historicalFS!C51,0)</f>
        <v>4.2720926876305028E-2</v>
      </c>
      <c r="D41" s="40">
        <f>IFERROR(historicalFS!D81/historicalFS!D51,0)</f>
        <v>-4.1413512283806544E-3</v>
      </c>
      <c r="E41" s="40">
        <f>IFERROR(historicalFS!E81/historicalFS!E51,0)</f>
        <v>2.2309420544278702E-2</v>
      </c>
      <c r="F41" s="40">
        <f>IFERROR(historicalFS!F81/historicalFS!F51,0)</f>
        <v>4.1638256627502999E-2</v>
      </c>
      <c r="G41" s="40">
        <f>IFERROR(historicalFS!G81/historicalFS!G51,0)</f>
        <v>-1.4021349522107771E-2</v>
      </c>
      <c r="H41" s="40">
        <f>IFERROR(historicalFS!H81/historicalFS!H51,0)</f>
        <v>-0.11062681782947943</v>
      </c>
      <c r="I41" s="40">
        <f>IFERROR(historicalFS!I81/historicalFS!I51,0)</f>
        <v>-5.2085572311998195E-2</v>
      </c>
      <c r="J41" s="40">
        <f>IFERROR(historicalFS!J81/historicalFS!J51,0)</f>
        <v>5.1062807939863553E-3</v>
      </c>
      <c r="K41" s="40">
        <f>IFERROR(historicalFS!K81/historicalFS!K51,0)</f>
        <v>1.414132606597826E-2</v>
      </c>
      <c r="L41" s="40">
        <f>IFERROR(historicalFS!L81/historicalFS!L51,0)</f>
        <v>1.3453919872395921E-2</v>
      </c>
      <c r="N41" s="39">
        <f t="shared" si="2"/>
        <v>-4.1504960111518807E-3</v>
      </c>
      <c r="O41" s="39">
        <f t="shared" si="1"/>
        <v>9.2801003331911373E-3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100-000001000000}">
          <x14:colorSeries rgb="FF0070C0"/>
          <x14:colorNegative theme="1"/>
          <x14:colorAxis rgb="FF000000"/>
          <x14:colorMarkers theme="1"/>
          <x14:colorFirst rgb="FF000000"/>
          <x14:colorLast rgb="FF000000"/>
          <x14:colorHigh rgb="FF000000"/>
          <x14:colorLow rgb="FF0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00000000-0003-0000-0100-000000000000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8"/>
  <sheetViews>
    <sheetView showGridLines="0" topLeftCell="B1" workbookViewId="0">
      <selection activeCell="J21" sqref="J21"/>
    </sheetView>
  </sheetViews>
  <sheetFormatPr defaultRowHeight="14.25" x14ac:dyDescent="0.45"/>
  <cols>
    <col min="1" max="1" width="2.73046875" customWidth="1"/>
    <col min="2" max="2" width="11.73046875" bestFit="1" customWidth="1"/>
    <col min="3" max="3" width="8.3984375" bestFit="1" customWidth="1"/>
    <col min="4" max="4" width="14.73046875" customWidth="1"/>
    <col min="5" max="5" width="14" customWidth="1"/>
    <col min="7" max="7" width="12.265625" customWidth="1"/>
    <col min="8" max="8" width="10.265625" customWidth="1"/>
    <col min="9" max="9" width="11.1328125" customWidth="1"/>
    <col min="10" max="10" width="15.73046875" customWidth="1"/>
    <col min="11" max="11" width="8.265625" customWidth="1"/>
    <col min="12" max="12" width="14.1328125" customWidth="1"/>
    <col min="14" max="14" width="12.3984375" customWidth="1"/>
    <col min="15" max="15" width="16.1328125" customWidth="1"/>
  </cols>
  <sheetData>
    <row r="2" spans="2:15" x14ac:dyDescent="0.45">
      <c r="B2" s="87" t="str">
        <f>datasheet!B1:C1&amp;" -"&amp;" sales Forecasting"</f>
        <v>PUNJAB NATIONAL BANK - sales Forecasting</v>
      </c>
      <c r="C2" s="87"/>
      <c r="D2" s="87"/>
      <c r="E2" s="87"/>
      <c r="G2" s="87" t="str">
        <f>datasheet!B1&amp;" -"&amp;" EBITDA Forecasting"</f>
        <v>PUNJAB NATIONAL BANK - EBITDA Forecasting</v>
      </c>
      <c r="H2" s="87"/>
      <c r="I2" s="87"/>
      <c r="J2" s="87"/>
      <c r="L2" s="87" t="str">
        <f>datasheet!B1&amp;" -"&amp;" Earnings per share Forecasting"</f>
        <v>PUNJAB NATIONAL BANK - Earnings per share Forecasting</v>
      </c>
      <c r="M2" s="87"/>
      <c r="N2" s="87"/>
      <c r="O2" s="87"/>
    </row>
    <row r="3" spans="2:15" x14ac:dyDescent="0.45">
      <c r="B3" s="75" t="s">
        <v>186</v>
      </c>
      <c r="C3" s="76" t="s">
        <v>187</v>
      </c>
      <c r="D3" s="76" t="s">
        <v>56</v>
      </c>
      <c r="E3" s="76" t="s">
        <v>161</v>
      </c>
      <c r="G3" s="75" t="s">
        <v>188</v>
      </c>
      <c r="H3" s="76" t="s">
        <v>160</v>
      </c>
      <c r="I3" s="76" t="s">
        <v>66</v>
      </c>
      <c r="J3" s="76" t="s">
        <v>189</v>
      </c>
      <c r="L3" s="76" t="s">
        <v>188</v>
      </c>
      <c r="M3" s="76" t="s">
        <v>160</v>
      </c>
      <c r="N3" s="76" t="s">
        <v>77</v>
      </c>
      <c r="O3" s="76" t="s">
        <v>190</v>
      </c>
    </row>
    <row r="4" spans="2:15" x14ac:dyDescent="0.45">
      <c r="B4" s="64">
        <v>1</v>
      </c>
      <c r="C4" s="77">
        <f>datasheet!B16</f>
        <v>41729</v>
      </c>
      <c r="D4" s="78">
        <f t="array" ref="D4:D13">TRANSPOSE(datasheet!B17:K17)</f>
        <v>44958.09</v>
      </c>
      <c r="E4" s="63" t="s">
        <v>60</v>
      </c>
      <c r="G4" s="64">
        <f>B4</f>
        <v>1</v>
      </c>
      <c r="H4" s="79">
        <f>Forecasting!C4</f>
        <v>41729</v>
      </c>
      <c r="I4" s="78">
        <f t="array" ref="I4:I13">TRANSPOSE(historicalFS!C20:L20)</f>
        <v>33556.339999999989</v>
      </c>
      <c r="J4" s="63" t="s">
        <v>60</v>
      </c>
      <c r="L4" s="64">
        <f>G4</f>
        <v>1</v>
      </c>
      <c r="M4" s="79">
        <f>H4</f>
        <v>41729</v>
      </c>
      <c r="N4" s="78">
        <f t="array" ref="N4:N13">TRANSPOSE(historicalFS!C40:L40)</f>
        <v>19.524995857040206</v>
      </c>
      <c r="O4" s="63" t="s">
        <v>60</v>
      </c>
    </row>
    <row r="5" spans="2:15" x14ac:dyDescent="0.45">
      <c r="B5" s="64">
        <f>B4+1</f>
        <v>2</v>
      </c>
      <c r="C5" s="77">
        <f>C4+365</f>
        <v>42094</v>
      </c>
      <c r="D5" s="78">
        <v>48709.82</v>
      </c>
      <c r="E5" s="65">
        <f>D5/D4-1</f>
        <v>8.3449497076054646E-2</v>
      </c>
      <c r="G5" s="64">
        <f t="shared" ref="G5:G18" si="0">B5</f>
        <v>2</v>
      </c>
      <c r="H5" s="79">
        <f>Forecasting!C5</f>
        <v>42094</v>
      </c>
      <c r="I5" s="78">
        <v>36124.130000000005</v>
      </c>
      <c r="J5" s="68">
        <f>I5/I4-1</f>
        <v>7.6521754160317146E-2</v>
      </c>
      <c r="L5" s="64">
        <f t="shared" ref="L5:L18" si="1">G5</f>
        <v>2</v>
      </c>
      <c r="M5" s="79">
        <f t="shared" ref="M5:M18" si="2">H5</f>
        <v>42094</v>
      </c>
      <c r="N5" s="78">
        <v>18.016876954599404</v>
      </c>
      <c r="O5" s="68">
        <f>N5/N4-1</f>
        <v>-7.724042112393148E-2</v>
      </c>
    </row>
    <row r="6" spans="2:15" x14ac:dyDescent="0.45">
      <c r="B6" s="64">
        <f t="shared" ref="B6:B18" si="3">B5+1</f>
        <v>3</v>
      </c>
      <c r="C6" s="77">
        <f t="shared" ref="C6:C18" si="4">C5+365</f>
        <v>42459</v>
      </c>
      <c r="D6" s="78">
        <v>50803.87</v>
      </c>
      <c r="E6" s="65">
        <f t="shared" ref="E6:E18" si="5">D6/D5-1</f>
        <v>4.299030462440645E-2</v>
      </c>
      <c r="G6" s="64">
        <f t="shared" si="0"/>
        <v>3</v>
      </c>
      <c r="H6" s="79">
        <f>Forecasting!C6</f>
        <v>42459</v>
      </c>
      <c r="I6" s="78">
        <v>29450.62</v>
      </c>
      <c r="J6" s="68">
        <f t="shared" ref="J6:J18" si="6">I6/I5-1</f>
        <v>-0.18473828989099539</v>
      </c>
      <c r="L6" s="64">
        <f t="shared" si="1"/>
        <v>3</v>
      </c>
      <c r="M6" s="79">
        <f t="shared" si="2"/>
        <v>42459</v>
      </c>
      <c r="N6" s="78">
        <v>-18.655887146058244</v>
      </c>
      <c r="O6" s="68">
        <f t="shared" ref="O6:O18" si="7">N6/N5-1</f>
        <v>-2.0354673117360504</v>
      </c>
    </row>
    <row r="7" spans="2:15" x14ac:dyDescent="0.45">
      <c r="B7" s="64">
        <f t="shared" si="3"/>
        <v>4</v>
      </c>
      <c r="C7" s="77">
        <f t="shared" si="4"/>
        <v>42824</v>
      </c>
      <c r="D7" s="78">
        <v>48058.080000000002</v>
      </c>
      <c r="E7" s="65">
        <f t="shared" si="5"/>
        <v>-5.4046866902068724E-2</v>
      </c>
      <c r="G7" s="64">
        <f t="shared" si="0"/>
        <v>4</v>
      </c>
      <c r="H7" s="79">
        <f>Forecasting!C7</f>
        <v>42824</v>
      </c>
      <c r="I7" s="78">
        <v>34692.850000000006</v>
      </c>
      <c r="J7" s="68">
        <f t="shared" si="6"/>
        <v>0.17800066687899974</v>
      </c>
      <c r="L7" s="64">
        <f t="shared" si="1"/>
        <v>4</v>
      </c>
      <c r="M7" s="79">
        <f t="shared" si="2"/>
        <v>42824</v>
      </c>
      <c r="N7" s="78">
        <v>4.2346334586466368</v>
      </c>
      <c r="O7" s="68">
        <f t="shared" si="7"/>
        <v>-1.2269864426973318</v>
      </c>
    </row>
    <row r="8" spans="2:15" x14ac:dyDescent="0.45">
      <c r="B8" s="64">
        <f t="shared" si="3"/>
        <v>5</v>
      </c>
      <c r="C8" s="77">
        <f t="shared" si="4"/>
        <v>43189</v>
      </c>
      <c r="D8" s="78">
        <v>48724.85</v>
      </c>
      <c r="E8" s="65">
        <f t="shared" si="5"/>
        <v>1.3874253819544879E-2</v>
      </c>
      <c r="G8" s="64">
        <f t="shared" si="0"/>
        <v>5</v>
      </c>
      <c r="H8" s="79">
        <f>Forecasting!C8</f>
        <v>43189</v>
      </c>
      <c r="I8" s="78">
        <v>14262.719999999994</v>
      </c>
      <c r="J8" s="68">
        <f t="shared" si="6"/>
        <v>-0.58888589435575367</v>
      </c>
      <c r="L8" s="64">
        <f t="shared" si="1"/>
        <v>5</v>
      </c>
      <c r="M8" s="79">
        <f t="shared" si="2"/>
        <v>43189</v>
      </c>
      <c r="N8" s="78">
        <v>-45.585524885894387</v>
      </c>
      <c r="O8" s="68">
        <f t="shared" si="7"/>
        <v>-11.764928141021029</v>
      </c>
    </row>
    <row r="9" spans="2:15" x14ac:dyDescent="0.45">
      <c r="B9" s="64">
        <f t="shared" si="3"/>
        <v>6</v>
      </c>
      <c r="C9" s="77">
        <f t="shared" si="4"/>
        <v>43554</v>
      </c>
      <c r="D9" s="78">
        <v>52147.14</v>
      </c>
      <c r="E9" s="65">
        <f t="shared" si="5"/>
        <v>7.0237055629724932E-2</v>
      </c>
      <c r="G9" s="64">
        <f t="shared" si="0"/>
        <v>6</v>
      </c>
      <c r="H9" s="79">
        <f>Forecasting!C9</f>
        <v>43554</v>
      </c>
      <c r="I9" s="78">
        <v>19869.87</v>
      </c>
      <c r="J9" s="68">
        <f t="shared" si="6"/>
        <v>0.39313328733930186</v>
      </c>
      <c r="L9" s="64">
        <f t="shared" si="1"/>
        <v>6</v>
      </c>
      <c r="M9" s="79">
        <f t="shared" si="2"/>
        <v>43554</v>
      </c>
      <c r="N9" s="78">
        <v>-21.777606429192016</v>
      </c>
      <c r="O9" s="68">
        <f t="shared" si="7"/>
        <v>-0.52226926236554749</v>
      </c>
    </row>
    <row r="10" spans="2:15" x14ac:dyDescent="0.45">
      <c r="B10" s="64">
        <f t="shared" si="3"/>
        <v>7</v>
      </c>
      <c r="C10" s="77">
        <f t="shared" si="4"/>
        <v>43919</v>
      </c>
      <c r="D10" s="78">
        <v>54918.48</v>
      </c>
      <c r="E10" s="65">
        <f t="shared" si="5"/>
        <v>5.3144621162349637E-2</v>
      </c>
      <c r="G10" s="64">
        <f t="shared" si="0"/>
        <v>7</v>
      </c>
      <c r="H10" s="79">
        <f>Forecasting!C10</f>
        <v>43919</v>
      </c>
      <c r="I10" s="78">
        <v>38438.910000000003</v>
      </c>
      <c r="J10" s="68">
        <f t="shared" si="6"/>
        <v>0.93453253594512731</v>
      </c>
      <c r="L10" s="64">
        <f t="shared" si="1"/>
        <v>7</v>
      </c>
      <c r="M10" s="79">
        <f t="shared" si="2"/>
        <v>43919</v>
      </c>
      <c r="N10" s="78">
        <v>0.53925730230349422</v>
      </c>
      <c r="O10" s="68">
        <f t="shared" si="7"/>
        <v>-1.0247620097303549</v>
      </c>
    </row>
    <row r="11" spans="2:15" x14ac:dyDescent="0.45">
      <c r="B11" s="64">
        <f t="shared" si="3"/>
        <v>8</v>
      </c>
      <c r="C11" s="77">
        <f t="shared" si="4"/>
        <v>44284</v>
      </c>
      <c r="D11" s="78">
        <v>81935.03</v>
      </c>
      <c r="E11" s="65">
        <f t="shared" si="5"/>
        <v>0.49193914325378252</v>
      </c>
      <c r="G11" s="64">
        <f t="shared" si="0"/>
        <v>8</v>
      </c>
      <c r="H11" s="79">
        <f>Forecasting!C11</f>
        <v>44284</v>
      </c>
      <c r="I11" s="78">
        <v>56111.329999999994</v>
      </c>
      <c r="J11" s="68">
        <f t="shared" si="6"/>
        <v>0.45975341132201697</v>
      </c>
      <c r="L11" s="64">
        <f t="shared" si="1"/>
        <v>8</v>
      </c>
      <c r="M11" s="79">
        <f t="shared" si="2"/>
        <v>44284</v>
      </c>
      <c r="N11" s="78">
        <v>2.5717380722868501</v>
      </c>
      <c r="O11" s="68">
        <f t="shared" si="7"/>
        <v>3.76903708359887</v>
      </c>
    </row>
    <row r="12" spans="2:15" x14ac:dyDescent="0.45">
      <c r="B12" s="64">
        <f t="shared" si="3"/>
        <v>9</v>
      </c>
      <c r="C12" s="77">
        <f t="shared" si="4"/>
        <v>44649</v>
      </c>
      <c r="D12" s="78">
        <v>76241.83</v>
      </c>
      <c r="E12" s="65">
        <f t="shared" si="5"/>
        <v>-6.9484321907247737E-2</v>
      </c>
      <c r="G12" s="64">
        <f t="shared" si="0"/>
        <v>9</v>
      </c>
      <c r="H12" s="79">
        <f>Forecasting!C12</f>
        <v>44649</v>
      </c>
      <c r="I12" s="78">
        <v>52545.340000000004</v>
      </c>
      <c r="J12" s="68">
        <f t="shared" si="6"/>
        <v>-6.3552049113788422E-2</v>
      </c>
      <c r="L12" s="64">
        <f t="shared" si="1"/>
        <v>9</v>
      </c>
      <c r="M12" s="79">
        <f t="shared" si="2"/>
        <v>44649</v>
      </c>
      <c r="N12" s="78">
        <v>3.5488057397148327</v>
      </c>
      <c r="O12" s="68">
        <f t="shared" si="7"/>
        <v>0.3799250312296194</v>
      </c>
    </row>
    <row r="13" spans="2:15" x14ac:dyDescent="0.45">
      <c r="B13" s="64">
        <f t="shared" si="3"/>
        <v>10</v>
      </c>
      <c r="C13" s="77">
        <f t="shared" si="4"/>
        <v>45014</v>
      </c>
      <c r="D13" s="78">
        <v>86845.29</v>
      </c>
      <c r="E13" s="65">
        <f t="shared" si="5"/>
        <v>0.13907667221523923</v>
      </c>
      <c r="G13" s="64">
        <f t="shared" si="0"/>
        <v>10</v>
      </c>
      <c r="H13" s="79">
        <f>Forecasting!C13</f>
        <v>45014</v>
      </c>
      <c r="I13" s="78">
        <v>57872.719999999994</v>
      </c>
      <c r="J13" s="68">
        <f t="shared" si="6"/>
        <v>0.10138634558269088</v>
      </c>
      <c r="L13" s="64">
        <f t="shared" si="1"/>
        <v>10</v>
      </c>
      <c r="M13" s="79">
        <f t="shared" si="2"/>
        <v>45014</v>
      </c>
      <c r="N13" s="78">
        <v>3.0503859776587015</v>
      </c>
      <c r="O13" s="68">
        <f t="shared" si="7"/>
        <v>-0.14044718099903153</v>
      </c>
    </row>
    <row r="14" spans="2:15" x14ac:dyDescent="0.45">
      <c r="B14" s="80">
        <f t="shared" si="3"/>
        <v>11</v>
      </c>
      <c r="C14" s="81">
        <f t="shared" si="4"/>
        <v>45379</v>
      </c>
      <c r="D14" s="82">
        <f>FORECAST(B14,$D$4:$D$13,$B$4:$B$13)</f>
        <v>84313.186666666676</v>
      </c>
      <c r="E14" s="83">
        <f t="shared" si="5"/>
        <v>-2.9156484287556905E-2</v>
      </c>
      <c r="G14" s="80">
        <f t="shared" si="0"/>
        <v>11</v>
      </c>
      <c r="H14" s="84">
        <f>Forecasting!C14</f>
        <v>45379</v>
      </c>
      <c r="I14" s="82">
        <f>FORECAST(G14,$I$4:$I$13,$G$4:$G$13)</f>
        <v>53423.975333333336</v>
      </c>
      <c r="J14" s="85">
        <f t="shared" si="6"/>
        <v>-7.6871186746824027E-2</v>
      </c>
      <c r="L14" s="80">
        <f t="shared" si="1"/>
        <v>11</v>
      </c>
      <c r="M14" s="84">
        <f t="shared" si="2"/>
        <v>45379</v>
      </c>
      <c r="N14" s="82">
        <f>FORECAST(L14,$N$4:$N$13,$L$4:$L$13)</f>
        <v>-7.8095015545303568</v>
      </c>
      <c r="O14" s="85">
        <f t="shared" si="7"/>
        <v>-3.5601683235262165</v>
      </c>
    </row>
    <row r="15" spans="2:15" x14ac:dyDescent="0.45">
      <c r="B15" s="80">
        <f t="shared" si="3"/>
        <v>12</v>
      </c>
      <c r="C15" s="81">
        <f t="shared" si="4"/>
        <v>45744</v>
      </c>
      <c r="D15" s="82">
        <f t="shared" ref="D15:D18" si="8">FORECAST(B15,$D$4:$D$13,$B$4:$B$13)</f>
        <v>88854.811878787878</v>
      </c>
      <c r="E15" s="83">
        <f t="shared" si="5"/>
        <v>5.3866131641739257E-2</v>
      </c>
      <c r="G15" s="80">
        <f t="shared" si="0"/>
        <v>12</v>
      </c>
      <c r="H15" s="84">
        <f>Forecasting!C15</f>
        <v>45744</v>
      </c>
      <c r="I15" s="82">
        <f>FORECAST(G15,$I$4:$I$13,$G$4:$G$13)</f>
        <v>56356.973939393938</v>
      </c>
      <c r="J15" s="85">
        <f t="shared" si="6"/>
        <v>5.4900418543555762E-2</v>
      </c>
      <c r="L15" s="80">
        <f t="shared" si="1"/>
        <v>12</v>
      </c>
      <c r="M15" s="84">
        <f t="shared" si="2"/>
        <v>45744</v>
      </c>
      <c r="N15" s="82">
        <f t="shared" ref="N15:N18" si="9">FORECAST(L15,$N$4:$N$13,$L$4:$L$13)</f>
        <v>-8.6015504717377951</v>
      </c>
      <c r="O15" s="85">
        <f t="shared" si="7"/>
        <v>0.10142118695756763</v>
      </c>
    </row>
    <row r="16" spans="2:15" x14ac:dyDescent="0.45">
      <c r="B16" s="80">
        <f t="shared" si="3"/>
        <v>13</v>
      </c>
      <c r="C16" s="81">
        <f t="shared" si="4"/>
        <v>46109</v>
      </c>
      <c r="D16" s="82">
        <f t="shared" si="8"/>
        <v>93396.437090909094</v>
      </c>
      <c r="E16" s="83">
        <f t="shared" si="5"/>
        <v>5.1112878594765654E-2</v>
      </c>
      <c r="G16" s="80">
        <f t="shared" si="0"/>
        <v>13</v>
      </c>
      <c r="H16" s="84">
        <f>Forecasting!C16</f>
        <v>46109</v>
      </c>
      <c r="I16" s="82">
        <f>FORECAST(G16,$I$4:$I$13,$G$4:$G$13)</f>
        <v>59289.972545454541</v>
      </c>
      <c r="J16" s="85">
        <f t="shared" si="6"/>
        <v>5.2043223775902758E-2</v>
      </c>
      <c r="L16" s="80">
        <f t="shared" si="1"/>
        <v>13</v>
      </c>
      <c r="M16" s="84">
        <f t="shared" si="2"/>
        <v>46109</v>
      </c>
      <c r="N16" s="82">
        <f t="shared" si="9"/>
        <v>-9.3935993889452316</v>
      </c>
      <c r="O16" s="85">
        <f t="shared" si="7"/>
        <v>9.2082110057934319E-2</v>
      </c>
    </row>
    <row r="17" spans="2:15" x14ac:dyDescent="0.45">
      <c r="B17" s="80">
        <f t="shared" si="3"/>
        <v>14</v>
      </c>
      <c r="C17" s="81">
        <f t="shared" si="4"/>
        <v>46474</v>
      </c>
      <c r="D17" s="82">
        <f t="shared" si="8"/>
        <v>97938.06230303031</v>
      </c>
      <c r="E17" s="83">
        <f t="shared" si="5"/>
        <v>4.8627392581373829E-2</v>
      </c>
      <c r="G17" s="80">
        <f t="shared" si="0"/>
        <v>14</v>
      </c>
      <c r="H17" s="84">
        <f>Forecasting!C17</f>
        <v>46474</v>
      </c>
      <c r="I17" s="82">
        <f>FORECAST(G17,$I$4:$I$13,$G$4:$G$13)</f>
        <v>62222.97115151515</v>
      </c>
      <c r="J17" s="85">
        <f t="shared" si="6"/>
        <v>4.9468712501292478E-2</v>
      </c>
      <c r="L17" s="80">
        <f t="shared" si="1"/>
        <v>14</v>
      </c>
      <c r="M17" s="84">
        <f t="shared" si="2"/>
        <v>46474</v>
      </c>
      <c r="N17" s="82">
        <f t="shared" si="9"/>
        <v>-10.185648306152668</v>
      </c>
      <c r="O17" s="85">
        <f t="shared" si="7"/>
        <v>8.431793654512787E-2</v>
      </c>
    </row>
    <row r="18" spans="2:15" x14ac:dyDescent="0.45">
      <c r="B18" s="80">
        <f t="shared" si="3"/>
        <v>15</v>
      </c>
      <c r="C18" s="81">
        <f t="shared" si="4"/>
        <v>46839</v>
      </c>
      <c r="D18" s="82">
        <f t="shared" si="8"/>
        <v>102479.68751515151</v>
      </c>
      <c r="E18" s="83">
        <f t="shared" si="5"/>
        <v>4.6372422583458528E-2</v>
      </c>
      <c r="G18" s="80">
        <f t="shared" si="0"/>
        <v>15</v>
      </c>
      <c r="H18" s="84">
        <f>Forecasting!C18</f>
        <v>46839</v>
      </c>
      <c r="I18" s="82">
        <f>FORECAST(G18,$I$4:$I$13,$G$4:$G$13)</f>
        <v>65155.96975757576</v>
      </c>
      <c r="J18" s="85">
        <f t="shared" si="6"/>
        <v>4.7136910240410224E-2</v>
      </c>
      <c r="L18" s="80">
        <f t="shared" si="1"/>
        <v>15</v>
      </c>
      <c r="M18" s="84">
        <f t="shared" si="2"/>
        <v>46839</v>
      </c>
      <c r="N18" s="82">
        <f t="shared" si="9"/>
        <v>-10.977697223360106</v>
      </c>
      <c r="O18" s="85">
        <f t="shared" si="7"/>
        <v>7.776126697099861E-2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Q24"/>
  <sheetViews>
    <sheetView showGridLines="0" workbookViewId="0">
      <selection activeCell="G6" sqref="G6"/>
    </sheetView>
  </sheetViews>
  <sheetFormatPr defaultRowHeight="14.25" x14ac:dyDescent="0.45"/>
  <cols>
    <col min="1" max="1" width="2.73046875" customWidth="1"/>
    <col min="2" max="2" width="17.86328125" bestFit="1" customWidth="1"/>
    <col min="3" max="3" width="7.59765625" customWidth="1"/>
    <col min="4" max="4" width="12.86328125" customWidth="1"/>
    <col min="5" max="5" width="13.3984375" customWidth="1"/>
  </cols>
  <sheetData>
    <row r="3" spans="2:14" x14ac:dyDescent="0.45">
      <c r="B3" s="66" t="s">
        <v>159</v>
      </c>
      <c r="C3" s="67" t="s">
        <v>160</v>
      </c>
      <c r="D3" s="67" t="s">
        <v>56</v>
      </c>
      <c r="E3" s="67" t="s">
        <v>161</v>
      </c>
      <c r="F3" s="62"/>
      <c r="G3" s="62"/>
      <c r="H3" s="62"/>
      <c r="I3" s="62"/>
      <c r="J3" s="62"/>
      <c r="K3" s="62"/>
      <c r="L3" s="62"/>
    </row>
    <row r="4" spans="2:14" x14ac:dyDescent="0.45">
      <c r="B4" s="64">
        <v>1</v>
      </c>
      <c r="C4" s="69">
        <v>2014</v>
      </c>
      <c r="D4" s="74">
        <v>44958.09</v>
      </c>
      <c r="E4" s="63" t="s">
        <v>60</v>
      </c>
      <c r="I4" t="s">
        <v>162</v>
      </c>
    </row>
    <row r="5" spans="2:14" ht="14.65" thickBot="1" x14ac:dyDescent="0.5">
      <c r="B5" s="64">
        <f>B4+1</f>
        <v>2</v>
      </c>
      <c r="C5" s="69">
        <f>C4+1</f>
        <v>2015</v>
      </c>
      <c r="D5" s="74">
        <v>48709.82</v>
      </c>
      <c r="E5" s="65">
        <f t="shared" ref="E5:E17" si="0">IFERROR(D5/D4-1,0)</f>
        <v>8.3449497076054646E-2</v>
      </c>
    </row>
    <row r="6" spans="2:14" x14ac:dyDescent="0.45">
      <c r="B6" s="64">
        <f t="shared" ref="B6:B12" si="1">B5+1</f>
        <v>3</v>
      </c>
      <c r="C6" s="69">
        <f t="shared" ref="C6:C17" si="2">C5+1</f>
        <v>2016</v>
      </c>
      <c r="D6" s="74">
        <v>50803.87</v>
      </c>
      <c r="E6" s="65">
        <f t="shared" si="0"/>
        <v>4.299030462440645E-2</v>
      </c>
      <c r="I6" s="73" t="s">
        <v>163</v>
      </c>
      <c r="J6" s="73"/>
    </row>
    <row r="7" spans="2:14" x14ac:dyDescent="0.45">
      <c r="B7" s="64">
        <f t="shared" si="1"/>
        <v>4</v>
      </c>
      <c r="C7" s="69">
        <f t="shared" si="2"/>
        <v>2017</v>
      </c>
      <c r="D7" s="74">
        <v>48058.080000000002</v>
      </c>
      <c r="E7" s="65">
        <f t="shared" si="0"/>
        <v>-5.4046866902068724E-2</v>
      </c>
      <c r="I7" t="s">
        <v>164</v>
      </c>
      <c r="J7">
        <v>0.86836237802489435</v>
      </c>
    </row>
    <row r="8" spans="2:14" x14ac:dyDescent="0.45">
      <c r="B8" s="64">
        <f t="shared" si="1"/>
        <v>5</v>
      </c>
      <c r="C8" s="69">
        <f t="shared" si="2"/>
        <v>2018</v>
      </c>
      <c r="D8" s="74">
        <v>48724.85</v>
      </c>
      <c r="E8" s="65">
        <f t="shared" si="0"/>
        <v>1.3874253819544879E-2</v>
      </c>
      <c r="I8" t="s">
        <v>165</v>
      </c>
      <c r="J8">
        <v>0.75405321956904958</v>
      </c>
    </row>
    <row r="9" spans="2:14" x14ac:dyDescent="0.45">
      <c r="B9" s="64">
        <f t="shared" si="1"/>
        <v>6</v>
      </c>
      <c r="C9" s="69">
        <f t="shared" si="2"/>
        <v>2019</v>
      </c>
      <c r="D9" s="74">
        <v>52147.14</v>
      </c>
      <c r="E9" s="65">
        <f t="shared" si="0"/>
        <v>7.0237055629724932E-2</v>
      </c>
      <c r="I9" t="s">
        <v>166</v>
      </c>
      <c r="J9">
        <v>0.72330987201518082</v>
      </c>
    </row>
    <row r="10" spans="2:14" x14ac:dyDescent="0.45">
      <c r="B10" s="64">
        <f t="shared" si="1"/>
        <v>7</v>
      </c>
      <c r="C10" s="69">
        <f t="shared" si="2"/>
        <v>2020</v>
      </c>
      <c r="D10" s="74">
        <v>54918.48</v>
      </c>
      <c r="E10" s="65">
        <f t="shared" si="0"/>
        <v>5.3144621162349637E-2</v>
      </c>
      <c r="I10" t="s">
        <v>167</v>
      </c>
      <c r="J10">
        <v>8329.3832366712359</v>
      </c>
    </row>
    <row r="11" spans="2:14" ht="14.65" thickBot="1" x14ac:dyDescent="0.5">
      <c r="B11" s="64">
        <f t="shared" si="1"/>
        <v>8</v>
      </c>
      <c r="C11" s="69">
        <f t="shared" si="2"/>
        <v>2021</v>
      </c>
      <c r="D11" s="74">
        <v>81935.03</v>
      </c>
      <c r="E11" s="65">
        <f t="shared" si="0"/>
        <v>0.49193914325378252</v>
      </c>
      <c r="I11" s="71" t="s">
        <v>168</v>
      </c>
      <c r="J11" s="71">
        <v>10</v>
      </c>
    </row>
    <row r="12" spans="2:14" x14ac:dyDescent="0.45">
      <c r="B12" s="64">
        <f t="shared" si="1"/>
        <v>9</v>
      </c>
      <c r="C12" s="69">
        <f t="shared" si="2"/>
        <v>2022</v>
      </c>
      <c r="D12" s="74">
        <v>76241.83</v>
      </c>
      <c r="E12" s="65">
        <f t="shared" si="0"/>
        <v>-6.9484321907247737E-2</v>
      </c>
    </row>
    <row r="13" spans="2:14" ht="14.65" thickBot="1" x14ac:dyDescent="0.5">
      <c r="B13" s="64">
        <f>B12+1</f>
        <v>10</v>
      </c>
      <c r="C13" s="69">
        <f t="shared" si="2"/>
        <v>2023</v>
      </c>
      <c r="D13" s="74">
        <v>86845.29</v>
      </c>
      <c r="E13" s="65">
        <f>IFERROR(D13/D12-1,0)</f>
        <v>0.13907667221523923</v>
      </c>
      <c r="I13" t="s">
        <v>169</v>
      </c>
    </row>
    <row r="14" spans="2:14" x14ac:dyDescent="0.45">
      <c r="B14" s="64">
        <f t="shared" ref="B14:B17" si="3">B13+1</f>
        <v>11</v>
      </c>
      <c r="C14" s="70">
        <f t="shared" si="2"/>
        <v>2024</v>
      </c>
      <c r="D14" s="62">
        <f>FORECAST(B14,$D$4:$D$13,$B$4:$B$13)</f>
        <v>84313.186666666676</v>
      </c>
      <c r="E14" s="65">
        <f>IFERROR(D14/D13-1,0)</f>
        <v>-2.9156484287556905E-2</v>
      </c>
      <c r="I14" s="72"/>
      <c r="J14" s="72" t="s">
        <v>173</v>
      </c>
      <c r="K14" s="72" t="s">
        <v>174</v>
      </c>
      <c r="L14" s="72" t="s">
        <v>175</v>
      </c>
      <c r="M14" s="72" t="s">
        <v>176</v>
      </c>
      <c r="N14" s="72" t="s">
        <v>177</v>
      </c>
    </row>
    <row r="15" spans="2:14" x14ac:dyDescent="0.45">
      <c r="B15" s="64">
        <f t="shared" si="3"/>
        <v>12</v>
      </c>
      <c r="C15" s="70">
        <f t="shared" si="2"/>
        <v>2025</v>
      </c>
      <c r="D15" s="62">
        <f>FORECAST(B15,$D$4:$D$13,$B$4:$B$13)</f>
        <v>88854.811878787878</v>
      </c>
      <c r="E15" s="65">
        <f t="shared" si="0"/>
        <v>5.3866131641739257E-2</v>
      </c>
      <c r="I15" t="s">
        <v>170</v>
      </c>
      <c r="J15">
        <v>1</v>
      </c>
      <c r="K15">
        <v>1701674664.3084416</v>
      </c>
      <c r="L15">
        <v>1701674664.3084416</v>
      </c>
      <c r="M15">
        <v>24.52736216340103</v>
      </c>
      <c r="N15">
        <v>1.1173544108841079E-3</v>
      </c>
    </row>
    <row r="16" spans="2:14" x14ac:dyDescent="0.45">
      <c r="B16" s="64">
        <f t="shared" si="3"/>
        <v>13</v>
      </c>
      <c r="C16" s="70">
        <f t="shared" si="2"/>
        <v>2026</v>
      </c>
      <c r="D16" s="62">
        <f>FORECAST(B16,$D$4:$D$13,$B$4:$B$13)</f>
        <v>93396.437090909094</v>
      </c>
      <c r="E16" s="65">
        <f t="shared" si="0"/>
        <v>5.1112878594765654E-2</v>
      </c>
      <c r="I16" t="s">
        <v>171</v>
      </c>
      <c r="J16">
        <v>8</v>
      </c>
      <c r="K16">
        <v>555029000.82671845</v>
      </c>
      <c r="L16">
        <v>69378625.103339806</v>
      </c>
    </row>
    <row r="17" spans="2:17" ht="14.65" thickBot="1" x14ac:dyDescent="0.5">
      <c r="B17" s="64">
        <f t="shared" si="3"/>
        <v>14</v>
      </c>
      <c r="C17" s="70">
        <f t="shared" si="2"/>
        <v>2027</v>
      </c>
      <c r="D17" s="62">
        <f>FORECAST(B17,$D$4:$D$13,$B$4:$B$13)</f>
        <v>97938.06230303031</v>
      </c>
      <c r="E17" s="65">
        <f t="shared" si="0"/>
        <v>4.8627392581373829E-2</v>
      </c>
      <c r="I17" s="71" t="s">
        <v>35</v>
      </c>
      <c r="J17" s="71">
        <v>9</v>
      </c>
      <c r="K17" s="71">
        <v>2256703665.13516</v>
      </c>
      <c r="L17" s="71"/>
      <c r="M17" s="71"/>
      <c r="N17" s="71"/>
    </row>
    <row r="18" spans="2:17" ht="14.65" thickBot="1" x14ac:dyDescent="0.5"/>
    <row r="19" spans="2:17" x14ac:dyDescent="0.45">
      <c r="C19" s="68"/>
      <c r="I19" s="72"/>
      <c r="J19" s="72" t="s">
        <v>178</v>
      </c>
      <c r="K19" s="72" t="s">
        <v>167</v>
      </c>
      <c r="L19" s="72" t="s">
        <v>179</v>
      </c>
      <c r="M19" s="72" t="s">
        <v>180</v>
      </c>
      <c r="N19" s="72" t="s">
        <v>181</v>
      </c>
      <c r="O19" s="72" t="s">
        <v>182</v>
      </c>
      <c r="P19" s="72" t="s">
        <v>183</v>
      </c>
      <c r="Q19" s="72" t="s">
        <v>184</v>
      </c>
    </row>
    <row r="20" spans="2:17" x14ac:dyDescent="0.45">
      <c r="I20" t="s">
        <v>172</v>
      </c>
      <c r="J20">
        <v>34355.309333333324</v>
      </c>
      <c r="K20">
        <v>5690.0519957986253</v>
      </c>
      <c r="L20">
        <v>6.0377847792428474</v>
      </c>
      <c r="M20">
        <v>3.1008651943153289E-4</v>
      </c>
      <c r="N20">
        <v>21234.02590149497</v>
      </c>
      <c r="O20">
        <v>47476.592765171677</v>
      </c>
      <c r="P20">
        <v>21234.02590149497</v>
      </c>
      <c r="Q20">
        <v>47476.592765171677</v>
      </c>
    </row>
    <row r="21" spans="2:17" ht="14.65" thickBot="1" x14ac:dyDescent="0.5">
      <c r="B21">
        <v>11</v>
      </c>
      <c r="C21" s="70">
        <v>2024</v>
      </c>
      <c r="D21" s="62">
        <v>84313.186666666676</v>
      </c>
      <c r="E21" s="42">
        <v>-2.9156484287556905E-2</v>
      </c>
      <c r="I21" s="71" t="s">
        <v>185</v>
      </c>
      <c r="J21" s="71">
        <v>4541.6252121212137</v>
      </c>
      <c r="K21" s="71">
        <v>917.03491294259572</v>
      </c>
      <c r="L21" s="71">
        <v>4.9525106929113276</v>
      </c>
      <c r="M21" s="71">
        <v>1.1173544108841068E-3</v>
      </c>
      <c r="N21" s="71">
        <v>2426.9389107489947</v>
      </c>
      <c r="O21" s="71">
        <v>6656.3115134934324</v>
      </c>
      <c r="P21" s="71">
        <v>2426.9389107489947</v>
      </c>
      <c r="Q21" s="71">
        <v>6656.3115134934324</v>
      </c>
    </row>
    <row r="22" spans="2:17" x14ac:dyDescent="0.45">
      <c r="B22">
        <v>12</v>
      </c>
      <c r="C22" s="70">
        <v>2025</v>
      </c>
      <c r="D22" s="62">
        <v>88854.811878787892</v>
      </c>
      <c r="E22" s="42">
        <v>5.3866131641739479E-2</v>
      </c>
    </row>
    <row r="23" spans="2:17" x14ac:dyDescent="0.45">
      <c r="B23">
        <v>13</v>
      </c>
      <c r="C23" s="70">
        <v>2026</v>
      </c>
      <c r="D23" s="62">
        <v>93396.437090909109</v>
      </c>
      <c r="E23" s="42">
        <v>5.1112878594765432E-2</v>
      </c>
    </row>
    <row r="24" spans="2:17" x14ac:dyDescent="0.45">
      <c r="B24">
        <v>14</v>
      </c>
      <c r="C24" s="70">
        <v>2027</v>
      </c>
      <c r="D24" s="62">
        <v>97938.06230303031</v>
      </c>
      <c r="E24" s="42">
        <v>4.8627392581373607E-2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3"/>
  <sheetViews>
    <sheetView workbookViewId="0">
      <selection activeCell="C16" sqref="C16"/>
    </sheetView>
  </sheetViews>
  <sheetFormatPr defaultColWidth="8.86328125" defaultRowHeight="14.25" x14ac:dyDescent="0.45"/>
  <cols>
    <col min="1" max="1" width="27.73046875" style="2" bestFit="1" customWidth="1"/>
    <col min="2" max="11" width="13.3984375" style="2" bestFit="1" customWidth="1"/>
    <col min="12" max="16384" width="8.86328125" style="2"/>
  </cols>
  <sheetData>
    <row r="1" spans="1:11" s="1" customFormat="1" x14ac:dyDescent="0.45">
      <c r="A1" s="1" t="s">
        <v>0</v>
      </c>
      <c r="B1" s="1" t="s">
        <v>1</v>
      </c>
      <c r="E1" s="88" t="str">
        <f>IF(B2&lt;&gt;B3, "A NEW VERSION OF THE WORKSHEET IS AVAILABLE", "")</f>
        <v/>
      </c>
      <c r="F1" s="88"/>
      <c r="G1" s="88"/>
      <c r="H1" s="88"/>
      <c r="I1" s="88"/>
      <c r="J1" s="88"/>
      <c r="K1" s="88"/>
    </row>
    <row r="2" spans="1:11" x14ac:dyDescent="0.45">
      <c r="A2" s="1" t="s">
        <v>2</v>
      </c>
      <c r="B2" s="2">
        <v>2.1</v>
      </c>
      <c r="E2" s="89" t="s">
        <v>3</v>
      </c>
      <c r="F2" s="89"/>
      <c r="G2" s="89"/>
      <c r="H2" s="89"/>
      <c r="I2" s="89"/>
      <c r="J2" s="89"/>
      <c r="K2" s="89"/>
    </row>
    <row r="3" spans="1:11" x14ac:dyDescent="0.45">
      <c r="A3" s="1" t="s">
        <v>4</v>
      </c>
      <c r="B3" s="2">
        <v>2.1</v>
      </c>
    </row>
    <row r="4" spans="1:11" x14ac:dyDescent="0.45">
      <c r="A4" s="1"/>
    </row>
    <row r="5" spans="1:11" x14ac:dyDescent="0.45">
      <c r="A5" s="1" t="s">
        <v>5</v>
      </c>
    </row>
    <row r="6" spans="1:11" x14ac:dyDescent="0.45">
      <c r="A6" s="2" t="s">
        <v>6</v>
      </c>
      <c r="B6" s="2">
        <f>IF(B9&gt;0, B9/B8, 0)</f>
        <v>1101.1015756687432</v>
      </c>
    </row>
    <row r="7" spans="1:11" x14ac:dyDescent="0.45">
      <c r="A7" s="2" t="s">
        <v>7</v>
      </c>
      <c r="B7">
        <v>2</v>
      </c>
    </row>
    <row r="8" spans="1:11" x14ac:dyDescent="0.45">
      <c r="A8" s="2" t="s">
        <v>8</v>
      </c>
      <c r="B8">
        <v>136.44999999999999</v>
      </c>
    </row>
    <row r="9" spans="1:11" x14ac:dyDescent="0.45">
      <c r="A9" s="2" t="s">
        <v>9</v>
      </c>
      <c r="B9">
        <v>150245.31</v>
      </c>
    </row>
    <row r="15" spans="1:11" x14ac:dyDescent="0.45">
      <c r="A15" s="1" t="s">
        <v>10</v>
      </c>
    </row>
    <row r="16" spans="1:11" s="5" customFormat="1" x14ac:dyDescent="0.45">
      <c r="A16" s="3" t="s">
        <v>11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s="6" customFormat="1" x14ac:dyDescent="0.45">
      <c r="A17" s="6" t="s">
        <v>12</v>
      </c>
      <c r="B17">
        <v>44958.09</v>
      </c>
      <c r="C17">
        <v>48709.82</v>
      </c>
      <c r="D17">
        <v>50803.87</v>
      </c>
      <c r="E17">
        <v>48058.080000000002</v>
      </c>
      <c r="F17">
        <v>48724.85</v>
      </c>
      <c r="G17">
        <v>52147.14</v>
      </c>
      <c r="H17">
        <v>54918.48</v>
      </c>
      <c r="I17">
        <v>81935.03</v>
      </c>
      <c r="J17">
        <v>76241.83</v>
      </c>
      <c r="K17">
        <v>86845.29</v>
      </c>
    </row>
    <row r="18" spans="1:11" s="6" customFormat="1" x14ac:dyDescent="0.45">
      <c r="A18" s="2" t="s">
        <v>13</v>
      </c>
    </row>
    <row r="19" spans="1:11" s="6" customFormat="1" x14ac:dyDescent="0.45">
      <c r="A19" s="2" t="s">
        <v>14</v>
      </c>
    </row>
    <row r="20" spans="1:11" s="6" customFormat="1" x14ac:dyDescent="0.45">
      <c r="A20" s="2" t="s">
        <v>15</v>
      </c>
    </row>
    <row r="21" spans="1:11" s="6" customFormat="1" x14ac:dyDescent="0.45">
      <c r="A21" s="2" t="s">
        <v>16</v>
      </c>
      <c r="B21">
        <v>154.55000000000001</v>
      </c>
      <c r="C21">
        <v>199.88</v>
      </c>
      <c r="D21">
        <v>222.75</v>
      </c>
      <c r="E21">
        <v>236.76</v>
      </c>
      <c r="F21">
        <v>266.38</v>
      </c>
      <c r="G21">
        <v>286.61</v>
      </c>
      <c r="H21">
        <v>331.67</v>
      </c>
      <c r="I21">
        <v>489.95</v>
      </c>
      <c r="J21">
        <v>563.54</v>
      </c>
      <c r="K21">
        <v>786.72</v>
      </c>
    </row>
    <row r="22" spans="1:11" s="6" customFormat="1" x14ac:dyDescent="0.45">
      <c r="A22" s="2" t="s">
        <v>17</v>
      </c>
      <c r="B22">
        <v>6618.14</v>
      </c>
      <c r="C22">
        <v>7470.64</v>
      </c>
      <c r="D22">
        <v>6566.43</v>
      </c>
      <c r="E22">
        <v>5484.08</v>
      </c>
      <c r="F22">
        <v>9244.16</v>
      </c>
      <c r="G22">
        <v>7049.23</v>
      </c>
      <c r="H22">
        <v>7062.35</v>
      </c>
      <c r="I22">
        <v>12297.97</v>
      </c>
      <c r="J22">
        <v>11973.48</v>
      </c>
      <c r="K22">
        <v>14945.67</v>
      </c>
    </row>
    <row r="23" spans="1:11" s="6" customFormat="1" x14ac:dyDescent="0.45">
      <c r="A23" s="2" t="s">
        <v>18</v>
      </c>
      <c r="B23">
        <v>1263.6600000000001</v>
      </c>
      <c r="C23">
        <v>1415.15</v>
      </c>
      <c r="D23">
        <v>1659.64</v>
      </c>
      <c r="E23">
        <v>1766.98</v>
      </c>
      <c r="F23">
        <v>1869.9</v>
      </c>
      <c r="G23">
        <v>2004.79</v>
      </c>
      <c r="H23">
        <v>2142.12</v>
      </c>
      <c r="I23">
        <v>3443.42</v>
      </c>
      <c r="J23">
        <v>3564.22</v>
      </c>
      <c r="K23">
        <v>3667.93</v>
      </c>
    </row>
    <row r="24" spans="1:11" s="6" customFormat="1" x14ac:dyDescent="0.45">
      <c r="A24" s="2" t="s">
        <v>19</v>
      </c>
      <c r="B24">
        <v>8075.74</v>
      </c>
      <c r="C24">
        <v>9674.6200000000008</v>
      </c>
      <c r="D24">
        <v>19004.060000000001</v>
      </c>
      <c r="E24">
        <v>15044.99</v>
      </c>
      <c r="F24">
        <v>31965.03</v>
      </c>
      <c r="G24">
        <v>30304.02</v>
      </c>
      <c r="H24">
        <v>16331.08</v>
      </c>
      <c r="I24">
        <v>22369.43</v>
      </c>
      <c r="J24">
        <v>19924.54</v>
      </c>
      <c r="K24">
        <v>22101.279999999999</v>
      </c>
    </row>
    <row r="25" spans="1:11" s="6" customFormat="1" x14ac:dyDescent="0.45">
      <c r="A25" s="6" t="s">
        <v>20</v>
      </c>
      <c r="B25">
        <v>4710.34</v>
      </c>
      <c r="C25">
        <v>6174.6</v>
      </c>
      <c r="D25">
        <v>6099.63</v>
      </c>
      <c r="E25">
        <v>9167.58</v>
      </c>
      <c r="F25">
        <v>8883.34</v>
      </c>
      <c r="G25">
        <v>7367.38</v>
      </c>
      <c r="H25">
        <v>9387.65</v>
      </c>
      <c r="I25">
        <v>12777.07</v>
      </c>
      <c r="J25">
        <v>12329.29</v>
      </c>
      <c r="K25">
        <v>12529.03</v>
      </c>
    </row>
    <row r="26" spans="1:11" s="6" customFormat="1" x14ac:dyDescent="0.45">
      <c r="A26" s="6" t="s">
        <v>21</v>
      </c>
      <c r="B26">
        <v>366.62</v>
      </c>
      <c r="C26">
        <v>384</v>
      </c>
      <c r="D26">
        <v>413.15</v>
      </c>
      <c r="E26">
        <v>430.44</v>
      </c>
      <c r="F26">
        <v>581.03</v>
      </c>
      <c r="G26">
        <v>584.01</v>
      </c>
      <c r="H26">
        <v>614.44000000000005</v>
      </c>
      <c r="I26">
        <v>982.23</v>
      </c>
      <c r="J26">
        <v>896.17</v>
      </c>
      <c r="K26">
        <v>904.87</v>
      </c>
    </row>
    <row r="27" spans="1:11" s="6" customFormat="1" x14ac:dyDescent="0.45">
      <c r="A27" s="6" t="s">
        <v>22</v>
      </c>
      <c r="B27">
        <v>28220.27</v>
      </c>
      <c r="C27">
        <v>31343.05</v>
      </c>
      <c r="D27">
        <v>34330.589999999997</v>
      </c>
      <c r="E27">
        <v>32722.31</v>
      </c>
      <c r="F27">
        <v>33530.39</v>
      </c>
      <c r="G27">
        <v>34655.660000000003</v>
      </c>
      <c r="H27">
        <v>36997.47</v>
      </c>
      <c r="I27">
        <v>50804.58</v>
      </c>
      <c r="J27">
        <v>46823.08</v>
      </c>
      <c r="K27">
        <v>51816.99</v>
      </c>
    </row>
    <row r="28" spans="1:11" s="6" customFormat="1" x14ac:dyDescent="0.45">
      <c r="A28" s="6" t="s">
        <v>23</v>
      </c>
      <c r="B28">
        <v>4969.45</v>
      </c>
      <c r="C28">
        <v>4397.08</v>
      </c>
      <c r="D28">
        <v>-5293.12</v>
      </c>
      <c r="E28">
        <v>1540.1</v>
      </c>
      <c r="F28">
        <v>-19848.7</v>
      </c>
      <c r="G28">
        <v>-15369.8</v>
      </c>
      <c r="H28">
        <v>827</v>
      </c>
      <c r="I28">
        <v>4324.5200000000004</v>
      </c>
      <c r="J28">
        <v>4826.09</v>
      </c>
      <c r="K28">
        <v>5150.8599999999997</v>
      </c>
    </row>
    <row r="29" spans="1:11" s="6" customFormat="1" x14ac:dyDescent="0.45">
      <c r="A29" s="6" t="s">
        <v>24</v>
      </c>
      <c r="B29">
        <v>1434.84</v>
      </c>
      <c r="C29">
        <v>1055.67</v>
      </c>
      <c r="D29">
        <v>-1629.85</v>
      </c>
      <c r="E29">
        <v>638.97</v>
      </c>
      <c r="F29">
        <v>-7264.36</v>
      </c>
      <c r="G29">
        <v>-5343.39</v>
      </c>
      <c r="H29">
        <v>463.67</v>
      </c>
      <c r="I29">
        <v>1629.93</v>
      </c>
      <c r="J29">
        <v>918.5</v>
      </c>
      <c r="K29">
        <v>1792.08</v>
      </c>
    </row>
    <row r="30" spans="1:11" s="6" customFormat="1" x14ac:dyDescent="0.45">
      <c r="A30" s="6" t="s">
        <v>25</v>
      </c>
      <c r="B30">
        <v>3617.07</v>
      </c>
      <c r="C30">
        <v>3399.59</v>
      </c>
      <c r="D30">
        <v>-3689.77</v>
      </c>
      <c r="E30">
        <v>1187.24</v>
      </c>
      <c r="F30">
        <v>-12113.37</v>
      </c>
      <c r="G30">
        <v>-9570.11</v>
      </c>
      <c r="H30">
        <v>438.45</v>
      </c>
      <c r="I30">
        <v>2561.9699999999998</v>
      </c>
      <c r="J30">
        <v>3860.74</v>
      </c>
      <c r="K30">
        <v>3348.45</v>
      </c>
    </row>
    <row r="31" spans="1:11" s="6" customFormat="1" x14ac:dyDescent="0.45">
      <c r="A31" s="6" t="s">
        <v>26</v>
      </c>
      <c r="B31">
        <v>362.07</v>
      </c>
      <c r="C31">
        <v>612</v>
      </c>
      <c r="D31">
        <v>74.89</v>
      </c>
      <c r="J31">
        <v>704.7</v>
      </c>
      <c r="K31">
        <v>715.72</v>
      </c>
    </row>
    <row r="32" spans="1:11" s="6" customFormat="1" x14ac:dyDescent="0.45"/>
    <row r="33" spans="1:11" x14ac:dyDescent="0.45">
      <c r="A33" s="6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  <row r="40" spans="1:11" x14ac:dyDescent="0.45">
      <c r="A40" s="1" t="s">
        <v>27</v>
      </c>
    </row>
    <row r="41" spans="1:11" s="5" customFormat="1" x14ac:dyDescent="0.45">
      <c r="A41" s="3" t="s">
        <v>11</v>
      </c>
      <c r="B41" s="4">
        <v>44469</v>
      </c>
      <c r="C41" s="4">
        <v>44561</v>
      </c>
      <c r="D41" s="4">
        <v>44651</v>
      </c>
      <c r="E41" s="4">
        <v>44742</v>
      </c>
      <c r="F41" s="4">
        <v>44834</v>
      </c>
      <c r="G41" s="4">
        <v>44926</v>
      </c>
      <c r="H41" s="4">
        <v>45016</v>
      </c>
      <c r="I41" s="4">
        <v>45107</v>
      </c>
      <c r="J41" s="4">
        <v>45199</v>
      </c>
      <c r="K41" s="4">
        <v>45291</v>
      </c>
    </row>
    <row r="42" spans="1:11" s="6" customFormat="1" x14ac:dyDescent="0.45">
      <c r="A42" s="6" t="s">
        <v>12</v>
      </c>
      <c r="B42">
        <v>18335.490000000002</v>
      </c>
      <c r="C42">
        <v>19579.41</v>
      </c>
      <c r="D42">
        <v>19089.93</v>
      </c>
      <c r="E42">
        <v>19143.759999999998</v>
      </c>
      <c r="F42">
        <v>20587.91</v>
      </c>
      <c r="G42">
        <v>22808.28</v>
      </c>
      <c r="H42">
        <v>24305.34</v>
      </c>
      <c r="I42">
        <v>25672.85</v>
      </c>
      <c r="J42">
        <v>26857.7</v>
      </c>
      <c r="K42">
        <v>27851.71</v>
      </c>
    </row>
    <row r="43" spans="1:11" s="6" customFormat="1" x14ac:dyDescent="0.45">
      <c r="A43" s="6" t="s">
        <v>28</v>
      </c>
      <c r="B43">
        <v>8922.2999999999993</v>
      </c>
      <c r="C43">
        <v>8839.41</v>
      </c>
      <c r="D43">
        <v>9384.08</v>
      </c>
      <c r="E43">
        <v>9522.5400000000009</v>
      </c>
      <c r="F43">
        <v>10493.21</v>
      </c>
      <c r="G43">
        <v>11577.73</v>
      </c>
      <c r="H43">
        <v>10812.99</v>
      </c>
      <c r="I43">
        <v>10989.54</v>
      </c>
      <c r="J43">
        <v>10258.92</v>
      </c>
      <c r="K43">
        <v>9449</v>
      </c>
    </row>
    <row r="44" spans="1:11" s="6" customFormat="1" x14ac:dyDescent="0.45">
      <c r="A44" s="6" t="s">
        <v>20</v>
      </c>
      <c r="B44">
        <v>3261.62</v>
      </c>
      <c r="C44">
        <v>2695.99</v>
      </c>
      <c r="D44">
        <v>2260.66</v>
      </c>
      <c r="E44">
        <v>2383.66</v>
      </c>
      <c r="F44">
        <v>2703.79</v>
      </c>
      <c r="G44">
        <v>3325.25</v>
      </c>
      <c r="H44">
        <v>3826.89</v>
      </c>
      <c r="I44">
        <v>3360.26</v>
      </c>
      <c r="J44">
        <v>2999.35</v>
      </c>
      <c r="K44">
        <v>2675.67</v>
      </c>
    </row>
    <row r="45" spans="1:11" s="6" customFormat="1" x14ac:dyDescent="0.45">
      <c r="A45" s="6" t="s">
        <v>21</v>
      </c>
    </row>
    <row r="46" spans="1:11" s="6" customFormat="1" x14ac:dyDescent="0.45">
      <c r="A46" s="6" t="s">
        <v>22</v>
      </c>
      <c r="B46">
        <v>11785.88</v>
      </c>
      <c r="C46">
        <v>11697.02</v>
      </c>
      <c r="D46">
        <v>11496.85</v>
      </c>
      <c r="E46">
        <v>11442.82</v>
      </c>
      <c r="F46">
        <v>12172.05</v>
      </c>
      <c r="G46">
        <v>13512.57</v>
      </c>
      <c r="H46">
        <v>14689.55</v>
      </c>
      <c r="I46">
        <v>16064.38</v>
      </c>
      <c r="J46">
        <v>16819.84</v>
      </c>
      <c r="K46">
        <v>17444.02</v>
      </c>
    </row>
    <row r="47" spans="1:11" s="6" customFormat="1" x14ac:dyDescent="0.45">
      <c r="A47" s="6" t="s">
        <v>23</v>
      </c>
      <c r="B47">
        <v>888.93</v>
      </c>
      <c r="C47">
        <v>1738.97</v>
      </c>
      <c r="D47">
        <v>469.66</v>
      </c>
      <c r="E47">
        <v>562.05999999999995</v>
      </c>
      <c r="F47">
        <v>626.44000000000005</v>
      </c>
      <c r="G47">
        <v>1043.23</v>
      </c>
      <c r="H47">
        <v>2629.69</v>
      </c>
      <c r="I47">
        <v>1979.19</v>
      </c>
      <c r="J47">
        <v>2778.29</v>
      </c>
      <c r="K47">
        <v>3634.36</v>
      </c>
    </row>
    <row r="48" spans="1:11" s="6" customFormat="1" x14ac:dyDescent="0.45">
      <c r="A48" s="6" t="s">
        <v>24</v>
      </c>
      <c r="B48">
        <v>-311.19</v>
      </c>
      <c r="C48">
        <v>588.48</v>
      </c>
      <c r="D48">
        <v>224.61</v>
      </c>
      <c r="E48">
        <v>257.61</v>
      </c>
      <c r="F48">
        <v>262.72000000000003</v>
      </c>
      <c r="G48">
        <v>383.17</v>
      </c>
      <c r="H48">
        <v>888.58</v>
      </c>
      <c r="I48">
        <v>768.37</v>
      </c>
      <c r="J48">
        <v>1013.75</v>
      </c>
      <c r="K48">
        <v>1381.69</v>
      </c>
    </row>
    <row r="49" spans="1:11" s="6" customFormat="1" x14ac:dyDescent="0.45">
      <c r="A49" s="6" t="s">
        <v>25</v>
      </c>
      <c r="B49">
        <v>1104.25</v>
      </c>
      <c r="C49">
        <v>1249.8699999999999</v>
      </c>
      <c r="D49">
        <v>338.29</v>
      </c>
      <c r="E49">
        <v>281.73</v>
      </c>
      <c r="F49">
        <v>494.11</v>
      </c>
      <c r="G49">
        <v>708.27</v>
      </c>
      <c r="H49">
        <v>1864.34</v>
      </c>
      <c r="I49">
        <v>1342.05</v>
      </c>
      <c r="J49">
        <v>1990.18</v>
      </c>
      <c r="K49">
        <v>2432.77</v>
      </c>
    </row>
    <row r="50" spans="1:11" x14ac:dyDescent="0.45">
      <c r="A50" s="6" t="s">
        <v>29</v>
      </c>
      <c r="B50">
        <v>9413.19</v>
      </c>
      <c r="C50">
        <v>10740</v>
      </c>
      <c r="D50">
        <v>9705.85</v>
      </c>
      <c r="E50">
        <v>9621.2199999999993</v>
      </c>
      <c r="F50">
        <v>10094.700000000001</v>
      </c>
      <c r="G50">
        <v>11230.55</v>
      </c>
      <c r="H50">
        <v>13492.35</v>
      </c>
      <c r="I50">
        <v>14683.31</v>
      </c>
      <c r="J50">
        <v>16598.78</v>
      </c>
      <c r="K50">
        <v>18402.71</v>
      </c>
    </row>
    <row r="51" spans="1:11" x14ac:dyDescent="0.45">
      <c r="A51" s="6" t="s">
        <v>66</v>
      </c>
      <c r="B51" s="2">
        <f>SUM(B47,B46,B45)</f>
        <v>12674.81</v>
      </c>
      <c r="C51" s="2">
        <f t="shared" ref="C51:K51" si="0">SUM(C47,C46,C45)</f>
        <v>13435.99</v>
      </c>
      <c r="D51" s="2">
        <f t="shared" si="0"/>
        <v>11966.51</v>
      </c>
      <c r="E51" s="2">
        <f t="shared" si="0"/>
        <v>12004.88</v>
      </c>
      <c r="F51" s="2">
        <f t="shared" si="0"/>
        <v>12798.49</v>
      </c>
      <c r="G51" s="2">
        <f t="shared" si="0"/>
        <v>14555.8</v>
      </c>
      <c r="H51" s="2">
        <f t="shared" si="0"/>
        <v>17319.239999999998</v>
      </c>
      <c r="I51" s="2">
        <f t="shared" si="0"/>
        <v>18043.57</v>
      </c>
      <c r="J51" s="2">
        <f t="shared" si="0"/>
        <v>19598.13</v>
      </c>
      <c r="K51" s="2">
        <f t="shared" si="0"/>
        <v>21078.38</v>
      </c>
    </row>
    <row r="52" spans="1:11" x14ac:dyDescent="0.45">
      <c r="A52" s="6"/>
    </row>
    <row r="53" spans="1:11" x14ac:dyDescent="0.45">
      <c r="A53" s="6"/>
    </row>
    <row r="54" spans="1:11" x14ac:dyDescent="0.45">
      <c r="A54" s="6"/>
    </row>
    <row r="55" spans="1:11" x14ac:dyDescent="0.45">
      <c r="A55" s="1" t="s">
        <v>30</v>
      </c>
    </row>
    <row r="56" spans="1:11" s="5" customFormat="1" x14ac:dyDescent="0.45">
      <c r="A56" s="3" t="s">
        <v>11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45">
      <c r="A57" s="6" t="s">
        <v>31</v>
      </c>
      <c r="B57">
        <v>362.07</v>
      </c>
      <c r="C57">
        <v>370.91</v>
      </c>
      <c r="D57">
        <v>392.72</v>
      </c>
      <c r="E57">
        <v>425.59</v>
      </c>
      <c r="F57">
        <v>552.11</v>
      </c>
      <c r="G57">
        <v>920.81</v>
      </c>
      <c r="H57">
        <v>1347.51</v>
      </c>
      <c r="I57">
        <v>2095.54</v>
      </c>
      <c r="J57">
        <v>2202.1999999999998</v>
      </c>
      <c r="K57">
        <v>2202.1999999999998</v>
      </c>
    </row>
    <row r="58" spans="1:11" x14ac:dyDescent="0.45">
      <c r="A58" s="6" t="s">
        <v>32</v>
      </c>
      <c r="B58">
        <v>37731.15</v>
      </c>
      <c r="C58">
        <v>41668.53</v>
      </c>
      <c r="D58">
        <v>41411.53</v>
      </c>
      <c r="E58">
        <v>42989.75</v>
      </c>
      <c r="F58">
        <v>40965.19</v>
      </c>
      <c r="G58">
        <v>45163.56</v>
      </c>
      <c r="H58">
        <v>62528.86</v>
      </c>
      <c r="I58">
        <v>90438.8</v>
      </c>
      <c r="J58">
        <v>95379.72</v>
      </c>
      <c r="K58">
        <v>100678.3</v>
      </c>
    </row>
    <row r="59" spans="1:11" x14ac:dyDescent="0.45">
      <c r="A59" s="6" t="s">
        <v>33</v>
      </c>
      <c r="B59">
        <v>520236.84</v>
      </c>
      <c r="C59">
        <v>574450.18999999994</v>
      </c>
      <c r="D59">
        <v>652056.38</v>
      </c>
      <c r="E59">
        <v>672986.87</v>
      </c>
      <c r="F59">
        <v>713768.67</v>
      </c>
      <c r="G59">
        <v>728702.15</v>
      </c>
      <c r="H59">
        <v>772766.78</v>
      </c>
      <c r="I59">
        <v>1166015</v>
      </c>
      <c r="J59">
        <v>1213606.1299999999</v>
      </c>
      <c r="K59">
        <v>1360495.69</v>
      </c>
    </row>
    <row r="60" spans="1:11" x14ac:dyDescent="0.45">
      <c r="A60" s="6" t="s">
        <v>34</v>
      </c>
      <c r="B60">
        <v>16490.419999999998</v>
      </c>
      <c r="C60">
        <v>19521.54</v>
      </c>
      <c r="D60">
        <v>18932.330000000002</v>
      </c>
      <c r="E60">
        <v>16908.7</v>
      </c>
      <c r="F60">
        <v>22242.1</v>
      </c>
      <c r="G60">
        <v>15333.22</v>
      </c>
      <c r="H60">
        <v>14814.09</v>
      </c>
      <c r="I60">
        <v>21175.72</v>
      </c>
      <c r="J60">
        <v>28113.08</v>
      </c>
      <c r="K60">
        <v>30272.75</v>
      </c>
    </row>
    <row r="61" spans="1:11" s="1" customFormat="1" x14ac:dyDescent="0.45">
      <c r="A61" s="1" t="s">
        <v>35</v>
      </c>
      <c r="B61">
        <v>574820.48</v>
      </c>
      <c r="C61">
        <v>636011.17000000004</v>
      </c>
      <c r="D61">
        <v>712792.96</v>
      </c>
      <c r="E61">
        <v>733310.91</v>
      </c>
      <c r="F61">
        <v>777528.07</v>
      </c>
      <c r="G61">
        <v>790119.74</v>
      </c>
      <c r="H61">
        <v>851457.24</v>
      </c>
      <c r="I61">
        <v>1279725.06</v>
      </c>
      <c r="J61">
        <v>1339301.1299999999</v>
      </c>
      <c r="K61">
        <v>1493648.94</v>
      </c>
    </row>
    <row r="62" spans="1:11" x14ac:dyDescent="0.45">
      <c r="A62" s="6" t="s">
        <v>36</v>
      </c>
      <c r="B62">
        <v>3490.44</v>
      </c>
      <c r="C62">
        <v>3655.77</v>
      </c>
      <c r="D62">
        <v>5308.12</v>
      </c>
      <c r="E62">
        <v>6297.76</v>
      </c>
      <c r="F62">
        <v>6370.99</v>
      </c>
      <c r="G62">
        <v>6246.22</v>
      </c>
      <c r="H62">
        <v>7261.98</v>
      </c>
      <c r="I62">
        <v>11048.7</v>
      </c>
      <c r="J62">
        <v>10696.21</v>
      </c>
      <c r="K62">
        <v>12083.96</v>
      </c>
    </row>
    <row r="63" spans="1:11" x14ac:dyDescent="0.45">
      <c r="A63" s="6" t="s">
        <v>37</v>
      </c>
    </row>
    <row r="64" spans="1:11" x14ac:dyDescent="0.45">
      <c r="A64" s="6" t="s">
        <v>38</v>
      </c>
      <c r="B64">
        <v>149224.70000000001</v>
      </c>
      <c r="C64">
        <v>156761.66</v>
      </c>
      <c r="D64">
        <v>165126.48000000001</v>
      </c>
      <c r="E64">
        <v>191527.16</v>
      </c>
      <c r="F64">
        <v>204418.68</v>
      </c>
      <c r="G64">
        <v>210578.31</v>
      </c>
      <c r="H64">
        <v>253782.47</v>
      </c>
      <c r="I64">
        <v>404368.96</v>
      </c>
      <c r="J64">
        <v>388585.82</v>
      </c>
      <c r="K64">
        <v>416913.84</v>
      </c>
    </row>
    <row r="65" spans="1:11" x14ac:dyDescent="0.45">
      <c r="A65" s="6" t="s">
        <v>39</v>
      </c>
      <c r="B65">
        <v>422105.34</v>
      </c>
      <c r="C65">
        <v>475593.74</v>
      </c>
      <c r="D65">
        <v>542358.36</v>
      </c>
      <c r="E65">
        <v>535485.99</v>
      </c>
      <c r="F65">
        <v>566738.4</v>
      </c>
      <c r="G65">
        <v>573295.21</v>
      </c>
      <c r="H65">
        <v>590412.79</v>
      </c>
      <c r="I65">
        <v>864307.4</v>
      </c>
      <c r="J65">
        <v>940019.1</v>
      </c>
      <c r="K65">
        <v>1064651.1399999999</v>
      </c>
    </row>
    <row r="66" spans="1:11" s="1" customFormat="1" x14ac:dyDescent="0.45">
      <c r="A66" s="1" t="s">
        <v>35</v>
      </c>
      <c r="B66">
        <v>574820.48</v>
      </c>
      <c r="C66">
        <v>636011.17000000004</v>
      </c>
      <c r="D66">
        <v>712792.96</v>
      </c>
      <c r="E66">
        <v>733310.91</v>
      </c>
      <c r="F66">
        <v>777528.07</v>
      </c>
      <c r="G66">
        <v>790119.74</v>
      </c>
      <c r="H66">
        <v>851457.24</v>
      </c>
      <c r="I66">
        <v>1279725.06</v>
      </c>
      <c r="J66">
        <v>1339301.1299999999</v>
      </c>
      <c r="K66">
        <v>1493648.94</v>
      </c>
    </row>
    <row r="67" spans="1:11" s="6" customFormat="1" x14ac:dyDescent="0.45">
      <c r="A67" s="6" t="s">
        <v>40</v>
      </c>
    </row>
    <row r="68" spans="1:11" x14ac:dyDescent="0.45">
      <c r="A68" s="6" t="s">
        <v>41</v>
      </c>
    </row>
    <row r="69" spans="1:11" x14ac:dyDescent="0.45">
      <c r="A69" s="2" t="s">
        <v>42</v>
      </c>
      <c r="B69">
        <v>46865.99</v>
      </c>
      <c r="C69">
        <v>58259.22</v>
      </c>
      <c r="D69">
        <v>79049.38</v>
      </c>
      <c r="E69">
        <v>91379.09</v>
      </c>
      <c r="F69">
        <v>97488.15</v>
      </c>
      <c r="G69">
        <v>77295.97</v>
      </c>
      <c r="H69">
        <v>77755.75</v>
      </c>
      <c r="I69">
        <v>113334.43</v>
      </c>
      <c r="J69">
        <v>134193.88</v>
      </c>
      <c r="K69">
        <v>157328.48000000001</v>
      </c>
    </row>
    <row r="70" spans="1:11" x14ac:dyDescent="0.45">
      <c r="A70" s="2" t="s">
        <v>43</v>
      </c>
      <c r="B70">
        <v>362069926</v>
      </c>
      <c r="C70">
        <v>1854556900</v>
      </c>
      <c r="D70">
        <v>1963597490</v>
      </c>
      <c r="E70">
        <v>2127968258</v>
      </c>
      <c r="F70">
        <v>2760573227</v>
      </c>
      <c r="G70">
        <v>4604047028</v>
      </c>
      <c r="H70">
        <v>6737565988</v>
      </c>
      <c r="I70">
        <v>10477682225</v>
      </c>
      <c r="J70">
        <v>11011015558</v>
      </c>
      <c r="K70">
        <v>11011015558</v>
      </c>
    </row>
    <row r="71" spans="1:11" x14ac:dyDescent="0.45">
      <c r="A71" s="2" t="s">
        <v>44</v>
      </c>
    </row>
    <row r="72" spans="1:11" x14ac:dyDescent="0.45">
      <c r="A72" s="2" t="s">
        <v>45</v>
      </c>
      <c r="B72">
        <v>10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45">
      <c r="A74" s="6"/>
    </row>
    <row r="75" spans="1:11" x14ac:dyDescent="0.45">
      <c r="A75" s="6"/>
    </row>
    <row r="76" spans="1:11" x14ac:dyDescent="0.45">
      <c r="A76" s="6"/>
    </row>
    <row r="77" spans="1:11" x14ac:dyDescent="0.45">
      <c r="A77" s="6"/>
    </row>
    <row r="78" spans="1:11" x14ac:dyDescent="0.45">
      <c r="A78" s="6"/>
    </row>
    <row r="79" spans="1:11" x14ac:dyDescent="0.45">
      <c r="A79" s="6"/>
    </row>
    <row r="80" spans="1:11" x14ac:dyDescent="0.45">
      <c r="A80" s="1" t="s">
        <v>46</v>
      </c>
    </row>
    <row r="81" spans="1:11" s="5" customFormat="1" x14ac:dyDescent="0.45">
      <c r="A81" s="3" t="s">
        <v>11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s="1" customFormat="1" x14ac:dyDescent="0.45">
      <c r="A82" s="6" t="s">
        <v>47</v>
      </c>
      <c r="B82">
        <v>16906.09</v>
      </c>
      <c r="C82">
        <v>4813.6000000000004</v>
      </c>
      <c r="D82">
        <v>14167</v>
      </c>
      <c r="E82">
        <v>21938.02</v>
      </c>
      <c r="F82">
        <v>-1742.15</v>
      </c>
      <c r="G82">
        <v>-33531.96</v>
      </c>
      <c r="H82">
        <v>-12793.04</v>
      </c>
      <c r="I82">
        <v>30950.35</v>
      </c>
      <c r="J82">
        <v>20032.330000000002</v>
      </c>
      <c r="K82">
        <v>22592.09</v>
      </c>
    </row>
    <row r="83" spans="1:11" s="6" customFormat="1" x14ac:dyDescent="0.45">
      <c r="A83" s="6" t="s">
        <v>48</v>
      </c>
      <c r="B83">
        <v>-302</v>
      </c>
      <c r="C83">
        <v>-871.8</v>
      </c>
      <c r="D83">
        <v>-1351.51</v>
      </c>
      <c r="E83">
        <v>158.75</v>
      </c>
      <c r="F83">
        <v>391.66</v>
      </c>
      <c r="G83">
        <v>-629.16999999999996</v>
      </c>
      <c r="H83">
        <v>-338.33</v>
      </c>
      <c r="I83">
        <v>-786.84</v>
      </c>
      <c r="J83">
        <v>-1204.3800000000001</v>
      </c>
      <c r="K83">
        <v>-732.47</v>
      </c>
    </row>
    <row r="84" spans="1:11" s="6" customFormat="1" x14ac:dyDescent="0.45">
      <c r="A84" s="6" t="s">
        <v>49</v>
      </c>
      <c r="B84">
        <v>2128.87</v>
      </c>
      <c r="C84">
        <v>7451.43</v>
      </c>
      <c r="D84">
        <v>5974.67</v>
      </c>
      <c r="E84">
        <v>-9767.07</v>
      </c>
      <c r="F84">
        <v>7459.54</v>
      </c>
      <c r="G84">
        <v>13968.95</v>
      </c>
      <c r="H84">
        <v>13591.15</v>
      </c>
      <c r="I84">
        <v>5415.17</v>
      </c>
      <c r="J84">
        <v>2031.5</v>
      </c>
      <c r="K84">
        <v>1274.98</v>
      </c>
    </row>
    <row r="85" spans="1:11" s="1" customFormat="1" x14ac:dyDescent="0.45">
      <c r="A85" s="6" t="s">
        <v>50</v>
      </c>
      <c r="B85">
        <v>18732.96</v>
      </c>
      <c r="C85">
        <v>11393.23</v>
      </c>
      <c r="D85">
        <v>18790.16</v>
      </c>
      <c r="E85">
        <v>12329.7</v>
      </c>
      <c r="F85">
        <v>6109.05</v>
      </c>
      <c r="G85">
        <v>-20192.18</v>
      </c>
      <c r="H85">
        <v>459.78</v>
      </c>
      <c r="I85">
        <v>35578.68</v>
      </c>
      <c r="J85">
        <v>20859.45</v>
      </c>
      <c r="K85">
        <v>23134.6</v>
      </c>
    </row>
    <row r="86" spans="1:11" x14ac:dyDescent="0.45">
      <c r="A86" s="6"/>
    </row>
    <row r="87" spans="1:11" x14ac:dyDescent="0.45">
      <c r="A87" s="6"/>
    </row>
    <row r="88" spans="1:11" x14ac:dyDescent="0.45">
      <c r="A88" s="6"/>
    </row>
    <row r="89" spans="1:11" x14ac:dyDescent="0.45">
      <c r="A89" s="6"/>
    </row>
    <row r="90" spans="1:11" s="1" customFormat="1" x14ac:dyDescent="0.45">
      <c r="A90" s="1" t="s">
        <v>51</v>
      </c>
      <c r="B90">
        <v>148.78</v>
      </c>
      <c r="C90">
        <v>144.4</v>
      </c>
      <c r="D90">
        <v>84.7</v>
      </c>
      <c r="E90">
        <v>149.9</v>
      </c>
      <c r="F90">
        <v>95.3</v>
      </c>
      <c r="G90">
        <v>95.5</v>
      </c>
      <c r="H90">
        <v>32.35</v>
      </c>
      <c r="I90">
        <v>36.65</v>
      </c>
      <c r="J90">
        <v>35.049999999999997</v>
      </c>
      <c r="K90">
        <v>46.6</v>
      </c>
    </row>
    <row r="92" spans="1:11" s="1" customFormat="1" x14ac:dyDescent="0.45">
      <c r="A92" s="1" t="s">
        <v>52</v>
      </c>
    </row>
    <row r="93" spans="1:11" x14ac:dyDescent="0.45">
      <c r="A93" s="2" t="s">
        <v>53</v>
      </c>
      <c r="B93" s="2">
        <v>181.03</v>
      </c>
      <c r="C93" s="2">
        <v>185.46</v>
      </c>
      <c r="D93" s="2">
        <v>196.36</v>
      </c>
      <c r="E93" s="2">
        <v>212.8</v>
      </c>
      <c r="F93" s="2">
        <v>276.06</v>
      </c>
      <c r="G93" s="2">
        <v>460.4</v>
      </c>
      <c r="H93" s="2">
        <v>673.76</v>
      </c>
      <c r="I93" s="2">
        <v>1047.77</v>
      </c>
      <c r="J93" s="2">
        <v>1101.0999999999999</v>
      </c>
      <c r="K93" s="2">
        <v>1101.0999999999999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27"/>
  <sheetViews>
    <sheetView workbookViewId="0">
      <selection activeCell="P4" sqref="P4"/>
    </sheetView>
  </sheetViews>
  <sheetFormatPr defaultRowHeight="14.25" x14ac:dyDescent="0.45"/>
  <cols>
    <col min="2" max="2" width="28" bestFit="1" customWidth="1"/>
    <col min="3" max="3" width="10.59765625" customWidth="1"/>
    <col min="4" max="4" width="8.73046875" customWidth="1"/>
  </cols>
  <sheetData>
    <row r="2" spans="1:16" x14ac:dyDescent="0.45">
      <c r="C2" s="21">
        <v>40969</v>
      </c>
      <c r="D2" s="21">
        <v>41334</v>
      </c>
      <c r="E2" s="21">
        <v>41699</v>
      </c>
      <c r="F2" s="21">
        <v>42064</v>
      </c>
      <c r="G2" s="21">
        <v>42430</v>
      </c>
      <c r="H2" s="21">
        <v>42795</v>
      </c>
      <c r="I2" s="21">
        <v>43160</v>
      </c>
      <c r="J2" s="21">
        <v>43525</v>
      </c>
      <c r="K2" s="21">
        <v>43891</v>
      </c>
      <c r="L2" s="21">
        <v>44256</v>
      </c>
      <c r="M2" s="21">
        <v>44621</v>
      </c>
      <c r="N2" s="21">
        <v>44986</v>
      </c>
    </row>
    <row r="3" spans="1:16" x14ac:dyDescent="0.45">
      <c r="B3" t="s">
        <v>90</v>
      </c>
      <c r="C3">
        <v>-25</v>
      </c>
      <c r="D3">
        <v>-692</v>
      </c>
      <c r="E3" s="22">
        <v>16906</v>
      </c>
      <c r="F3" s="22">
        <v>4814</v>
      </c>
      <c r="G3" s="22">
        <v>14167</v>
      </c>
      <c r="H3" s="22">
        <v>21938</v>
      </c>
      <c r="I3" s="22">
        <v>-1742</v>
      </c>
      <c r="J3" s="22">
        <v>-33532</v>
      </c>
      <c r="K3" s="22">
        <v>-12793</v>
      </c>
      <c r="L3" s="22">
        <v>30950</v>
      </c>
      <c r="M3" s="22">
        <v>20032</v>
      </c>
      <c r="N3" s="22">
        <v>22592</v>
      </c>
    </row>
    <row r="4" spans="1:16" x14ac:dyDescent="0.45">
      <c r="A4">
        <v>1</v>
      </c>
      <c r="B4" t="s">
        <v>91</v>
      </c>
      <c r="C4" s="22">
        <v>12649</v>
      </c>
      <c r="D4" s="22">
        <v>12517</v>
      </c>
      <c r="E4" s="22">
        <v>13311</v>
      </c>
      <c r="F4" s="22">
        <v>14563</v>
      </c>
      <c r="G4" s="22">
        <v>15358</v>
      </c>
      <c r="H4" s="22">
        <v>17270</v>
      </c>
      <c r="I4" s="22">
        <v>8305</v>
      </c>
      <c r="J4" s="22">
        <v>13580</v>
      </c>
      <c r="K4" s="22">
        <v>16862</v>
      </c>
      <c r="L4" s="22">
        <v>26551</v>
      </c>
      <c r="M4" s="22">
        <v>24532</v>
      </c>
      <c r="N4" s="22">
        <v>28086</v>
      </c>
      <c r="P4" s="22"/>
    </row>
    <row r="5" spans="1:16" x14ac:dyDescent="0.45">
      <c r="A5">
        <v>2</v>
      </c>
      <c r="B5" t="s">
        <v>92</v>
      </c>
      <c r="C5" s="22">
        <v>-56844</v>
      </c>
      <c r="D5" s="22">
        <v>-22242</v>
      </c>
      <c r="E5" s="22">
        <v>-50411</v>
      </c>
      <c r="F5" s="22">
        <v>-46780</v>
      </c>
      <c r="G5" s="22">
        <v>-60250</v>
      </c>
      <c r="H5" s="22">
        <v>7438</v>
      </c>
      <c r="I5" s="22">
        <v>-39447</v>
      </c>
      <c r="J5" s="22">
        <v>-48883</v>
      </c>
      <c r="K5" s="22">
        <v>-29243</v>
      </c>
      <c r="L5" s="22">
        <v>4879</v>
      </c>
      <c r="M5" s="22">
        <v>-68538</v>
      </c>
      <c r="N5" s="22">
        <v>-118493</v>
      </c>
    </row>
    <row r="6" spans="1:16" x14ac:dyDescent="0.45">
      <c r="A6">
        <v>3</v>
      </c>
      <c r="B6" t="s">
        <v>93</v>
      </c>
      <c r="C6" s="22">
        <v>-28632</v>
      </c>
      <c r="D6" s="22">
        <v>-8898</v>
      </c>
      <c r="E6" s="22">
        <v>-15329</v>
      </c>
      <c r="F6" s="22">
        <v>-6626</v>
      </c>
      <c r="G6" s="22">
        <v>-8095</v>
      </c>
      <c r="H6" s="22">
        <v>-27445</v>
      </c>
      <c r="I6" s="22">
        <v>-15353</v>
      </c>
      <c r="J6" s="22">
        <v>-6986</v>
      </c>
      <c r="K6" s="22">
        <v>-42716</v>
      </c>
      <c r="L6" s="22">
        <v>-19674</v>
      </c>
      <c r="M6" s="22">
        <v>15305</v>
      </c>
      <c r="N6" s="22">
        <v>-29448</v>
      </c>
    </row>
    <row r="7" spans="1:16" x14ac:dyDescent="0.45">
      <c r="A7">
        <v>4</v>
      </c>
      <c r="B7" t="s">
        <v>94</v>
      </c>
      <c r="C7" s="22">
        <v>7993</v>
      </c>
      <c r="D7" s="22">
        <v>4677</v>
      </c>
      <c r="E7" s="22">
        <v>8031</v>
      </c>
      <c r="F7" s="22">
        <v>-7219</v>
      </c>
      <c r="G7" s="22">
        <v>16051</v>
      </c>
      <c r="H7" s="22">
        <v>-29203</v>
      </c>
      <c r="I7" s="22">
        <v>23206</v>
      </c>
      <c r="J7" s="22">
        <v>-16287</v>
      </c>
      <c r="K7" s="22">
        <v>16875</v>
      </c>
      <c r="L7" s="22">
        <v>-30006</v>
      </c>
      <c r="M7" s="22">
        <v>4620</v>
      </c>
      <c r="N7" s="22">
        <v>6315</v>
      </c>
    </row>
    <row r="8" spans="1:16" x14ac:dyDescent="0.45">
      <c r="A8">
        <v>5</v>
      </c>
      <c r="B8" t="s">
        <v>95</v>
      </c>
      <c r="C8" s="22">
        <v>68176</v>
      </c>
      <c r="D8" s="22">
        <v>14592</v>
      </c>
      <c r="E8" s="22">
        <v>62203</v>
      </c>
      <c r="F8" s="22">
        <v>54042</v>
      </c>
      <c r="G8" s="22">
        <v>55137</v>
      </c>
      <c r="H8" s="22">
        <v>59268</v>
      </c>
      <c r="I8" s="22">
        <v>18788</v>
      </c>
      <c r="J8" s="22">
        <v>33435</v>
      </c>
      <c r="K8" s="22">
        <v>28380</v>
      </c>
      <c r="L8" s="22">
        <v>35746</v>
      </c>
      <c r="M8" s="22">
        <v>40518</v>
      </c>
      <c r="N8" s="22">
        <v>136113</v>
      </c>
    </row>
    <row r="9" spans="1:16" x14ac:dyDescent="0.45">
      <c r="A9">
        <v>6</v>
      </c>
      <c r="B9" t="s">
        <v>96</v>
      </c>
      <c r="C9">
        <v>-886</v>
      </c>
      <c r="D9">
        <v>265</v>
      </c>
      <c r="E9">
        <v>825</v>
      </c>
      <c r="F9">
        <v>-610</v>
      </c>
      <c r="G9" s="22">
        <v>-2463</v>
      </c>
      <c r="H9" s="22">
        <v>-3974</v>
      </c>
      <c r="I9" s="22">
        <v>4540</v>
      </c>
      <c r="J9" s="22">
        <v>-8361</v>
      </c>
      <c r="K9">
        <v>-753</v>
      </c>
      <c r="L9" s="22">
        <v>-15942</v>
      </c>
      <c r="M9" s="22">
        <v>5225</v>
      </c>
      <c r="N9" s="22">
        <v>1224</v>
      </c>
    </row>
    <row r="10" spans="1:16" x14ac:dyDescent="0.45">
      <c r="A10">
        <v>7</v>
      </c>
      <c r="B10" t="s">
        <v>97</v>
      </c>
      <c r="C10" s="22">
        <v>-10193</v>
      </c>
      <c r="D10" s="22">
        <v>-11606</v>
      </c>
      <c r="E10" s="22">
        <v>5320</v>
      </c>
      <c r="F10" s="22">
        <v>-7193</v>
      </c>
      <c r="G10">
        <v>381</v>
      </c>
      <c r="H10" s="22">
        <v>6085</v>
      </c>
      <c r="I10" s="22">
        <v>-8265</v>
      </c>
      <c r="J10" s="22">
        <v>-47082</v>
      </c>
      <c r="K10" s="22">
        <v>-27457</v>
      </c>
      <c r="L10" s="22">
        <v>-24997</v>
      </c>
      <c r="M10" s="22">
        <v>-2871</v>
      </c>
      <c r="N10" s="22">
        <v>-4289</v>
      </c>
    </row>
    <row r="11" spans="1:16" x14ac:dyDescent="0.45">
      <c r="A11">
        <v>8</v>
      </c>
      <c r="B11" t="s">
        <v>98</v>
      </c>
      <c r="C11" s="22">
        <v>-2481</v>
      </c>
      <c r="D11" s="22">
        <v>-1603</v>
      </c>
      <c r="E11" s="22">
        <v>-1725</v>
      </c>
      <c r="F11" s="22">
        <v>-2556</v>
      </c>
      <c r="G11" s="22">
        <v>-1572</v>
      </c>
      <c r="H11" s="22">
        <v>-1417</v>
      </c>
      <c r="I11" s="22">
        <v>-1782</v>
      </c>
      <c r="J11">
        <v>-30</v>
      </c>
      <c r="K11" s="22">
        <v>-2198</v>
      </c>
      <c r="L11">
        <v>-314</v>
      </c>
      <c r="M11" s="22">
        <v>-1629</v>
      </c>
      <c r="N11" s="22">
        <v>-1204</v>
      </c>
    </row>
    <row r="12" spans="1:16" x14ac:dyDescent="0.45"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2">
        <v>29711</v>
      </c>
      <c r="M12">
        <v>0</v>
      </c>
      <c r="N12">
        <v>0</v>
      </c>
    </row>
    <row r="13" spans="1:16" x14ac:dyDescent="0.45">
      <c r="B13" t="s">
        <v>100</v>
      </c>
      <c r="C13">
        <v>-397</v>
      </c>
      <c r="D13">
        <v>-600</v>
      </c>
      <c r="E13">
        <v>-302</v>
      </c>
      <c r="F13">
        <v>-872</v>
      </c>
      <c r="G13" s="22">
        <v>-1352</v>
      </c>
      <c r="H13">
        <v>159</v>
      </c>
      <c r="I13">
        <v>392</v>
      </c>
      <c r="J13">
        <v>-629</v>
      </c>
      <c r="K13">
        <v>-338</v>
      </c>
      <c r="L13">
        <v>-787</v>
      </c>
      <c r="M13" s="22">
        <v>-1204</v>
      </c>
      <c r="N13">
        <v>-732</v>
      </c>
    </row>
    <row r="14" spans="1:16" x14ac:dyDescent="0.45">
      <c r="B14" t="s">
        <v>101</v>
      </c>
      <c r="C14">
        <v>-385</v>
      </c>
      <c r="D14">
        <v>-559</v>
      </c>
      <c r="E14">
        <v>-430</v>
      </c>
      <c r="F14">
        <v>-546</v>
      </c>
      <c r="G14">
        <v>-606</v>
      </c>
      <c r="H14">
        <v>-496</v>
      </c>
      <c r="I14">
        <v>-652</v>
      </c>
      <c r="J14">
        <v>-440</v>
      </c>
      <c r="K14">
        <v>-338</v>
      </c>
      <c r="L14">
        <v>-787</v>
      </c>
      <c r="M14">
        <v>-536</v>
      </c>
      <c r="N14">
        <v>-552</v>
      </c>
    </row>
    <row r="15" spans="1:16" x14ac:dyDescent="0.45">
      <c r="B15" t="s">
        <v>102</v>
      </c>
      <c r="C15">
        <v>0</v>
      </c>
      <c r="D15">
        <v>0</v>
      </c>
      <c r="E15">
        <v>128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 x14ac:dyDescent="0.45">
      <c r="B16" t="s">
        <v>103</v>
      </c>
      <c r="C16">
        <v>0</v>
      </c>
      <c r="D16">
        <v>0</v>
      </c>
      <c r="E16">
        <v>0</v>
      </c>
      <c r="F16">
        <v>0</v>
      </c>
      <c r="G16">
        <v>23</v>
      </c>
      <c r="H16">
        <v>96</v>
      </c>
      <c r="I16">
        <v>140</v>
      </c>
      <c r="J16">
        <v>149</v>
      </c>
      <c r="K16">
        <v>0</v>
      </c>
      <c r="L16">
        <v>0</v>
      </c>
      <c r="M16">
        <v>0</v>
      </c>
      <c r="N16">
        <v>0</v>
      </c>
    </row>
    <row r="17" spans="2:14" x14ac:dyDescent="0.45">
      <c r="B17" t="s">
        <v>104</v>
      </c>
      <c r="C17">
        <v>-12</v>
      </c>
      <c r="D17">
        <v>-42</v>
      </c>
      <c r="E17">
        <v>0</v>
      </c>
      <c r="F17">
        <v>-326</v>
      </c>
      <c r="G17">
        <v>-769</v>
      </c>
      <c r="H17">
        <v>0</v>
      </c>
      <c r="I17">
        <v>0</v>
      </c>
      <c r="J17">
        <v>0</v>
      </c>
      <c r="K17">
        <v>0</v>
      </c>
      <c r="L17">
        <v>0</v>
      </c>
      <c r="M17">
        <v>-668</v>
      </c>
      <c r="N17">
        <v>-180</v>
      </c>
    </row>
    <row r="18" spans="2:14" x14ac:dyDescent="0.45"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559</v>
      </c>
      <c r="I18">
        <v>904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45"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-338</v>
      </c>
      <c r="K19">
        <v>0</v>
      </c>
      <c r="L19">
        <v>0</v>
      </c>
      <c r="M19">
        <v>0</v>
      </c>
      <c r="N19">
        <v>0</v>
      </c>
    </row>
    <row r="20" spans="2:14" x14ac:dyDescent="0.45">
      <c r="B20" t="s">
        <v>107</v>
      </c>
      <c r="C20">
        <v>451</v>
      </c>
      <c r="D20">
        <v>-694</v>
      </c>
      <c r="E20" s="22">
        <v>2129</v>
      </c>
      <c r="F20" s="22">
        <v>7451</v>
      </c>
      <c r="G20" s="22">
        <v>5975</v>
      </c>
      <c r="H20" s="22">
        <v>-9767</v>
      </c>
      <c r="I20" s="22">
        <v>7460</v>
      </c>
      <c r="J20" s="22">
        <v>13969</v>
      </c>
      <c r="K20" s="22">
        <v>13591</v>
      </c>
      <c r="L20" s="22">
        <v>5415</v>
      </c>
      <c r="M20" s="22">
        <v>2032</v>
      </c>
      <c r="N20" s="22">
        <v>1275</v>
      </c>
    </row>
    <row r="21" spans="2:14" x14ac:dyDescent="0.45">
      <c r="B21" t="s">
        <v>108</v>
      </c>
      <c r="C21" s="22">
        <v>2245</v>
      </c>
      <c r="D21" s="22">
        <v>1375</v>
      </c>
      <c r="E21">
        <v>643</v>
      </c>
      <c r="F21" s="22">
        <v>1327</v>
      </c>
      <c r="G21" s="22">
        <v>2009</v>
      </c>
      <c r="H21" s="22">
        <v>1066</v>
      </c>
      <c r="I21" s="22">
        <v>10486</v>
      </c>
      <c r="J21" s="22">
        <v>14810</v>
      </c>
      <c r="K21" s="22">
        <v>16091</v>
      </c>
      <c r="L21" s="22">
        <v>3777</v>
      </c>
      <c r="M21" s="22">
        <v>1793</v>
      </c>
      <c r="N21">
        <v>0</v>
      </c>
    </row>
    <row r="22" spans="2:14" x14ac:dyDescent="0.45">
      <c r="B22" t="s">
        <v>109</v>
      </c>
      <c r="C22">
        <v>0</v>
      </c>
      <c r="D22">
        <v>0</v>
      </c>
      <c r="E22">
        <v>0</v>
      </c>
      <c r="F22" s="22">
        <v>7391</v>
      </c>
      <c r="G22" s="22">
        <v>6418</v>
      </c>
      <c r="H22">
        <v>0</v>
      </c>
      <c r="I22">
        <v>0</v>
      </c>
      <c r="J22">
        <v>0</v>
      </c>
      <c r="K22">
        <v>0</v>
      </c>
      <c r="L22" s="22">
        <v>3505</v>
      </c>
      <c r="M22" s="22">
        <v>2454</v>
      </c>
      <c r="N22" s="22">
        <v>4462</v>
      </c>
    </row>
    <row r="23" spans="2:14" x14ac:dyDescent="0.45"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 s="22">
        <v>-9135</v>
      </c>
      <c r="I23" s="22">
        <v>-1212</v>
      </c>
      <c r="J23" s="22">
        <v>-2215</v>
      </c>
      <c r="K23" s="22">
        <v>-1190</v>
      </c>
      <c r="L23">
        <v>0</v>
      </c>
      <c r="M23">
        <v>0</v>
      </c>
      <c r="N23">
        <v>0</v>
      </c>
    </row>
    <row r="24" spans="2:14" x14ac:dyDescent="0.45">
      <c r="B24" t="s">
        <v>111</v>
      </c>
      <c r="C24">
        <v>-994</v>
      </c>
      <c r="D24">
        <v>-967</v>
      </c>
      <c r="E24">
        <v>-939</v>
      </c>
      <c r="F24" s="22">
        <v>-1224</v>
      </c>
      <c r="G24" s="22">
        <v>-1647</v>
      </c>
      <c r="H24" s="22">
        <v>-1624</v>
      </c>
      <c r="I24" s="22">
        <v>-1807</v>
      </c>
      <c r="J24">
        <v>0</v>
      </c>
      <c r="K24" s="22">
        <v>-1353</v>
      </c>
      <c r="L24" s="22">
        <v>-1993</v>
      </c>
      <c r="M24" s="22">
        <v>-2202</v>
      </c>
      <c r="N24" s="22">
        <v>-2468</v>
      </c>
    </row>
    <row r="25" spans="2:14" x14ac:dyDescent="0.45">
      <c r="B25" t="s">
        <v>112</v>
      </c>
      <c r="C25">
        <v>-814</v>
      </c>
      <c r="D25">
        <v>-869</v>
      </c>
      <c r="E25" s="22">
        <v>-1487</v>
      </c>
      <c r="F25">
        <v>-42</v>
      </c>
      <c r="G25">
        <v>-805</v>
      </c>
      <c r="H25">
        <v>-75</v>
      </c>
      <c r="I25">
        <v>-7</v>
      </c>
      <c r="J25">
        <v>-7</v>
      </c>
      <c r="K25">
        <v>-30</v>
      </c>
      <c r="L25">
        <v>0</v>
      </c>
      <c r="M25">
        <v>0</v>
      </c>
      <c r="N25">
        <v>-705</v>
      </c>
    </row>
    <row r="26" spans="2:14" x14ac:dyDescent="0.45">
      <c r="B26" t="s">
        <v>113</v>
      </c>
      <c r="C26">
        <v>14</v>
      </c>
      <c r="D26">
        <v>-232</v>
      </c>
      <c r="E26" s="22">
        <v>3912</v>
      </c>
      <c r="F26">
        <v>0</v>
      </c>
      <c r="G26">
        <v>0</v>
      </c>
      <c r="H26">
        <v>0</v>
      </c>
      <c r="I26">
        <v>0</v>
      </c>
      <c r="J26" s="22">
        <v>1380</v>
      </c>
      <c r="K26">
        <v>73</v>
      </c>
      <c r="L26">
        <v>126</v>
      </c>
      <c r="M26">
        <v>-13</v>
      </c>
      <c r="N26">
        <v>-14</v>
      </c>
    </row>
    <row r="27" spans="2:14" x14ac:dyDescent="0.45">
      <c r="B27" t="s">
        <v>50</v>
      </c>
      <c r="C27">
        <v>29</v>
      </c>
      <c r="D27" s="22">
        <v>-1987</v>
      </c>
      <c r="E27" s="22">
        <v>18733</v>
      </c>
      <c r="F27" s="22">
        <v>11393</v>
      </c>
      <c r="G27" s="22">
        <v>18790</v>
      </c>
      <c r="H27" s="22">
        <v>12330</v>
      </c>
      <c r="I27" s="22">
        <v>6109</v>
      </c>
      <c r="J27" s="22">
        <v>-20192</v>
      </c>
      <c r="K27">
        <v>460</v>
      </c>
      <c r="L27" s="22">
        <v>35579</v>
      </c>
      <c r="M27" s="22">
        <v>20859</v>
      </c>
      <c r="N27" s="22">
        <v>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historicalFS</vt:lpstr>
      <vt:lpstr>Ratio analysis</vt:lpstr>
      <vt:lpstr>Forecasting</vt:lpstr>
      <vt:lpstr>Sheet2</vt:lpstr>
      <vt:lpstr>datasheet</vt:lpstr>
      <vt:lpstr>cash flow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aakash makhloga</cp:lastModifiedBy>
  <dcterms:created xsi:type="dcterms:W3CDTF">2024-04-27T15:01:25Z</dcterms:created>
  <dcterms:modified xsi:type="dcterms:W3CDTF">2025-01-28T09:58:37Z</dcterms:modified>
</cp:coreProperties>
</file>