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\Downloads\"/>
    </mc:Choice>
  </mc:AlternateContent>
  <xr:revisionPtr revIDLastSave="0" documentId="13_ncr:1_{989CE79C-B476-4895-A528-465E24A4DCEE}" xr6:coauthVersionLast="47" xr6:coauthVersionMax="47" xr10:uidLastSave="{00000000-0000-0000-0000-000000000000}"/>
  <bookViews>
    <workbookView xWindow="-108" yWindow="-108" windowWidth="23256" windowHeight="13896" activeTab="1" xr2:uid="{A469845D-959C-4A7C-80E1-18863DB1EFCC}"/>
  </bookViews>
  <sheets>
    <sheet name="LBO" sheetId="2" r:id="rId1"/>
    <sheet name="Shares" sheetId="3" r:id="rId2"/>
  </sheets>
  <definedNames>
    <definedName name="CASE">LBO!$E$7</definedName>
    <definedName name="CIRC">LBO!$E$6</definedName>
    <definedName name="PIK">LBO!$E$8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9" i="2" l="1"/>
  <c r="J279" i="2"/>
  <c r="I279" i="2"/>
  <c r="H279" i="2"/>
  <c r="G279" i="2"/>
  <c r="H275" i="2"/>
  <c r="I275" i="2"/>
  <c r="J275" i="2"/>
  <c r="K275" i="2"/>
  <c r="G275" i="2"/>
  <c r="K276" i="2"/>
  <c r="J276" i="2"/>
  <c r="I276" i="2"/>
  <c r="H276" i="2"/>
  <c r="G276" i="2"/>
  <c r="G264" i="2"/>
  <c r="K264" i="2"/>
  <c r="J264" i="2"/>
  <c r="I264" i="2"/>
  <c r="H264" i="2"/>
  <c r="F8" i="2"/>
  <c r="H215" i="2"/>
  <c r="I215" i="2" s="1"/>
  <c r="J215" i="2" s="1"/>
  <c r="K215" i="2" s="1"/>
  <c r="F214" i="2"/>
  <c r="G212" i="2" s="1"/>
  <c r="D44" i="2"/>
  <c r="F249" i="2" s="1"/>
  <c r="G246" i="2" s="1"/>
  <c r="G247" i="2" s="1"/>
  <c r="D40" i="2"/>
  <c r="B44" i="2"/>
  <c r="B245" i="2" s="1"/>
  <c r="B40" i="2"/>
  <c r="B205" i="2" s="1"/>
  <c r="E34" i="2"/>
  <c r="H32" i="2"/>
  <c r="I32" i="2" s="1"/>
  <c r="K32" i="2" s="1"/>
  <c r="H28" i="2"/>
  <c r="I28" i="2" s="1"/>
  <c r="F167" i="2"/>
  <c r="F168" i="2" s="1"/>
  <c r="E167" i="2"/>
  <c r="E168" i="2" s="1"/>
  <c r="D167" i="2"/>
  <c r="D168" i="2" s="1"/>
  <c r="F156" i="2"/>
  <c r="G156" i="2" s="1"/>
  <c r="H156" i="2" s="1"/>
  <c r="I156" i="2" s="1"/>
  <c r="J156" i="2" s="1"/>
  <c r="K156" i="2" s="1"/>
  <c r="E156" i="2"/>
  <c r="D156" i="2"/>
  <c r="F154" i="2"/>
  <c r="G154" i="2" s="1"/>
  <c r="H154" i="2" s="1"/>
  <c r="I154" i="2" s="1"/>
  <c r="J154" i="2" s="1"/>
  <c r="K154" i="2" s="1"/>
  <c r="E154" i="2"/>
  <c r="D154" i="2"/>
  <c r="G143" i="2"/>
  <c r="E144" i="2"/>
  <c r="F144" i="2"/>
  <c r="F143" i="2"/>
  <c r="E143" i="2"/>
  <c r="D144" i="2"/>
  <c r="F138" i="2"/>
  <c r="F140" i="2" s="1"/>
  <c r="E138" i="2"/>
  <c r="E145" i="2" s="1"/>
  <c r="D138" i="2"/>
  <c r="D140" i="2" s="1"/>
  <c r="G152" i="2"/>
  <c r="H152" i="2" s="1"/>
  <c r="I149" i="2" s="1"/>
  <c r="G149" i="2"/>
  <c r="F149" i="2"/>
  <c r="F150" i="2" s="1"/>
  <c r="D149" i="2"/>
  <c r="E149" i="2"/>
  <c r="E150" i="2" s="1"/>
  <c r="F136" i="2"/>
  <c r="E136" i="2"/>
  <c r="D136" i="2"/>
  <c r="E133" i="2"/>
  <c r="F133" i="2" s="1"/>
  <c r="G133" i="2" s="1"/>
  <c r="H133" i="2" s="1"/>
  <c r="I133" i="2" s="1"/>
  <c r="J133" i="2" s="1"/>
  <c r="K133" i="2" s="1"/>
  <c r="F125" i="2"/>
  <c r="G125" i="2" s="1"/>
  <c r="G124" i="2" s="1"/>
  <c r="E125" i="2"/>
  <c r="D125" i="2"/>
  <c r="F122" i="2"/>
  <c r="E122" i="2"/>
  <c r="D122" i="2"/>
  <c r="F119" i="2"/>
  <c r="G119" i="2" s="1"/>
  <c r="G118" i="2" s="1"/>
  <c r="E119" i="2"/>
  <c r="D119" i="2"/>
  <c r="F113" i="2"/>
  <c r="E113" i="2"/>
  <c r="D113" i="2"/>
  <c r="D115" i="2"/>
  <c r="D116" i="2" s="1"/>
  <c r="E115" i="2"/>
  <c r="E116" i="2" s="1"/>
  <c r="F115" i="2"/>
  <c r="F116" i="2" s="1"/>
  <c r="K273" i="2"/>
  <c r="J273" i="2"/>
  <c r="I273" i="2"/>
  <c r="H273" i="2"/>
  <c r="G273" i="2"/>
  <c r="K270" i="2"/>
  <c r="J270" i="2"/>
  <c r="I270" i="2"/>
  <c r="H270" i="2"/>
  <c r="G270" i="2"/>
  <c r="K267" i="2"/>
  <c r="J267" i="2"/>
  <c r="I267" i="2"/>
  <c r="H267" i="2"/>
  <c r="G267" i="2"/>
  <c r="F203" i="2"/>
  <c r="F260" i="2"/>
  <c r="B272" i="2"/>
  <c r="B269" i="2"/>
  <c r="B266" i="2"/>
  <c r="E259" i="2"/>
  <c r="F259" i="2" s="1"/>
  <c r="G259" i="2" s="1"/>
  <c r="H259" i="2" s="1"/>
  <c r="I259" i="2" s="1"/>
  <c r="J259" i="2" s="1"/>
  <c r="K259" i="2" s="1"/>
  <c r="F240" i="2"/>
  <c r="G237" i="2" s="1"/>
  <c r="G238" i="2" s="1"/>
  <c r="F231" i="2"/>
  <c r="G228" i="2" s="1"/>
  <c r="G229" i="2" s="1"/>
  <c r="F222" i="2"/>
  <c r="G219" i="2" s="1"/>
  <c r="G220" i="2" s="1"/>
  <c r="E199" i="2"/>
  <c r="F199" i="2" s="1"/>
  <c r="G199" i="2" s="1"/>
  <c r="H199" i="2" s="1"/>
  <c r="I199" i="2" s="1"/>
  <c r="J199" i="2" s="1"/>
  <c r="K199" i="2" s="1"/>
  <c r="E170" i="2"/>
  <c r="F170" i="2" s="1"/>
  <c r="G170" i="2" s="1"/>
  <c r="H170" i="2" s="1"/>
  <c r="I170" i="2" s="1"/>
  <c r="J170" i="2" s="1"/>
  <c r="K170" i="2" s="1"/>
  <c r="K164" i="2"/>
  <c r="K158" i="2" s="1"/>
  <c r="K159" i="2" s="1"/>
  <c r="J164" i="2"/>
  <c r="J165" i="2" s="1"/>
  <c r="I164" i="2"/>
  <c r="I165" i="2" s="1"/>
  <c r="H164" i="2"/>
  <c r="H165" i="2" s="1"/>
  <c r="G164" i="2"/>
  <c r="G165" i="2" s="1"/>
  <c r="E110" i="2"/>
  <c r="F110" i="2" s="1"/>
  <c r="G110" i="2" s="1"/>
  <c r="H110" i="2" s="1"/>
  <c r="I110" i="2" s="1"/>
  <c r="J110" i="2" s="1"/>
  <c r="K110" i="2" s="1"/>
  <c r="K108" i="2"/>
  <c r="J108" i="2"/>
  <c r="I108" i="2"/>
  <c r="H108" i="2"/>
  <c r="G108" i="2"/>
  <c r="E97" i="2"/>
  <c r="K71" i="2"/>
  <c r="K70" i="2" s="1"/>
  <c r="J71" i="2"/>
  <c r="J70" i="2" s="1"/>
  <c r="I71" i="2"/>
  <c r="I70" i="2" s="1"/>
  <c r="H71" i="2"/>
  <c r="H70" i="2" s="1"/>
  <c r="G71" i="2"/>
  <c r="G70" i="2" s="1"/>
  <c r="K68" i="2"/>
  <c r="K67" i="2" s="1"/>
  <c r="J68" i="2"/>
  <c r="J67" i="2" s="1"/>
  <c r="J64" i="2" s="1"/>
  <c r="J65" i="2" s="1"/>
  <c r="I68" i="2"/>
  <c r="I67" i="2" s="1"/>
  <c r="I64" i="2" s="1"/>
  <c r="I65" i="2" s="1"/>
  <c r="H68" i="2"/>
  <c r="H67" i="2" s="1"/>
  <c r="H64" i="2" s="1"/>
  <c r="H65" i="2" s="1"/>
  <c r="G68" i="2"/>
  <c r="G67" i="2" s="1"/>
  <c r="F7" i="2"/>
  <c r="F56" i="2"/>
  <c r="G56" i="2" s="1"/>
  <c r="H56" i="2" s="1"/>
  <c r="I56" i="2" s="1"/>
  <c r="J56" i="2" s="1"/>
  <c r="K56" i="2" s="1"/>
  <c r="E56" i="2"/>
  <c r="E71" i="2" s="1"/>
  <c r="D56" i="2"/>
  <c r="D71" i="2" s="1"/>
  <c r="K80" i="2"/>
  <c r="J80" i="2"/>
  <c r="I80" i="2"/>
  <c r="H80" i="2"/>
  <c r="G80" i="2"/>
  <c r="K54" i="2"/>
  <c r="K62" i="2" s="1"/>
  <c r="J54" i="2"/>
  <c r="J62" i="2" s="1"/>
  <c r="I54" i="2"/>
  <c r="I62" i="2" s="1"/>
  <c r="H54" i="2"/>
  <c r="H62" i="2" s="1"/>
  <c r="G54" i="2"/>
  <c r="G62" i="2" s="1"/>
  <c r="F65" i="2"/>
  <c r="E65" i="2"/>
  <c r="D65" i="2"/>
  <c r="D62" i="2"/>
  <c r="E52" i="2"/>
  <c r="F52" i="2" s="1"/>
  <c r="G52" i="2" s="1"/>
  <c r="H52" i="2" s="1"/>
  <c r="I52" i="2" s="1"/>
  <c r="J52" i="2" s="1"/>
  <c r="K52" i="2" s="1"/>
  <c r="F54" i="2"/>
  <c r="F62" i="2" s="1"/>
  <c r="E54" i="2"/>
  <c r="E62" i="2" s="1"/>
  <c r="F67" i="2"/>
  <c r="F73" i="2" s="1"/>
  <c r="F85" i="2" s="1"/>
  <c r="E67" i="2"/>
  <c r="E73" i="2" s="1"/>
  <c r="E95" i="2" s="1"/>
  <c r="D67" i="2"/>
  <c r="D73" i="2" s="1"/>
  <c r="D85" i="2" s="1"/>
  <c r="D57" i="2" s="1"/>
  <c r="D89" i="2" s="1"/>
  <c r="E59" i="2"/>
  <c r="F59" i="2" s="1"/>
  <c r="G59" i="2" s="1"/>
  <c r="H59" i="2" s="1"/>
  <c r="I59" i="2" s="1"/>
  <c r="J59" i="2" s="1"/>
  <c r="K59" i="2" s="1"/>
  <c r="D43" i="2"/>
  <c r="D42" i="2"/>
  <c r="D41" i="2"/>
  <c r="B43" i="2"/>
  <c r="B236" i="2" s="1"/>
  <c r="B42" i="2"/>
  <c r="B227" i="2" s="1"/>
  <c r="B41" i="2"/>
  <c r="B218" i="2" s="1"/>
  <c r="K20" i="2"/>
  <c r="E6" i="3"/>
  <c r="E29" i="3" s="1"/>
  <c r="B22" i="3"/>
  <c r="B23" i="3" s="1"/>
  <c r="B24" i="3" s="1"/>
  <c r="B25" i="3" s="1"/>
  <c r="B26" i="3" s="1"/>
  <c r="B27" i="3" s="1"/>
  <c r="B28" i="3" s="1"/>
  <c r="B29" i="3" s="1"/>
  <c r="B30" i="3" s="1"/>
  <c r="I31" i="2"/>
  <c r="K31" i="2" s="1"/>
  <c r="I30" i="2"/>
  <c r="K30" i="2" s="1"/>
  <c r="I29" i="2"/>
  <c r="K29" i="2" s="1"/>
  <c r="E23" i="2"/>
  <c r="D45" i="2" s="1"/>
  <c r="E21" i="2"/>
  <c r="K19" i="2" s="1"/>
  <c r="K14" i="2"/>
  <c r="G183" i="2" l="1"/>
  <c r="B192" i="2"/>
  <c r="F256" i="2"/>
  <c r="G248" i="2"/>
  <c r="G207" i="2"/>
  <c r="J207" i="2"/>
  <c r="G201" i="2"/>
  <c r="G206" i="2" s="1"/>
  <c r="K207" i="2"/>
  <c r="H207" i="2"/>
  <c r="I207" i="2"/>
  <c r="K28" i="2"/>
  <c r="K34" i="2" s="1"/>
  <c r="I34" i="2"/>
  <c r="I45" i="2" s="1"/>
  <c r="K175" i="2"/>
  <c r="H175" i="2"/>
  <c r="I175" i="2"/>
  <c r="B190" i="2"/>
  <c r="K173" i="2"/>
  <c r="J175" i="2"/>
  <c r="B191" i="2"/>
  <c r="G175" i="2"/>
  <c r="G150" i="2"/>
  <c r="G180" i="2" s="1"/>
  <c r="D145" i="2"/>
  <c r="D143" i="2" s="1"/>
  <c r="E139" i="2"/>
  <c r="F139" i="2"/>
  <c r="F158" i="2"/>
  <c r="F96" i="2" s="1"/>
  <c r="G136" i="2"/>
  <c r="G135" i="2" s="1"/>
  <c r="E158" i="2"/>
  <c r="E96" i="2" s="1"/>
  <c r="E98" i="2" s="1"/>
  <c r="E99" i="2" s="1"/>
  <c r="E102" i="2" s="1"/>
  <c r="F145" i="2"/>
  <c r="D139" i="2"/>
  <c r="D158" i="2"/>
  <c r="D96" i="2" s="1"/>
  <c r="E140" i="2"/>
  <c r="G140" i="2" s="1"/>
  <c r="I152" i="2"/>
  <c r="I150" i="2" s="1"/>
  <c r="I180" i="2" s="1"/>
  <c r="F127" i="2"/>
  <c r="F128" i="2" s="1"/>
  <c r="G122" i="2"/>
  <c r="G121" i="2" s="1"/>
  <c r="G116" i="2"/>
  <c r="G115" i="2" s="1"/>
  <c r="G113" i="2"/>
  <c r="H113" i="2" s="1"/>
  <c r="D127" i="2"/>
  <c r="D128" i="2" s="1"/>
  <c r="E127" i="2"/>
  <c r="H125" i="2"/>
  <c r="H119" i="2"/>
  <c r="D74" i="2"/>
  <c r="E55" i="2"/>
  <c r="E68" i="2" s="1"/>
  <c r="F261" i="2"/>
  <c r="G261" i="2" s="1"/>
  <c r="H261" i="2" s="1"/>
  <c r="I261" i="2" s="1"/>
  <c r="J261" i="2" s="1"/>
  <c r="K261" i="2" s="1"/>
  <c r="G158" i="2"/>
  <c r="I158" i="2"/>
  <c r="E85" i="2"/>
  <c r="J158" i="2"/>
  <c r="F71" i="2"/>
  <c r="D86" i="2"/>
  <c r="E74" i="2"/>
  <c r="H158" i="2"/>
  <c r="F95" i="2"/>
  <c r="D55" i="2"/>
  <c r="D68" i="2" s="1"/>
  <c r="F74" i="2"/>
  <c r="K165" i="2"/>
  <c r="D91" i="2"/>
  <c r="D92" i="2" s="1"/>
  <c r="D95" i="2"/>
  <c r="G64" i="2"/>
  <c r="G65" i="2" s="1"/>
  <c r="K64" i="2"/>
  <c r="K65" i="2" s="1"/>
  <c r="F57" i="2"/>
  <c r="F91" i="2"/>
  <c r="F92" i="2" s="1"/>
  <c r="F86" i="2"/>
  <c r="F55" i="2"/>
  <c r="I42" i="2"/>
  <c r="E14" i="3"/>
  <c r="E16" i="3" s="1"/>
  <c r="K17" i="2" s="1"/>
  <c r="K16" i="2" s="1"/>
  <c r="E24" i="3"/>
  <c r="E23" i="3"/>
  <c r="E26" i="3"/>
  <c r="E27" i="3"/>
  <c r="E22" i="3"/>
  <c r="E25" i="3"/>
  <c r="E21" i="3"/>
  <c r="E28" i="3"/>
  <c r="E30" i="3"/>
  <c r="G249" i="2" l="1"/>
  <c r="H246" i="2" s="1"/>
  <c r="G176" i="2"/>
  <c r="G278" i="2"/>
  <c r="G208" i="2"/>
  <c r="H247" i="2"/>
  <c r="H248" i="2"/>
  <c r="G159" i="2"/>
  <c r="G173" i="2"/>
  <c r="J159" i="2"/>
  <c r="J173" i="2"/>
  <c r="I159" i="2"/>
  <c r="I173" i="2"/>
  <c r="H159" i="2"/>
  <c r="H173" i="2"/>
  <c r="F98" i="2"/>
  <c r="E20" i="2" s="1"/>
  <c r="F159" i="2"/>
  <c r="G139" i="2"/>
  <c r="H139" i="2" s="1"/>
  <c r="I139" i="2" s="1"/>
  <c r="J139" i="2" s="1"/>
  <c r="K139" i="2" s="1"/>
  <c r="G144" i="2"/>
  <c r="G167" i="2"/>
  <c r="G179" i="2" s="1"/>
  <c r="D159" i="2"/>
  <c r="E159" i="2"/>
  <c r="H136" i="2"/>
  <c r="I136" i="2" s="1"/>
  <c r="D98" i="2"/>
  <c r="D99" i="2" s="1"/>
  <c r="D102" i="2" s="1"/>
  <c r="H140" i="2"/>
  <c r="I140" i="2" s="1"/>
  <c r="J140" i="2" s="1"/>
  <c r="K140" i="2" s="1"/>
  <c r="G138" i="2"/>
  <c r="G112" i="2"/>
  <c r="G127" i="2" s="1"/>
  <c r="G130" i="2" s="1"/>
  <c r="H122" i="2"/>
  <c r="H121" i="2" s="1"/>
  <c r="J152" i="2"/>
  <c r="J149" i="2"/>
  <c r="H116" i="2"/>
  <c r="H115" i="2" s="1"/>
  <c r="E128" i="2"/>
  <c r="E130" i="2"/>
  <c r="E131" i="2" s="1"/>
  <c r="H112" i="2"/>
  <c r="I113" i="2"/>
  <c r="F130" i="2"/>
  <c r="F131" i="2" s="1"/>
  <c r="H124" i="2"/>
  <c r="I125" i="2"/>
  <c r="H118" i="2"/>
  <c r="I119" i="2"/>
  <c r="E86" i="2"/>
  <c r="E91" i="2"/>
  <c r="E92" i="2" s="1"/>
  <c r="E57" i="2"/>
  <c r="E89" i="2" s="1"/>
  <c r="E101" i="2"/>
  <c r="F89" i="2"/>
  <c r="G57" i="2"/>
  <c r="F68" i="2"/>
  <c r="G55" i="2"/>
  <c r="H55" i="2" s="1"/>
  <c r="I55" i="2" s="1"/>
  <c r="J55" i="2" s="1"/>
  <c r="K55" i="2" s="1"/>
  <c r="E32" i="3"/>
  <c r="E8" i="3" s="1"/>
  <c r="K22" i="2"/>
  <c r="I41" i="2"/>
  <c r="E9" i="3"/>
  <c r="E10" i="3" s="1"/>
  <c r="H176" i="2" l="1"/>
  <c r="H278" i="2"/>
  <c r="H249" i="2"/>
  <c r="I246" i="2" s="1"/>
  <c r="F99" i="2"/>
  <c r="F102" i="2" s="1"/>
  <c r="F101" i="2"/>
  <c r="E40" i="2"/>
  <c r="E44" i="2"/>
  <c r="J46" i="2"/>
  <c r="F28" i="2"/>
  <c r="F32" i="2"/>
  <c r="G168" i="2"/>
  <c r="G181" i="2"/>
  <c r="G131" i="2"/>
  <c r="G174" i="2"/>
  <c r="D101" i="2"/>
  <c r="G145" i="2"/>
  <c r="G146" i="2" s="1"/>
  <c r="H143" i="2" s="1"/>
  <c r="G161" i="2"/>
  <c r="G162" i="2" s="1"/>
  <c r="H135" i="2"/>
  <c r="H167" i="2" s="1"/>
  <c r="H179" i="2" s="1"/>
  <c r="G128" i="2"/>
  <c r="J150" i="2"/>
  <c r="J180" i="2" s="1"/>
  <c r="I116" i="2"/>
  <c r="I115" i="2" s="1"/>
  <c r="I122" i="2"/>
  <c r="I121" i="2" s="1"/>
  <c r="J136" i="2"/>
  <c r="I135" i="2"/>
  <c r="I167" i="2" s="1"/>
  <c r="K152" i="2"/>
  <c r="K149" i="2"/>
  <c r="J113" i="2"/>
  <c r="I112" i="2"/>
  <c r="H127" i="2"/>
  <c r="H128" i="2" s="1"/>
  <c r="J125" i="2"/>
  <c r="I124" i="2"/>
  <c r="J119" i="2"/>
  <c r="I118" i="2"/>
  <c r="J45" i="2"/>
  <c r="E43" i="2"/>
  <c r="E45" i="2"/>
  <c r="J42" i="2"/>
  <c r="E42" i="2"/>
  <c r="F31" i="2"/>
  <c r="E41" i="2"/>
  <c r="F29" i="2"/>
  <c r="F30" i="2"/>
  <c r="K23" i="2"/>
  <c r="K24" i="2" s="1"/>
  <c r="J43" i="2"/>
  <c r="G89" i="2"/>
  <c r="H57" i="2"/>
  <c r="E11" i="3"/>
  <c r="I48" i="2"/>
  <c r="K41" i="2" s="1"/>
  <c r="J41" i="2"/>
  <c r="I247" i="2" l="1"/>
  <c r="I248" i="2"/>
  <c r="F34" i="2"/>
  <c r="I168" i="2"/>
  <c r="I179" i="2"/>
  <c r="I181" i="2" s="1"/>
  <c r="H144" i="2"/>
  <c r="J116" i="2"/>
  <c r="J115" i="2" s="1"/>
  <c r="H138" i="2"/>
  <c r="H161" i="2" s="1"/>
  <c r="H162" i="2" s="1"/>
  <c r="H168" i="2"/>
  <c r="K150" i="2"/>
  <c r="K180" i="2" s="1"/>
  <c r="J122" i="2"/>
  <c r="K122" i="2" s="1"/>
  <c r="K121" i="2" s="1"/>
  <c r="I144" i="2"/>
  <c r="I138" i="2"/>
  <c r="K136" i="2"/>
  <c r="K135" i="2" s="1"/>
  <c r="K167" i="2" s="1"/>
  <c r="J135" i="2"/>
  <c r="J167" i="2" s="1"/>
  <c r="H130" i="2"/>
  <c r="I127" i="2"/>
  <c r="I128" i="2" s="1"/>
  <c r="K113" i="2"/>
  <c r="K112" i="2" s="1"/>
  <c r="J112" i="2"/>
  <c r="K125" i="2"/>
  <c r="K124" i="2" s="1"/>
  <c r="J124" i="2"/>
  <c r="K119" i="2"/>
  <c r="K118" i="2" s="1"/>
  <c r="J118" i="2"/>
  <c r="J48" i="2"/>
  <c r="E24" i="2"/>
  <c r="K287" i="2" s="1"/>
  <c r="I57" i="2"/>
  <c r="H89" i="2"/>
  <c r="D48" i="2"/>
  <c r="K46" i="2"/>
  <c r="K45" i="2"/>
  <c r="K43" i="2"/>
  <c r="K42" i="2"/>
  <c r="I278" i="2" l="1"/>
  <c r="I176" i="2"/>
  <c r="I249" i="2"/>
  <c r="J246" i="2" s="1"/>
  <c r="J248" i="2"/>
  <c r="J247" i="2"/>
  <c r="J249" i="2" s="1"/>
  <c r="K246" i="2" s="1"/>
  <c r="D46" i="2"/>
  <c r="F44" i="2"/>
  <c r="F40" i="2"/>
  <c r="F45" i="2"/>
  <c r="H145" i="2"/>
  <c r="H146" i="2" s="1"/>
  <c r="I143" i="2" s="1"/>
  <c r="H131" i="2"/>
  <c r="H174" i="2"/>
  <c r="K168" i="2"/>
  <c r="K179" i="2"/>
  <c r="K181" i="2" s="1"/>
  <c r="K116" i="2"/>
  <c r="K115" i="2" s="1"/>
  <c r="K127" i="2" s="1"/>
  <c r="K128" i="2" s="1"/>
  <c r="J168" i="2"/>
  <c r="J179" i="2"/>
  <c r="J181" i="2" s="1"/>
  <c r="I145" i="2"/>
  <c r="I161" i="2"/>
  <c r="I162" i="2" s="1"/>
  <c r="J121" i="2"/>
  <c r="J127" i="2" s="1"/>
  <c r="J128" i="2" s="1"/>
  <c r="J144" i="2"/>
  <c r="J138" i="2"/>
  <c r="I130" i="2"/>
  <c r="K144" i="2"/>
  <c r="K138" i="2"/>
  <c r="J57" i="2"/>
  <c r="I89" i="2"/>
  <c r="K48" i="2"/>
  <c r="F42" i="2"/>
  <c r="F41" i="2"/>
  <c r="F43" i="2"/>
  <c r="F48" i="2"/>
  <c r="J278" i="2" l="1"/>
  <c r="J176" i="2"/>
  <c r="K247" i="2"/>
  <c r="K248" i="2"/>
  <c r="K292" i="2"/>
  <c r="E46" i="2"/>
  <c r="E48" i="2" s="1"/>
  <c r="F46" i="2"/>
  <c r="I146" i="2"/>
  <c r="J143" i="2" s="1"/>
  <c r="I174" i="2"/>
  <c r="J145" i="2"/>
  <c r="J161" i="2"/>
  <c r="J162" i="2" s="1"/>
  <c r="K145" i="2"/>
  <c r="K161" i="2"/>
  <c r="K162" i="2" s="1"/>
  <c r="I131" i="2"/>
  <c r="K130" i="2"/>
  <c r="J130" i="2"/>
  <c r="K57" i="2"/>
  <c r="K89" i="2" s="1"/>
  <c r="J89" i="2"/>
  <c r="K249" i="2" l="1"/>
  <c r="K278" i="2"/>
  <c r="K176" i="2"/>
  <c r="K131" i="2"/>
  <c r="K174" i="2"/>
  <c r="J146" i="2"/>
  <c r="K143" i="2" s="1"/>
  <c r="K146" i="2" s="1"/>
  <c r="J131" i="2"/>
  <c r="J174" i="2"/>
  <c r="J73" i="2" l="1"/>
  <c r="K73" i="2"/>
  <c r="I101" i="2"/>
  <c r="I102" i="2" s="1"/>
  <c r="I73" i="2"/>
  <c r="K74" i="2" l="1"/>
  <c r="K101" i="2"/>
  <c r="G101" i="2"/>
  <c r="G102" i="2" s="1"/>
  <c r="J101" i="2"/>
  <c r="J102" i="2" s="1"/>
  <c r="I74" i="2"/>
  <c r="J74" i="2"/>
  <c r="K102" i="2" l="1"/>
  <c r="K286" i="2"/>
  <c r="K288" i="2" s="1"/>
  <c r="G73" i="2"/>
  <c r="H73" i="2"/>
  <c r="H74" i="2" s="1"/>
  <c r="H101" i="2"/>
  <c r="H102" i="2" s="1"/>
  <c r="G74" i="2" l="1"/>
  <c r="H149" i="2"/>
  <c r="H150" i="2" s="1"/>
  <c r="H180" i="2" s="1"/>
  <c r="H181" i="2" s="1"/>
  <c r="I209" i="2" l="1"/>
  <c r="K105" i="2"/>
  <c r="K104" i="2"/>
  <c r="J192" i="2"/>
  <c r="J239" i="2"/>
  <c r="I191" i="2"/>
  <c r="I230" i="2"/>
  <c r="I193" i="2"/>
  <c r="I190" i="2"/>
  <c r="I221" i="2"/>
  <c r="K6" i="2"/>
  <c r="K295" i="2"/>
  <c r="K294" i="2"/>
  <c r="K290" i="2"/>
  <c r="K289" i="2"/>
  <c r="K256" i="2"/>
  <c r="J257" i="2"/>
  <c r="J254" i="2"/>
  <c r="H191" i="2"/>
  <c r="H230" i="2"/>
  <c r="K255" i="2"/>
  <c r="K213" i="2"/>
  <c r="K186" i="2"/>
  <c r="J202" i="2"/>
  <c r="J195" i="2"/>
  <c r="J187" i="2"/>
  <c r="H202" i="2"/>
  <c r="H195" i="2"/>
  <c r="H187" i="2"/>
  <c r="K193" i="2"/>
  <c r="K190" i="2"/>
  <c r="K221" i="2"/>
  <c r="H83" i="2"/>
  <c r="H260" i="2"/>
  <c r="G269" i="2"/>
  <c r="I186" i="2"/>
  <c r="I213" i="2"/>
  <c r="I255" i="2"/>
  <c r="H105" i="2"/>
  <c r="H104" i="2"/>
  <c r="H221" i="2"/>
  <c r="H190" i="2"/>
  <c r="H193" i="2"/>
  <c r="K7" i="2"/>
  <c r="G216" i="2"/>
  <c r="G192" i="2"/>
  <c r="I83" i="2"/>
  <c r="I260" i="2"/>
  <c r="I77" i="2"/>
  <c r="K243" i="2"/>
  <c r="K225" i="2"/>
  <c r="K206" i="2"/>
  <c r="K208" i="2"/>
  <c r="K210" i="2"/>
  <c r="K234" i="2"/>
  <c r="H183" i="2"/>
  <c r="H220" i="2"/>
  <c r="K282" i="2"/>
  <c r="G83" i="2"/>
  <c r="G260" i="2"/>
  <c r="K203" i="2"/>
  <c r="J221" i="2"/>
  <c r="J190" i="2"/>
  <c r="J193" i="2"/>
  <c r="I257" i="2"/>
  <c r="I254" i="2"/>
  <c r="K76" i="2"/>
  <c r="K77" i="2"/>
  <c r="K209" i="2"/>
  <c r="J83" i="2"/>
  <c r="J260" i="2"/>
  <c r="I256" i="2"/>
  <c r="I216" i="2"/>
  <c r="G193" i="2"/>
  <c r="G190" i="2"/>
  <c r="H257" i="2"/>
  <c r="H254" i="2"/>
  <c r="I192" i="2"/>
  <c r="I239" i="2"/>
  <c r="H266" i="2"/>
  <c r="J191" i="2"/>
  <c r="J230" i="2"/>
  <c r="I272" i="2"/>
  <c r="I238" i="2"/>
  <c r="I76" i="2"/>
  <c r="I104" i="2"/>
  <c r="I105" i="2"/>
  <c r="G86" i="2"/>
  <c r="G88" i="2"/>
  <c r="K88" i="2"/>
  <c r="K86" i="2"/>
  <c r="J77" i="2"/>
  <c r="J76" i="2"/>
  <c r="J104" i="2"/>
  <c r="J105" i="2"/>
  <c r="J172" i="2"/>
  <c r="J177" i="2"/>
  <c r="J184" i="2"/>
  <c r="J209" i="2"/>
  <c r="J86" i="2"/>
  <c r="J88" i="2"/>
  <c r="K216" i="2"/>
  <c r="J282" i="2"/>
  <c r="J183" i="2"/>
  <c r="J220" i="2"/>
  <c r="J203" i="2"/>
  <c r="K201" i="2"/>
  <c r="K260" i="2"/>
  <c r="K83" i="2"/>
  <c r="J263" i="2"/>
  <c r="J281" i="2"/>
  <c r="J82" i="2"/>
  <c r="J85" i="2"/>
  <c r="J91" i="2"/>
  <c r="J92" i="2"/>
  <c r="I229" i="2"/>
  <c r="I269" i="2"/>
  <c r="K222" i="2"/>
  <c r="K266" i="2"/>
  <c r="H92" i="2"/>
  <c r="H192" i="2"/>
  <c r="H239" i="2"/>
  <c r="J222" i="2"/>
  <c r="K219" i="2"/>
  <c r="K220" i="2"/>
  <c r="K183" i="2"/>
  <c r="H86" i="2"/>
  <c r="H88" i="2"/>
  <c r="I225" i="2"/>
  <c r="I243" i="2"/>
  <c r="I206" i="2"/>
  <c r="I208" i="2"/>
  <c r="I210" i="2"/>
  <c r="I234" i="2"/>
  <c r="H76" i="2"/>
  <c r="H77" i="2"/>
  <c r="K214" i="2"/>
  <c r="K254" i="2"/>
  <c r="K257" i="2"/>
  <c r="G282" i="2"/>
  <c r="G191" i="2"/>
  <c r="H282" i="2"/>
  <c r="I183" i="2"/>
  <c r="I220" i="2"/>
  <c r="J256" i="2"/>
  <c r="J216" i="2"/>
  <c r="K172" i="2"/>
  <c r="K177" i="2"/>
  <c r="K184" i="2"/>
  <c r="K187" i="2"/>
  <c r="K195" i="2"/>
  <c r="K202" i="2"/>
  <c r="G256" i="2"/>
  <c r="H272" i="2"/>
  <c r="H238" i="2"/>
  <c r="G92" i="2"/>
  <c r="J225" i="2"/>
  <c r="J243" i="2"/>
  <c r="J234" i="2"/>
  <c r="J186" i="2"/>
  <c r="H203" i="2"/>
  <c r="I201" i="2"/>
  <c r="I203" i="2"/>
  <c r="J201" i="2"/>
  <c r="J206" i="2"/>
  <c r="J208" i="2"/>
  <c r="J210" i="2"/>
  <c r="J213" i="2"/>
  <c r="J255" i="2"/>
  <c r="K272" i="2"/>
  <c r="K238" i="2"/>
  <c r="K240" i="2"/>
  <c r="G272" i="2"/>
  <c r="H225" i="2"/>
  <c r="H243" i="2"/>
  <c r="H234" i="2"/>
  <c r="J240" i="2"/>
  <c r="K237" i="2"/>
  <c r="K239" i="2"/>
  <c r="K192" i="2"/>
  <c r="I266" i="2"/>
  <c r="H186" i="2"/>
  <c r="G187" i="2"/>
  <c r="G195" i="2"/>
  <c r="G202" i="2"/>
  <c r="G203" i="2"/>
  <c r="H201" i="2"/>
  <c r="H206" i="2"/>
  <c r="H208" i="2"/>
  <c r="H210" i="2"/>
  <c r="H213" i="2"/>
  <c r="H255" i="2"/>
  <c r="G77" i="2"/>
  <c r="J272" i="2"/>
  <c r="G243" i="2"/>
  <c r="G239" i="2"/>
  <c r="G240" i="2"/>
  <c r="H237" i="2"/>
  <c r="H240" i="2"/>
  <c r="I237" i="2"/>
  <c r="I240" i="2"/>
  <c r="J237" i="2"/>
  <c r="J238" i="2"/>
  <c r="K231" i="2"/>
  <c r="K229" i="2"/>
  <c r="K269" i="2"/>
  <c r="G76" i="2"/>
  <c r="G104" i="2"/>
  <c r="G105" i="2"/>
  <c r="G186" i="2"/>
  <c r="G255" i="2"/>
  <c r="J231" i="2"/>
  <c r="K228" i="2"/>
  <c r="K230" i="2"/>
  <c r="K191" i="2"/>
  <c r="G266" i="2"/>
  <c r="J229" i="2"/>
  <c r="H231" i="2"/>
  <c r="I228" i="2"/>
  <c r="I231" i="2"/>
  <c r="J228" i="2"/>
  <c r="J269" i="2"/>
  <c r="I282" i="2"/>
  <c r="H263" i="2"/>
  <c r="H281" i="2"/>
  <c r="H82" i="2"/>
  <c r="H85" i="2"/>
  <c r="H91" i="2"/>
  <c r="H172" i="2"/>
  <c r="H177" i="2"/>
  <c r="H184" i="2"/>
  <c r="H209" i="2"/>
  <c r="I88" i="2"/>
  <c r="I86" i="2"/>
  <c r="I92" i="2"/>
  <c r="H216" i="2"/>
  <c r="H256" i="2"/>
  <c r="I214" i="2"/>
  <c r="J212" i="2"/>
  <c r="J214" i="2"/>
  <c r="K212" i="2"/>
  <c r="K263" i="2"/>
  <c r="K281" i="2"/>
  <c r="K82" i="2"/>
  <c r="K85" i="2"/>
  <c r="K91" i="2"/>
  <c r="K92" i="2"/>
  <c r="H269" i="2"/>
  <c r="G234" i="2"/>
  <c r="G230" i="2"/>
  <c r="G231" i="2"/>
  <c r="H228" i="2"/>
  <c r="H229" i="2"/>
  <c r="G225" i="2"/>
  <c r="G221" i="2"/>
  <c r="G222" i="2"/>
  <c r="H219" i="2"/>
  <c r="H222" i="2"/>
  <c r="I219" i="2"/>
  <c r="I222" i="2"/>
  <c r="J219" i="2"/>
  <c r="J266" i="2"/>
  <c r="H212" i="2"/>
  <c r="H214" i="2"/>
  <c r="I212" i="2"/>
  <c r="I263" i="2"/>
  <c r="I281" i="2"/>
  <c r="I82" i="2"/>
  <c r="I85" i="2"/>
  <c r="I91" i="2"/>
  <c r="I172" i="2"/>
  <c r="I177" i="2"/>
  <c r="I184" i="2"/>
  <c r="I187" i="2"/>
  <c r="I195" i="2"/>
  <c r="I202" i="2"/>
  <c r="G263" i="2"/>
  <c r="G281" i="2"/>
  <c r="G82" i="2"/>
  <c r="G85" i="2"/>
  <c r="G91" i="2"/>
  <c r="G172" i="2"/>
  <c r="G177" i="2"/>
  <c r="G184" i="2"/>
  <c r="G209" i="2"/>
  <c r="G210" i="2"/>
  <c r="G213" i="2"/>
  <c r="G214" i="2"/>
  <c r="G254" i="2"/>
  <c r="G2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E15" authorId="0" shapeId="0" xr:uid="{E880E967-FA3D-4597-8387-853B5A9AE5B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https://www.bamsec.com/filing/134100410001510?cik=1352801</t>
        </r>
      </text>
    </comment>
    <comment ref="E21" authorId="0" shapeId="0" xr:uid="{06A3A2AF-5928-4C5C-A8EE-81CA0A80B110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10K pg 72 - debt
10K pg 101 - current portion of capital lease
https://www.bamsec.com/filing/95012310081065?cik=1352801</t>
        </r>
      </text>
    </comment>
    <comment ref="E22" authorId="0" shapeId="0" xr:uid="{500B8AF0-4D78-4586-B91B-A5A5EF6E05A0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10K pg 72
https://www.bamsec.com/filing/95012310081065?cik=1352801</t>
        </r>
      </text>
    </comment>
    <comment ref="E23" authorId="0" shapeId="0" xr:uid="{7D90DFA5-B526-4AD6-9C5A-65C17E04A9B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87
https://www.bamsec.com/filing/95012311027965?cik=1352801</t>
        </r>
      </text>
    </comment>
    <comment ref="E28" authorId="0" shapeId="0" xr:uid="{9624847D-883E-499A-A3AF-443999B7FA01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10KT pg 105
Can draw up to $150M
https://www.bamsec.com/filing/95012311027965?cik=1352801</t>
        </r>
      </text>
    </comment>
    <comment ref="G28" authorId="0" shapeId="0" xr:uid="{7ED6F4C8-7527-4015-B822-9D97F554E78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10KT pg 106</t>
        </r>
      </text>
    </comment>
    <comment ref="E29" authorId="0" shapeId="0" xr:uid="{EDFC1549-6BB0-49EE-AA97-AF47D5D7E4C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10KT pg 105
https://www.bamsec.com/filing/95012311027965?cik=1352801</t>
        </r>
      </text>
    </comment>
    <comment ref="E30" authorId="0" shapeId="0" xr:uid="{47314854-48DB-478C-A169-B40400023298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10KT pg 105
https://www.bamsec.com/filing/95012311027965?cik=1352801</t>
        </r>
      </text>
    </comment>
    <comment ref="E31" authorId="0" shapeId="0" xr:uid="{D2CC3B67-2219-49BE-BCB3-57EBABF2BC71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10KT pg 105
https://www.bamsec.com/filing/95012311027965?cik=1352801</t>
        </r>
      </text>
    </comment>
    <comment ref="E32" authorId="0" shapeId="0" xr:uid="{73A12B92-E8DF-45E8-9AA8-AA91E933536D}">
      <text>
        <r>
          <rPr>
            <b/>
            <sz val="9"/>
            <color rgb="FF000000"/>
            <rFont val="Tahoma"/>
            <family val="2"/>
          </rPr>
          <t>Ben Chon: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Illustrative
</t>
        </r>
      </text>
    </comment>
    <comment ref="G32" authorId="0" shapeId="0" xr:uid="{A7199E7D-E430-4478-9C92-7F175077B400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Illustrative
</t>
        </r>
      </text>
    </comment>
    <comment ref="J32" authorId="0" shapeId="0" xr:uid="{E8499D6C-2E90-4C03-8E5C-A878870EB2DB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illustrative</t>
        </r>
      </text>
    </comment>
    <comment ref="I43" authorId="0" shapeId="0" xr:uid="{626AD7C9-7954-4CE3-9668-4F4067C06F3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87</t>
        </r>
      </text>
    </comment>
    <comment ref="I46" authorId="0" shapeId="0" xr:uid="{0E54A201-8FEB-47B1-B807-D8C8441F1FC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To get to $1.56BN in sponsor equity, adding this extra line item
2011 10K pg 87</t>
        </r>
      </text>
    </comment>
    <comment ref="G61" authorId="0" shapeId="0" xr:uid="{EDEC4252-E807-4052-BF83-0699A481C39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PREM 14A pg 60</t>
        </r>
      </text>
    </comment>
    <comment ref="G79" authorId="0" shapeId="0" xr:uid="{912C122C-B7C3-4C46-82BB-2958C588DBC2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PREM 14A pg 60</t>
        </r>
      </text>
    </comment>
    <comment ref="E97" authorId="0" shapeId="0" xr:uid="{4C481584-1529-4394-8752-CEB7AF9ED5CA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https://www.bamsec.com/filing/115752310005220?cik=1352801</t>
        </r>
      </text>
    </comment>
    <comment ref="G107" authorId="0" shapeId="0" xr:uid="{67DD15AA-6E86-48B5-9824-E4EE4AFF3AC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PREM14A pg 60</t>
        </r>
      </text>
    </comment>
    <comment ref="D112" authorId="0" shapeId="0" xr:uid="{35CFFE51-DEEC-4DFC-B374-6309C90CFAD5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2009 10K pg 73
https://www.bamsec.com/filing/95012309038762?cik=1352801</t>
        </r>
      </text>
    </comment>
    <comment ref="E112" authorId="0" shapeId="0" xr:uid="{14714494-DA46-42B4-9AD5-3001ED8525C2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2009 10K pg 73
https://www.bamsec.com/filing/95012309038762?cik=1352801</t>
        </r>
      </text>
    </comment>
    <comment ref="F112" authorId="0" shapeId="0" xr:uid="{B209E7C6-9549-413D-B9AB-59B3B491DA8B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72
https://www.bamsec.com/filing/95012310081065?cik=1352801</t>
        </r>
      </text>
    </comment>
    <comment ref="G119" authorId="0" shapeId="0" xr:uid="{6379B376-6A15-467C-B32F-A263CED4B31B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Given downward trend, used last year as projection</t>
        </r>
      </text>
    </comment>
    <comment ref="G125" authorId="0" shapeId="0" xr:uid="{C164004B-159F-462A-B7FB-4F81C017C38C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Given downward trend, used last year as projection</t>
        </r>
      </text>
    </comment>
    <comment ref="D135" authorId="0" shapeId="0" xr:uid="{34465BC4-249F-48F2-AE80-D068813FAF99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75</t>
        </r>
      </text>
    </comment>
    <comment ref="E135" authorId="0" shapeId="0" xr:uid="{03EDD430-FEFB-440A-8923-715BC89E454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75</t>
        </r>
      </text>
    </comment>
    <comment ref="F135" authorId="0" shapeId="0" xr:uid="{89DAD0AE-3A5E-4EF6-9917-E8A3AA2E0F1E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75</t>
        </r>
      </text>
    </comment>
    <comment ref="D138" authorId="0" shapeId="0" xr:uid="{1881356E-D152-4C0A-8E32-0AFD3FCF7789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75
Backing into this number in order to tie with D&amp;A on cash flow statement</t>
        </r>
      </text>
    </comment>
    <comment ref="E138" authorId="0" shapeId="0" xr:uid="{0C088E9D-AF9C-431E-88C7-1FDFB0C8F57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75
Backing into this number in order to tie with D&amp;A on cash flow statement</t>
        </r>
      </text>
    </comment>
    <comment ref="F138" authorId="0" shapeId="0" xr:uid="{31561F13-A135-4C90-9B9D-5BFB45F55671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75
Backing into this number in order to tie with D&amp;A on cash flow statement</t>
        </r>
      </text>
    </comment>
    <comment ref="E144" authorId="0" shapeId="0" xr:uid="{22C1B77B-A713-4260-99F4-6D18D042810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Does not tie to ending balance but included as reference</t>
        </r>
      </text>
    </comment>
    <comment ref="F144" authorId="0" shapeId="0" xr:uid="{53FA41D7-C445-4941-AA70-05937525DC51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Does not tie to ending balance but included as reference</t>
        </r>
      </text>
    </comment>
    <comment ref="E145" authorId="0" shapeId="0" xr:uid="{D12C77EF-CBC7-4736-A954-FEEFD8B098A7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Does not tie to ending balance but included as reference</t>
        </r>
      </text>
    </comment>
    <comment ref="F145" authorId="0" shapeId="0" xr:uid="{0D8795DC-5D09-4C52-B8D4-61215D2CDC4E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Does not tie to ending balance but included as reference</t>
        </r>
      </text>
    </comment>
    <comment ref="D146" authorId="0" shapeId="0" xr:uid="{FC504515-8F6B-49FE-BEAD-AF32BAAF02D0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2009 10K pg 73</t>
        </r>
      </text>
    </comment>
    <comment ref="E146" authorId="0" shapeId="0" xr:uid="{DDA42E10-46F0-47AB-9BC3-DBB69788C206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72</t>
        </r>
      </text>
    </comment>
    <comment ref="F146" authorId="0" shapeId="0" xr:uid="{45F31E72-0A9C-437A-9D0A-A008B7CC92FC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72</t>
        </r>
      </text>
    </comment>
    <comment ref="D152" authorId="0" shapeId="0" xr:uid="{E876271E-C406-4A98-8211-86007812B6C8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2009 10K pg 73</t>
        </r>
      </text>
    </comment>
    <comment ref="E152" authorId="0" shapeId="0" xr:uid="{F866FF27-B171-42E8-9B1C-6418F135D3E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72</t>
        </r>
      </text>
    </comment>
    <comment ref="F152" authorId="0" shapeId="0" xr:uid="{595D8A6D-C85F-453D-8CF6-075E3A367C30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72</t>
        </r>
      </text>
    </comment>
    <comment ref="D154" authorId="0" shapeId="0" xr:uid="{242D129D-A7CC-44DF-96D6-99AE61FD671F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2009 10K pg 73</t>
        </r>
      </text>
    </comment>
    <comment ref="E154" authorId="0" shapeId="0" xr:uid="{932A7580-A24C-4DED-BCA6-F1DAD8D52A98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72</t>
        </r>
      </text>
    </comment>
    <comment ref="F154" authorId="0" shapeId="0" xr:uid="{0DE0AB21-6DC1-43C0-8891-26C412308852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72</t>
        </r>
      </text>
    </comment>
    <comment ref="G201" authorId="0" shapeId="0" xr:uid="{313F381B-08F0-40A8-9A39-02B308C850E7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Minimum cash balance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E7" authorId="0" shapeId="0" xr:uid="{2A3FF28F-39B0-4660-984C-0A1411D49BA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88</t>
        </r>
      </text>
    </comment>
    <comment ref="E12" authorId="0" shapeId="0" xr:uid="{A8B2EABF-2AEC-4921-B885-EA48E9BAECC0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100</t>
        </r>
      </text>
    </comment>
    <comment ref="E14" authorId="0" shapeId="0" xr:uid="{10BA3376-8F18-44DE-9AD8-845B8AB3B526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88</t>
        </r>
      </text>
    </comment>
    <comment ref="C21" authorId="0" shapeId="0" xr:uid="{14CF317F-7C41-4C2C-89ED-C58194C3805C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99</t>
        </r>
      </text>
    </comment>
  </commentList>
</comments>
</file>

<file path=xl/sharedStrings.xml><?xml version="1.0" encoding="utf-8"?>
<sst xmlns="http://schemas.openxmlformats.org/spreadsheetml/2006/main" count="421" uniqueCount="168">
  <si>
    <t>x</t>
  </si>
  <si>
    <t>LBO</t>
  </si>
  <si>
    <t>Assumptions</t>
  </si>
  <si>
    <t>Switches</t>
  </si>
  <si>
    <t>Circuit breaker</t>
  </si>
  <si>
    <t>Case</t>
  </si>
  <si>
    <t>Transaction Background</t>
  </si>
  <si>
    <t>Valuation at Entry</t>
  </si>
  <si>
    <t>Company name</t>
  </si>
  <si>
    <t>Ticker</t>
  </si>
  <si>
    <t>Latest closing share price</t>
  </si>
  <si>
    <t>Latest closing share price date</t>
  </si>
  <si>
    <t>Burger King</t>
  </si>
  <si>
    <t>BKC</t>
  </si>
  <si>
    <t>Offer value / share</t>
  </si>
  <si>
    <t>% Premium / discount</t>
  </si>
  <si>
    <t>Offer value (Equity value)</t>
  </si>
  <si>
    <t>Diluted shares outstanding</t>
  </si>
  <si>
    <t>Debt</t>
  </si>
  <si>
    <t>Cash</t>
  </si>
  <si>
    <t>Enterprise Value</t>
  </si>
  <si>
    <t>LTM EBITDA</t>
  </si>
  <si>
    <t>Entry Multiple</t>
  </si>
  <si>
    <t>Transaction Financials and Assumptions</t>
  </si>
  <si>
    <t>Minimum Cash</t>
  </si>
  <si>
    <t>Exit Multiple</t>
  </si>
  <si>
    <t>Capital Structure</t>
  </si>
  <si>
    <t>Secured term loan - USD tranche</t>
  </si>
  <si>
    <t>Secured term loan - EUR tranche</t>
  </si>
  <si>
    <t>Senior notes</t>
  </si>
  <si>
    <t>Amount</t>
  </si>
  <si>
    <t>xEBITDA</t>
  </si>
  <si>
    <t>Interest (%)</t>
  </si>
  <si>
    <t>Fees (%)</t>
  </si>
  <si>
    <t>Fee ($)</t>
  </si>
  <si>
    <t>Term</t>
  </si>
  <si>
    <t>Amortization</t>
  </si>
  <si>
    <t>Total</t>
  </si>
  <si>
    <t>Diluted Share Count Calculation</t>
  </si>
  <si>
    <t>Full Diluted Shares</t>
  </si>
  <si>
    <t>Offer price</t>
  </si>
  <si>
    <t>Basic shares outstanding (latest filing)</t>
  </si>
  <si>
    <t>In-the-money exercisable options</t>
  </si>
  <si>
    <t>Total proceeds ($mm)</t>
  </si>
  <si>
    <t>Total shares repurchased (mm)</t>
  </si>
  <si>
    <t>Net dilutive options</t>
  </si>
  <si>
    <t xml:space="preserve">Dilutive impact of shares from other securities </t>
  </si>
  <si>
    <t>Settled stock based comp</t>
  </si>
  <si>
    <t>Net diluted shares outstanding</t>
  </si>
  <si>
    <t>Options outstanding</t>
  </si>
  <si>
    <t>Outstanding</t>
  </si>
  <si>
    <t>Exercise price</t>
  </si>
  <si>
    <t>Dilutive Shares</t>
  </si>
  <si>
    <t>Sources and Uses</t>
  </si>
  <si>
    <t>Sources</t>
  </si>
  <si>
    <t>Uses</t>
  </si>
  <si>
    <t>Cash on hand</t>
  </si>
  <si>
    <t>Sponsor equity</t>
  </si>
  <si>
    <t>% Capital</t>
  </si>
  <si>
    <t>Equity payment</t>
  </si>
  <si>
    <t>Debt refinancing</t>
  </si>
  <si>
    <t>Transaction fees</t>
  </si>
  <si>
    <t>Financing fees</t>
  </si>
  <si>
    <t>Other</t>
  </si>
  <si>
    <t>Financials (6/30 FYE)</t>
  </si>
  <si>
    <t>Operating Model</t>
  </si>
  <si>
    <t>Revenue</t>
  </si>
  <si>
    <t>% growth</t>
  </si>
  <si>
    <t>COGS</t>
  </si>
  <si>
    <t>% of sales</t>
  </si>
  <si>
    <t>Gross Profit</t>
  </si>
  <si>
    <t>OpEx</t>
  </si>
  <si>
    <t>EBIT</t>
  </si>
  <si>
    <t>EBIT - Conservative</t>
  </si>
  <si>
    <t>EBIT - Management</t>
  </si>
  <si>
    <t>Interest Expense</t>
  </si>
  <si>
    <t>Interest Income</t>
  </si>
  <si>
    <t>EBT</t>
  </si>
  <si>
    <t>Taxes</t>
  </si>
  <si>
    <t>% tax rate</t>
  </si>
  <si>
    <t>Net Income</t>
  </si>
  <si>
    <t>--</t>
  </si>
  <si>
    <t>Revenue growth</t>
  </si>
  <si>
    <t>Gross margin</t>
  </si>
  <si>
    <t>Tax rate</t>
  </si>
  <si>
    <t>IRR (for reference)</t>
  </si>
  <si>
    <t>Step</t>
  </si>
  <si>
    <t>OpEx margin</t>
  </si>
  <si>
    <t>OFF</t>
  </si>
  <si>
    <t>EBITDA Reconciliation</t>
  </si>
  <si>
    <t>D&amp;A</t>
  </si>
  <si>
    <t>Adjustments</t>
  </si>
  <si>
    <t>EBITDA</t>
  </si>
  <si>
    <t>EBITDA - Conservative</t>
  </si>
  <si>
    <t>EBITDA - Management</t>
  </si>
  <si>
    <t>Trade and notes receivable</t>
  </si>
  <si>
    <t>Prepaids and other current assets</t>
  </si>
  <si>
    <t>Accounts and drafts payable</t>
  </si>
  <si>
    <t>Accrued advertising</t>
  </si>
  <si>
    <t>Other accrued liabilities</t>
  </si>
  <si>
    <t>Change in Net Working Capital</t>
  </si>
  <si>
    <t>D&amp;A - Conservative</t>
  </si>
  <si>
    <t>D&amp;A - Management</t>
  </si>
  <si>
    <t>CapEx</t>
  </si>
  <si>
    <t>Mandatory Debt Repayments</t>
  </si>
  <si>
    <t>Debt Schedule</t>
  </si>
  <si>
    <t>Debt Paydown</t>
  </si>
  <si>
    <t>Beginning Balance</t>
  </si>
  <si>
    <t>Inflow / (Outflow)</t>
  </si>
  <si>
    <t>Ending Balance</t>
  </si>
  <si>
    <t>Paydown</t>
  </si>
  <si>
    <t>Total Debt</t>
  </si>
  <si>
    <t>CHECK</t>
  </si>
  <si>
    <t>Interest</t>
  </si>
  <si>
    <t>Interest income rate</t>
  </si>
  <si>
    <t>Interest rate</t>
  </si>
  <si>
    <t>Total interest expense</t>
  </si>
  <si>
    <t>Blended interest rate</t>
  </si>
  <si>
    <t xml:space="preserve">IRR </t>
  </si>
  <si>
    <t>LTM EBITDA at Exit</t>
  </si>
  <si>
    <t>Net Debt</t>
  </si>
  <si>
    <t>Sponsor Equity Value</t>
  </si>
  <si>
    <t>Sponsor Equity at Entry</t>
  </si>
  <si>
    <t>MOIC</t>
  </si>
  <si>
    <t>IRR</t>
  </si>
  <si>
    <t>Net Working Capital</t>
  </si>
  <si>
    <t>.</t>
  </si>
  <si>
    <t>Working Capital</t>
  </si>
  <si>
    <t>Long Lived Assets</t>
  </si>
  <si>
    <t>% of CapEx</t>
  </si>
  <si>
    <t>PP&amp;E</t>
  </si>
  <si>
    <t>Capital Expenditures</t>
  </si>
  <si>
    <t>Depreciation</t>
  </si>
  <si>
    <t>Intangible Assets</t>
  </si>
  <si>
    <t>Purchases / (Impairment)</t>
  </si>
  <si>
    <t>Depreciation of PP&amp;E</t>
  </si>
  <si>
    <t>Goodwill and Other Assets</t>
  </si>
  <si>
    <t>Other Liabilities</t>
  </si>
  <si>
    <t>Cash Flow Statement</t>
  </si>
  <si>
    <t>Changes in Net Working Capital</t>
  </si>
  <si>
    <t>Other Long-Term Assets and Liabilities</t>
  </si>
  <si>
    <t>PIK Interest</t>
  </si>
  <si>
    <t>Cash Flow From Operations</t>
  </si>
  <si>
    <t>Purchases of Intangible Assets</t>
  </si>
  <si>
    <t>Cash Flow From Investing</t>
  </si>
  <si>
    <t>Revolver</t>
  </si>
  <si>
    <t>Post-Revolver Cash Flow</t>
  </si>
  <si>
    <t>Discretionary Payments</t>
  </si>
  <si>
    <t>Net Change in Cash</t>
  </si>
  <si>
    <t>Subordinated Notes</t>
  </si>
  <si>
    <t>PIK</t>
  </si>
  <si>
    <t>Beginning Cash Balance</t>
  </si>
  <si>
    <t>Beginning Excess Cash</t>
  </si>
  <si>
    <t>Free Cash Flow Generated</t>
  </si>
  <si>
    <t>Cash Available to Paydown / (Draw From) Revolver</t>
  </si>
  <si>
    <t>Increase / (Decrease)</t>
  </si>
  <si>
    <t>Maximum Availability</t>
  </si>
  <si>
    <t>Pre-Revolver Cash Flow (Levered Free Cash Flow)</t>
  </si>
  <si>
    <t>Revolver Check</t>
  </si>
  <si>
    <t>Mandatory Paydown</t>
  </si>
  <si>
    <t>Mandatory Paydown (% of Initial Amount)</t>
  </si>
  <si>
    <t>Cash Sweep</t>
  </si>
  <si>
    <t>% of available</t>
  </si>
  <si>
    <t>Paydown From Excess Cash Flows</t>
  </si>
  <si>
    <t>Fix for part 3</t>
  </si>
  <si>
    <t>Subordinate notes</t>
  </si>
  <si>
    <t>Cash Interest rate</t>
  </si>
  <si>
    <t>PIK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</si>
</sst>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m/d/yyyy_)"/>
    <numFmt numFmtId="165" formatCode="#,##0.0_);\(#,##0.0\)"/>
    <numFmt numFmtId="166" formatCode="0.0%"/>
    <numFmt numFmtId="167" formatCode="0\ &quot;yrs&quot;"/>
    <numFmt numFmtId="168" formatCode="#,##0.0_);\(#,##0.0\);@_)"/>
    <numFmt numFmtId="169" formatCode="&quot;Tranche&quot;\ 0"/>
    <numFmt numFmtId="170" formatCode="0&quot;A&quot;"/>
    <numFmt numFmtId="171" formatCode="0&quot;E&quot;"/>
    <numFmt numFmtId="172" formatCode="0.0%_);\(0.0%\);@_)"/>
    <numFmt numFmtId="173" formatCode="0.00%_);\(0.00%\);@_)"/>
    <numFmt numFmtId="174" formatCode="0.0\x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color rgb="FF000000"/>
      <name val="Times New Roman"/>
      <family val="1"/>
    </font>
    <font>
      <i/>
      <sz val="1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0" fillId="0" borderId="0" xfId="0" applyAlignment="1">
      <alignment horizontal="left" indent="1"/>
    </xf>
    <xf numFmtId="9" fontId="0" fillId="0" borderId="0" xfId="1" applyFont="1"/>
    <xf numFmtId="9" fontId="7" fillId="0" borderId="0" xfId="1" applyFont="1"/>
    <xf numFmtId="39" fontId="8" fillId="4" borderId="2" xfId="0" applyNumberFormat="1" applyFont="1" applyFill="1" applyBorder="1" applyAlignment="1">
      <alignment horizontal="right"/>
    </xf>
    <xf numFmtId="164" fontId="8" fillId="4" borderId="2" xfId="0" applyNumberFormat="1" applyFont="1" applyFill="1" applyBorder="1" applyAlignment="1">
      <alignment horizontal="right"/>
    </xf>
    <xf numFmtId="165" fontId="8" fillId="4" borderId="2" xfId="0" applyNumberFormat="1" applyFont="1" applyFill="1" applyBorder="1" applyAlignment="1">
      <alignment horizontal="right"/>
    </xf>
    <xf numFmtId="37" fontId="8" fillId="4" borderId="2" xfId="0" applyNumberFormat="1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37" fontId="8" fillId="0" borderId="0" xfId="0" applyNumberFormat="1" applyFont="1" applyAlignment="1">
      <alignment horizontal="right"/>
    </xf>
    <xf numFmtId="37" fontId="12" fillId="0" borderId="0" xfId="0" applyNumberFormat="1" applyFont="1" applyAlignment="1">
      <alignment horizontal="right"/>
    </xf>
    <xf numFmtId="166" fontId="7" fillId="0" borderId="0" xfId="1" applyNumberFormat="1" applyFont="1"/>
    <xf numFmtId="166" fontId="13" fillId="0" borderId="0" xfId="1" applyNumberFormat="1" applyFont="1"/>
    <xf numFmtId="167" fontId="6" fillId="0" borderId="0" xfId="0" applyNumberFormat="1" applyFont="1"/>
    <xf numFmtId="37" fontId="0" fillId="0" borderId="0" xfId="0" applyNumberFormat="1"/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centerContinuous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left"/>
    </xf>
    <xf numFmtId="0" fontId="15" fillId="0" borderId="0" xfId="0" applyFont="1" applyAlignment="1">
      <alignment horizontal="left"/>
    </xf>
    <xf numFmtId="168" fontId="16" fillId="0" borderId="0" xfId="0" applyNumberFormat="1" applyFont="1"/>
    <xf numFmtId="168" fontId="0" fillId="0" borderId="0" xfId="0" applyNumberFormat="1"/>
    <xf numFmtId="168" fontId="6" fillId="0" borderId="0" xfId="0" applyNumberFormat="1" applyFont="1"/>
    <xf numFmtId="0" fontId="3" fillId="0" borderId="0" xfId="0" applyFont="1" applyAlignment="1">
      <alignment horizontal="left"/>
    </xf>
    <xf numFmtId="165" fontId="0" fillId="0" borderId="0" xfId="0" applyNumberFormat="1"/>
    <xf numFmtId="168" fontId="3" fillId="0" borderId="0" xfId="0" applyNumberFormat="1" applyFont="1"/>
    <xf numFmtId="169" fontId="0" fillId="0" borderId="0" xfId="0" applyNumberFormat="1" applyAlignment="1">
      <alignment horizontal="left"/>
    </xf>
    <xf numFmtId="2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169" fontId="0" fillId="0" borderId="1" xfId="0" applyNumberFormat="1" applyBorder="1" applyAlignment="1">
      <alignment horizontal="left"/>
    </xf>
    <xf numFmtId="165" fontId="8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 indent="1"/>
    </xf>
    <xf numFmtId="0" fontId="3" fillId="5" borderId="3" xfId="0" applyFont="1" applyFill="1" applyBorder="1"/>
    <xf numFmtId="0" fontId="3" fillId="5" borderId="4" xfId="0" applyFont="1" applyFill="1" applyBorder="1"/>
    <xf numFmtId="2" fontId="3" fillId="5" borderId="5" xfId="0" applyNumberFormat="1" applyFont="1" applyFill="1" applyBorder="1" applyAlignment="1">
      <alignment horizontal="right" indent="1"/>
    </xf>
    <xf numFmtId="39" fontId="17" fillId="4" borderId="2" xfId="0" applyNumberFormat="1" applyFont="1" applyFill="1" applyBorder="1" applyAlignment="1">
      <alignment horizontal="right"/>
    </xf>
    <xf numFmtId="39" fontId="0" fillId="0" borderId="0" xfId="0" applyNumberFormat="1"/>
    <xf numFmtId="37" fontId="17" fillId="0" borderId="0" xfId="0" applyNumberFormat="1" applyFont="1" applyAlignment="1">
      <alignment horizontal="right"/>
    </xf>
    <xf numFmtId="37" fontId="14" fillId="0" borderId="0" xfId="0" applyNumberFormat="1" applyFont="1" applyAlignment="1">
      <alignment horizontal="right"/>
    </xf>
    <xf numFmtId="39" fontId="18" fillId="4" borderId="2" xfId="0" applyNumberFormat="1" applyFont="1" applyFill="1" applyBorder="1" applyAlignment="1">
      <alignment horizontal="right"/>
    </xf>
    <xf numFmtId="37" fontId="16" fillId="0" borderId="0" xfId="0" applyNumberFormat="1" applyFont="1" applyAlignment="1">
      <alignment horizontal="right"/>
    </xf>
    <xf numFmtId="37" fontId="3" fillId="0" borderId="0" xfId="0" applyNumberFormat="1" applyFont="1"/>
    <xf numFmtId="37" fontId="12" fillId="0" borderId="0" xfId="0" applyNumberFormat="1" applyFont="1"/>
    <xf numFmtId="37" fontId="16" fillId="0" borderId="0" xfId="0" applyNumberFormat="1" applyFont="1"/>
    <xf numFmtId="37" fontId="6" fillId="0" borderId="0" xfId="0" applyNumberFormat="1" applyFont="1"/>
    <xf numFmtId="170" fontId="2" fillId="3" borderId="0" xfId="0" applyNumberFormat="1" applyFont="1" applyFill="1"/>
    <xf numFmtId="171" fontId="2" fillId="3" borderId="0" xfId="0" applyNumberFormat="1" applyFont="1" applyFill="1"/>
    <xf numFmtId="4" fontId="0" fillId="0" borderId="0" xfId="0" applyNumberFormat="1"/>
    <xf numFmtId="0" fontId="19" fillId="6" borderId="0" xfId="0" applyFont="1" applyFill="1" applyAlignment="1">
      <alignment horizontal="left"/>
    </xf>
    <xf numFmtId="0" fontId="19" fillId="6" borderId="0" xfId="0" applyFont="1" applyFill="1" applyAlignment="1">
      <alignment vertical="center" wrapText="1"/>
    </xf>
    <xf numFmtId="172" fontId="20" fillId="4" borderId="2" xfId="1" applyNumberFormat="1" applyFont="1" applyFill="1" applyBorder="1" applyAlignment="1">
      <alignment horizontal="right"/>
    </xf>
    <xf numFmtId="172" fontId="20" fillId="4" borderId="2" xfId="1" quotePrefix="1" applyNumberFormat="1" applyFont="1" applyFill="1" applyBorder="1" applyAlignment="1">
      <alignment horizontal="right"/>
    </xf>
    <xf numFmtId="172" fontId="21" fillId="0" borderId="0" xfId="0" quotePrefix="1" applyNumberFormat="1" applyFont="1" applyAlignment="1">
      <alignment horizontal="right"/>
    </xf>
    <xf numFmtId="172" fontId="20" fillId="0" borderId="0" xfId="0" quotePrefix="1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 applyAlignment="1">
      <alignment vertical="center" wrapText="1"/>
    </xf>
    <xf numFmtId="172" fontId="22" fillId="4" borderId="2" xfId="1" applyNumberFormat="1" applyFont="1" applyFill="1" applyBorder="1" applyAlignment="1">
      <alignment horizontal="right"/>
    </xf>
    <xf numFmtId="171" fontId="2" fillId="3" borderId="0" xfId="0" applyNumberFormat="1" applyFont="1" applyFill="1" applyAlignment="1">
      <alignment horizontal="center"/>
    </xf>
    <xf numFmtId="173" fontId="20" fillId="4" borderId="2" xfId="1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5" borderId="6" xfId="0" applyFont="1" applyFill="1" applyBorder="1"/>
    <xf numFmtId="0" fontId="3" fillId="5" borderId="7" xfId="0" applyFont="1" applyFill="1" applyBorder="1"/>
    <xf numFmtId="37" fontId="23" fillId="5" borderId="7" xfId="0" applyNumberFormat="1" applyFont="1" applyFill="1" applyBorder="1"/>
    <xf numFmtId="37" fontId="3" fillId="5" borderId="7" xfId="0" applyNumberFormat="1" applyFont="1" applyFill="1" applyBorder="1"/>
    <xf numFmtId="37" fontId="3" fillId="5" borderId="8" xfId="0" applyNumberFormat="1" applyFont="1" applyFill="1" applyBorder="1"/>
    <xf numFmtId="0" fontId="3" fillId="5" borderId="9" xfId="0" applyFont="1" applyFill="1" applyBorder="1" applyAlignment="1">
      <alignment horizontal="left" indent="1"/>
    </xf>
    <xf numFmtId="0" fontId="3" fillId="5" borderId="1" xfId="0" applyFont="1" applyFill="1" applyBorder="1"/>
    <xf numFmtId="172" fontId="24" fillId="5" borderId="1" xfId="0" quotePrefix="1" applyNumberFormat="1" applyFont="1" applyFill="1" applyBorder="1" applyAlignment="1">
      <alignment horizontal="right"/>
    </xf>
    <xf numFmtId="172" fontId="24" fillId="5" borderId="10" xfId="0" quotePrefix="1" applyNumberFormat="1" applyFont="1" applyFill="1" applyBorder="1" applyAlignment="1">
      <alignment horizontal="right"/>
    </xf>
    <xf numFmtId="0" fontId="7" fillId="0" borderId="0" xfId="0" applyFont="1" applyAlignment="1">
      <alignment horizontal="left" indent="1"/>
    </xf>
    <xf numFmtId="0" fontId="25" fillId="5" borderId="9" xfId="0" applyFont="1" applyFill="1" applyBorder="1" applyAlignment="1">
      <alignment horizontal="left" indent="1"/>
    </xf>
    <xf numFmtId="0" fontId="0" fillId="5" borderId="7" xfId="0" applyFill="1" applyBorder="1"/>
    <xf numFmtId="0" fontId="0" fillId="5" borderId="1" xfId="0" applyFill="1" applyBorder="1"/>
    <xf numFmtId="0" fontId="11" fillId="0" borderId="0" xfId="0" applyFont="1"/>
    <xf numFmtId="37" fontId="6" fillId="0" borderId="1" xfId="0" applyNumberFormat="1" applyFont="1" applyBorder="1"/>
    <xf numFmtId="37" fontId="16" fillId="4" borderId="2" xfId="0" applyNumberFormat="1" applyFont="1" applyFill="1" applyBorder="1" applyAlignment="1">
      <alignment horizontal="right"/>
    </xf>
    <xf numFmtId="174" fontId="0" fillId="0" borderId="0" xfId="0" applyNumberFormat="1"/>
    <xf numFmtId="174" fontId="16" fillId="4" borderId="2" xfId="0" applyNumberFormat="1" applyFont="1" applyFill="1" applyBorder="1" applyAlignment="1">
      <alignment horizontal="right"/>
    </xf>
    <xf numFmtId="37" fontId="3" fillId="5" borderId="4" xfId="0" applyNumberFormat="1" applyFont="1" applyFill="1" applyBorder="1"/>
    <xf numFmtId="174" fontId="3" fillId="5" borderId="4" xfId="0" applyNumberFormat="1" applyFont="1" applyFill="1" applyBorder="1"/>
    <xf numFmtId="37" fontId="14" fillId="5" borderId="4" xfId="0" applyNumberFormat="1" applyFont="1" applyFill="1" applyBorder="1" applyAlignment="1">
      <alignment horizontal="right"/>
    </xf>
    <xf numFmtId="37" fontId="14" fillId="5" borderId="5" xfId="0" applyNumberFormat="1" applyFont="1" applyFill="1" applyBorder="1" applyAlignment="1">
      <alignment horizontal="right"/>
    </xf>
    <xf numFmtId="9" fontId="3" fillId="5" borderId="5" xfId="1" applyFont="1" applyFill="1" applyBorder="1"/>
    <xf numFmtId="37" fontId="26" fillId="0" borderId="0" xfId="0" applyNumberFormat="1" applyFont="1"/>
    <xf numFmtId="172" fontId="21" fillId="0" borderId="0" xfId="0" applyNumberFormat="1" applyFont="1"/>
    <xf numFmtId="172" fontId="27" fillId="5" borderId="1" xfId="0" applyNumberFormat="1" applyFont="1" applyFill="1" applyBorder="1"/>
    <xf numFmtId="0" fontId="0" fillId="5" borderId="8" xfId="0" applyFill="1" applyBorder="1"/>
    <xf numFmtId="37" fontId="26" fillId="5" borderId="7" xfId="0" applyNumberFormat="1" applyFont="1" applyFill="1" applyBorder="1"/>
    <xf numFmtId="37" fontId="14" fillId="0" borderId="0" xfId="0" applyNumberFormat="1" applyFont="1"/>
    <xf numFmtId="37" fontId="14" fillId="5" borderId="7" xfId="0" applyNumberFormat="1" applyFont="1" applyFill="1" applyBorder="1"/>
    <xf numFmtId="37" fontId="14" fillId="5" borderId="8" xfId="0" applyNumberFormat="1" applyFont="1" applyFill="1" applyBorder="1"/>
    <xf numFmtId="0" fontId="3" fillId="0" borderId="0" xfId="0" applyFont="1" applyAlignment="1">
      <alignment horizontal="left" indent="1"/>
    </xf>
    <xf numFmtId="0" fontId="11" fillId="5" borderId="6" xfId="0" applyFont="1" applyFill="1" applyBorder="1"/>
    <xf numFmtId="0" fontId="0" fillId="5" borderId="11" xfId="0" applyFill="1" applyBorder="1" applyAlignment="1">
      <alignment horizontal="left" indent="1"/>
    </xf>
    <xf numFmtId="0" fontId="0" fillId="5" borderId="0" xfId="0" applyFill="1"/>
    <xf numFmtId="37" fontId="0" fillId="5" borderId="0" xfId="0" applyNumberFormat="1" applyFill="1"/>
    <xf numFmtId="37" fontId="0" fillId="5" borderId="12" xfId="0" applyNumberFormat="1" applyFill="1" applyBorder="1"/>
    <xf numFmtId="37" fontId="3" fillId="5" borderId="1" xfId="0" applyNumberFormat="1" applyFont="1" applyFill="1" applyBorder="1"/>
    <xf numFmtId="37" fontId="3" fillId="5" borderId="10" xfId="0" applyNumberFormat="1" applyFont="1" applyFill="1" applyBorder="1"/>
    <xf numFmtId="0" fontId="22" fillId="0" borderId="0" xfId="0" applyFont="1"/>
    <xf numFmtId="0" fontId="22" fillId="0" borderId="0" xfId="0" applyFont="1" applyAlignment="1">
      <alignment horizontal="right"/>
    </xf>
    <xf numFmtId="37" fontId="28" fillId="0" borderId="0" xfId="0" applyNumberFormat="1" applyFont="1"/>
    <xf numFmtId="166" fontId="21" fillId="0" borderId="0" xfId="0" applyNumberFormat="1" applyFont="1"/>
    <xf numFmtId="174" fontId="14" fillId="5" borderId="8" xfId="0" applyNumberFormat="1" applyFont="1" applyFill="1" applyBorder="1"/>
    <xf numFmtId="0" fontId="3" fillId="5" borderId="9" xfId="0" applyFont="1" applyFill="1" applyBorder="1"/>
    <xf numFmtId="166" fontId="3" fillId="5" borderId="10" xfId="1" applyNumberFormat="1" applyFont="1" applyFill="1" applyBorder="1"/>
    <xf numFmtId="174" fontId="16" fillId="0" borderId="1" xfId="0" applyNumberFormat="1" applyFont="1" applyBorder="1"/>
    <xf numFmtId="0" fontId="3" fillId="0" borderId="3" xfId="0" applyFont="1" applyBorder="1"/>
    <xf numFmtId="0" fontId="3" fillId="0" borderId="4" xfId="0" applyFont="1" applyBorder="1"/>
    <xf numFmtId="37" fontId="3" fillId="0" borderId="5" xfId="0" applyNumberFormat="1" applyFont="1" applyBorder="1"/>
    <xf numFmtId="166" fontId="3" fillId="0" borderId="0" xfId="0" applyNumberFormat="1" applyFont="1"/>
    <xf numFmtId="172" fontId="0" fillId="0" borderId="0" xfId="0" applyNumberFormat="1"/>
    <xf numFmtId="172" fontId="24" fillId="5" borderId="1" xfId="0" applyNumberFormat="1" applyFont="1" applyFill="1" applyBorder="1"/>
    <xf numFmtId="172" fontId="24" fillId="5" borderId="10" xfId="0" applyNumberFormat="1" applyFont="1" applyFill="1" applyBorder="1"/>
    <xf numFmtId="37" fontId="3" fillId="5" borderId="7" xfId="0" quotePrefix="1" applyNumberFormat="1" applyFont="1" applyFill="1" applyBorder="1" applyAlignment="1">
      <alignment horizontal="right"/>
    </xf>
    <xf numFmtId="172" fontId="22" fillId="0" borderId="0" xfId="0" quotePrefix="1" applyNumberFormat="1" applyFont="1" applyAlignment="1">
      <alignment horizontal="right"/>
    </xf>
    <xf numFmtId="37" fontId="23" fillId="0" borderId="0" xfId="0" applyNumberFormat="1" applyFont="1"/>
    <xf numFmtId="37" fontId="26" fillId="5" borderId="8" xfId="0" applyNumberFormat="1" applyFont="1" applyFill="1" applyBorder="1"/>
    <xf numFmtId="37" fontId="16" fillId="0" borderId="1" xfId="0" applyNumberFormat="1" applyFont="1" applyBorder="1"/>
    <xf numFmtId="0" fontId="29" fillId="0" borderId="0" xfId="0" applyFont="1" applyAlignment="1">
      <alignment horizontal="left" indent="1"/>
    </xf>
    <xf numFmtId="0" fontId="29" fillId="0" borderId="0" xfId="0" applyFont="1"/>
    <xf numFmtId="0" fontId="2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/>
    <xf numFmtId="172" fontId="13" fillId="4" borderId="2" xfId="1" applyNumberFormat="1" applyFont="1" applyFill="1" applyBorder="1" applyAlignment="1">
      <alignment horizontal="right"/>
    </xf>
    <xf numFmtId="9" fontId="25" fillId="5" borderId="1" xfId="1" applyFont="1" applyFill="1" applyBorder="1"/>
    <xf numFmtId="9" fontId="25" fillId="5" borderId="10" xfId="1" applyFont="1" applyFill="1" applyBorder="1"/>
    <xf numFmtId="37" fontId="16" fillId="7" borderId="1" xfId="0" applyNumberFormat="1" applyFont="1" applyFill="1" applyBorder="1"/>
    <xf numFmtId="37" fontId="0" fillId="7" borderId="0" xfId="0" applyNumberFormat="1" applyFill="1"/>
    <xf numFmtId="37" fontId="16" fillId="7" borderId="0" xfId="0" applyNumberFormat="1" applyFont="1" applyFill="1"/>
    <xf numFmtId="0" fontId="0" fillId="5" borderId="4" xfId="0" applyFill="1" applyBorder="1"/>
    <xf numFmtId="37" fontId="3" fillId="5" borderId="5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B51B-E0BB-4FE4-80CA-E4DE97C984FB}">
  <dimension ref="A2:V295"/>
  <sheetViews>
    <sheetView showGridLines="0" topLeftCell="A277" zoomScale="81" zoomScaleNormal="130" workbookViewId="0"/>
  </sheetViews>
  <sheetFormatPr defaultColWidth="15.44140625" defaultRowHeight="14.4" x14ac:dyDescent="0.3"/>
  <cols>
    <col min="1" max="1" width="3.44140625" style="4" customWidth="1"/>
  </cols>
  <sheetData>
    <row r="2" spans="1:11" s="3" customFormat="1" ht="21" x14ac:dyDescent="0.4">
      <c r="A2" s="1"/>
      <c r="B2" s="2" t="s">
        <v>1</v>
      </c>
    </row>
    <row r="4" spans="1:11" x14ac:dyDescent="0.3">
      <c r="A4" s="4" t="s">
        <v>0</v>
      </c>
      <c r="B4" s="5" t="s">
        <v>3</v>
      </c>
      <c r="C4" s="5"/>
      <c r="D4" s="5"/>
      <c r="E4" s="5"/>
      <c r="F4" s="5"/>
      <c r="G4" s="5"/>
      <c r="H4" s="5"/>
      <c r="I4" s="5"/>
      <c r="J4" s="5"/>
      <c r="K4" s="5"/>
    </row>
    <row r="5" spans="1:11" ht="4.95" customHeight="1" x14ac:dyDescent="0.3"/>
    <row r="6" spans="1:11" x14ac:dyDescent="0.3">
      <c r="B6" t="s">
        <v>4</v>
      </c>
      <c r="E6" s="11" t="s">
        <v>88</v>
      </c>
      <c r="I6" s="7" t="s">
        <v>85</v>
      </c>
      <c r="K6" s="118">
        <f ca="1">K295</f>
        <v>0.22147235483098537</v>
      </c>
    </row>
    <row r="7" spans="1:11" x14ac:dyDescent="0.3">
      <c r="B7" t="s">
        <v>5</v>
      </c>
      <c r="E7" s="14">
        <v>2</v>
      </c>
      <c r="F7" s="67" t="str">
        <f>IF(E7=1,"Conservative","Management")</f>
        <v>Management</v>
      </c>
      <c r="I7" s="7" t="s">
        <v>158</v>
      </c>
      <c r="K7" s="130" t="str">
        <f ca="1">G216</f>
        <v>OK</v>
      </c>
    </row>
    <row r="8" spans="1:11" x14ac:dyDescent="0.3">
      <c r="B8" t="s">
        <v>150</v>
      </c>
      <c r="E8" s="14">
        <v>2</v>
      </c>
      <c r="F8" s="67" t="str">
        <f>IF(E8=1,"Cash","PIK")</f>
        <v>PIK</v>
      </c>
      <c r="I8" s="7"/>
      <c r="K8" s="130"/>
    </row>
    <row r="10" spans="1:11" x14ac:dyDescent="0.3">
      <c r="A10" s="4" t="s">
        <v>0</v>
      </c>
      <c r="B10" s="5" t="s">
        <v>2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ht="4.95" customHeight="1" x14ac:dyDescent="0.3"/>
    <row r="12" spans="1:11" x14ac:dyDescent="0.3">
      <c r="B12" s="6" t="s">
        <v>6</v>
      </c>
      <c r="C12" s="6"/>
      <c r="D12" s="6"/>
      <c r="E12" s="6"/>
      <c r="H12" s="6" t="s">
        <v>7</v>
      </c>
      <c r="I12" s="6"/>
      <c r="J12" s="6"/>
      <c r="K12" s="6"/>
    </row>
    <row r="13" spans="1:11" x14ac:dyDescent="0.3">
      <c r="B13" t="s">
        <v>8</v>
      </c>
      <c r="E13" s="11" t="s">
        <v>12</v>
      </c>
      <c r="H13" s="7" t="s">
        <v>14</v>
      </c>
      <c r="K13" s="47">
        <v>24</v>
      </c>
    </row>
    <row r="14" spans="1:11" x14ac:dyDescent="0.3">
      <c r="B14" t="s">
        <v>9</v>
      </c>
      <c r="E14" s="11" t="s">
        <v>13</v>
      </c>
      <c r="H14" s="8" t="s">
        <v>15</v>
      </c>
      <c r="K14" s="10">
        <f>K13/E15-1</f>
        <v>0.27253446447507956</v>
      </c>
    </row>
    <row r="15" spans="1:11" x14ac:dyDescent="0.3">
      <c r="B15" t="s">
        <v>10</v>
      </c>
      <c r="E15" s="11">
        <v>18.86</v>
      </c>
    </row>
    <row r="16" spans="1:11" x14ac:dyDescent="0.3">
      <c r="B16" t="s">
        <v>11</v>
      </c>
      <c r="E16" s="12">
        <v>40422</v>
      </c>
      <c r="H16" s="7" t="s">
        <v>16</v>
      </c>
      <c r="K16" s="46">
        <f>K13*K17</f>
        <v>3325.4354080000003</v>
      </c>
    </row>
    <row r="17" spans="1:12" x14ac:dyDescent="0.3">
      <c r="H17" t="s">
        <v>17</v>
      </c>
      <c r="K17" s="45">
        <f>Shares!E16</f>
        <v>138.55980866666667</v>
      </c>
    </row>
    <row r="19" spans="1:12" x14ac:dyDescent="0.3">
      <c r="B19" s="6" t="s">
        <v>23</v>
      </c>
      <c r="C19" s="6"/>
      <c r="D19" s="6"/>
      <c r="E19" s="6"/>
      <c r="H19" s="8" t="s">
        <v>18</v>
      </c>
      <c r="K19" s="48">
        <f>E21</f>
        <v>755.4</v>
      </c>
    </row>
    <row r="20" spans="1:12" x14ac:dyDescent="0.3">
      <c r="B20" t="s">
        <v>21</v>
      </c>
      <c r="E20" s="83">
        <f>F98</f>
        <v>444.59999999999962</v>
      </c>
      <c r="H20" s="8" t="s">
        <v>19</v>
      </c>
      <c r="K20" s="48">
        <f>E22</f>
        <v>187.6</v>
      </c>
    </row>
    <row r="21" spans="1:12" x14ac:dyDescent="0.3">
      <c r="B21" t="s">
        <v>18</v>
      </c>
      <c r="E21" s="14">
        <f>93.3+667.7-5.6</f>
        <v>755.4</v>
      </c>
    </row>
    <row r="22" spans="1:12" x14ac:dyDescent="0.3">
      <c r="B22" t="s">
        <v>19</v>
      </c>
      <c r="E22" s="14">
        <v>187.6</v>
      </c>
      <c r="H22" s="7" t="s">
        <v>20</v>
      </c>
      <c r="K22" s="49">
        <f>K16+K19-K20</f>
        <v>3893.2354080000005</v>
      </c>
    </row>
    <row r="23" spans="1:12" x14ac:dyDescent="0.3">
      <c r="B23" t="s">
        <v>24</v>
      </c>
      <c r="E23" s="14">
        <f>E22-69.4</f>
        <v>118.19999999999999</v>
      </c>
      <c r="H23" t="s">
        <v>21</v>
      </c>
      <c r="K23" s="48">
        <f>E20</f>
        <v>444.59999999999962</v>
      </c>
    </row>
    <row r="24" spans="1:12" x14ac:dyDescent="0.3">
      <c r="B24" t="s">
        <v>25</v>
      </c>
      <c r="E24" s="85">
        <f>K24</f>
        <v>8.7567148178137728</v>
      </c>
      <c r="H24" s="7" t="s">
        <v>22</v>
      </c>
      <c r="K24" s="84">
        <f>K22/K23</f>
        <v>8.7567148178137728</v>
      </c>
    </row>
    <row r="26" spans="1:12" x14ac:dyDescent="0.3">
      <c r="B26" s="6" t="s">
        <v>26</v>
      </c>
      <c r="C26" s="6"/>
      <c r="D26" s="6"/>
      <c r="E26" s="6"/>
      <c r="F26" s="6"/>
      <c r="G26" s="6"/>
      <c r="H26" s="6"/>
      <c r="I26" s="6"/>
      <c r="J26" s="6"/>
      <c r="K26" s="6"/>
    </row>
    <row r="27" spans="1:12" x14ac:dyDescent="0.3">
      <c r="E27" s="15" t="s">
        <v>30</v>
      </c>
      <c r="F27" s="15" t="s">
        <v>31</v>
      </c>
      <c r="G27" s="15" t="s">
        <v>32</v>
      </c>
      <c r="H27" s="15" t="s">
        <v>33</v>
      </c>
      <c r="I27" s="15" t="s">
        <v>34</v>
      </c>
      <c r="J27" s="15" t="s">
        <v>35</v>
      </c>
      <c r="K27" s="15" t="s">
        <v>36</v>
      </c>
    </row>
    <row r="28" spans="1:12" x14ac:dyDescent="0.3">
      <c r="A28" s="4" t="s">
        <v>126</v>
      </c>
      <c r="B28" t="s">
        <v>145</v>
      </c>
      <c r="E28" s="16">
        <v>0</v>
      </c>
      <c r="F28" s="84">
        <f>E28/$E$20</f>
        <v>0</v>
      </c>
      <c r="G28" s="19">
        <v>4.4999999999999998E-2</v>
      </c>
      <c r="H28" s="19">
        <f>H30</f>
        <v>2.5100000000000001E-2</v>
      </c>
      <c r="I28" s="17">
        <f>E28*H28</f>
        <v>0</v>
      </c>
      <c r="J28" s="20">
        <v>5</v>
      </c>
      <c r="K28" s="17">
        <f>I28/J28</f>
        <v>0</v>
      </c>
    </row>
    <row r="29" spans="1:12" x14ac:dyDescent="0.3">
      <c r="B29" t="s">
        <v>27</v>
      </c>
      <c r="E29" s="16">
        <v>1510</v>
      </c>
      <c r="F29" s="84">
        <f>E29/$E$20</f>
        <v>3.3963112910481361</v>
      </c>
      <c r="G29" s="19">
        <v>6.8199999999999997E-2</v>
      </c>
      <c r="H29" s="19">
        <v>2.7E-2</v>
      </c>
      <c r="I29" s="17">
        <f>E29*H29</f>
        <v>40.769999999999996</v>
      </c>
      <c r="J29" s="20">
        <v>6</v>
      </c>
      <c r="K29" s="17">
        <f>I29/J29</f>
        <v>6.794999999999999</v>
      </c>
    </row>
    <row r="30" spans="1:12" x14ac:dyDescent="0.3">
      <c r="B30" t="s">
        <v>28</v>
      </c>
      <c r="E30" s="16">
        <v>334.2</v>
      </c>
      <c r="F30" s="84">
        <f t="shared" ref="F30:F32" si="0">E30/$E$20</f>
        <v>0.75168690958164708</v>
      </c>
      <c r="G30" s="19">
        <v>7.1099999999999997E-2</v>
      </c>
      <c r="H30" s="19">
        <v>2.5100000000000001E-2</v>
      </c>
      <c r="I30" s="17">
        <f t="shared" ref="I30:I32" si="1">E30*H30</f>
        <v>8.38842</v>
      </c>
      <c r="J30" s="20">
        <v>6</v>
      </c>
      <c r="K30" s="17">
        <f t="shared" ref="K30:K32" si="2">I30/J30</f>
        <v>1.3980699999999999</v>
      </c>
    </row>
    <row r="31" spans="1:12" x14ac:dyDescent="0.3">
      <c r="B31" t="s">
        <v>29</v>
      </c>
      <c r="E31" s="16">
        <v>800</v>
      </c>
      <c r="F31" s="84">
        <f t="shared" si="0"/>
        <v>1.7993702204228534</v>
      </c>
      <c r="G31" s="19">
        <v>0.1019</v>
      </c>
      <c r="H31" s="19">
        <v>2.5100000000000001E-2</v>
      </c>
      <c r="I31" s="17">
        <f t="shared" si="1"/>
        <v>20.080000000000002</v>
      </c>
      <c r="J31" s="20">
        <v>8</v>
      </c>
      <c r="K31" s="17">
        <f t="shared" si="2"/>
        <v>2.5100000000000002</v>
      </c>
      <c r="L31" s="15" t="s">
        <v>150</v>
      </c>
    </row>
    <row r="32" spans="1:12" x14ac:dyDescent="0.3">
      <c r="A32" s="4" t="s">
        <v>126</v>
      </c>
      <c r="B32" t="s">
        <v>149</v>
      </c>
      <c r="E32" s="16">
        <v>100</v>
      </c>
      <c r="F32" s="84">
        <f t="shared" si="0"/>
        <v>0.22492127755285668</v>
      </c>
      <c r="G32" s="19">
        <v>0.1</v>
      </c>
      <c r="H32" s="19">
        <f>H31</f>
        <v>2.5100000000000001E-2</v>
      </c>
      <c r="I32" s="17">
        <f t="shared" si="1"/>
        <v>2.5100000000000002</v>
      </c>
      <c r="J32" s="20">
        <v>5</v>
      </c>
      <c r="K32" s="17">
        <f t="shared" si="2"/>
        <v>0.502</v>
      </c>
      <c r="L32" s="19">
        <v>0.05</v>
      </c>
    </row>
    <row r="33" spans="1:11" ht="4.95" customHeight="1" x14ac:dyDescent="0.3">
      <c r="E33" s="16"/>
      <c r="F33" s="50"/>
      <c r="G33" s="19"/>
      <c r="H33" s="19"/>
      <c r="I33" s="17"/>
      <c r="J33" s="20"/>
      <c r="K33" s="17"/>
    </row>
    <row r="34" spans="1:11" x14ac:dyDescent="0.3">
      <c r="B34" s="40" t="s">
        <v>37</v>
      </c>
      <c r="C34" s="41"/>
      <c r="D34" s="41"/>
      <c r="E34" s="86">
        <f>SUM(E28:E32)</f>
        <v>2744.2</v>
      </c>
      <c r="F34" s="87">
        <f>SUM(F28:F32)</f>
        <v>6.1722896986054936</v>
      </c>
      <c r="G34" s="41"/>
      <c r="H34" s="41"/>
      <c r="I34" s="88">
        <f>SUM(I28:I32)</f>
        <v>71.748419999999996</v>
      </c>
      <c r="J34" s="41"/>
      <c r="K34" s="89">
        <f>SUM(K28:K32)</f>
        <v>11.205069999999999</v>
      </c>
    </row>
    <row r="36" spans="1:11" x14ac:dyDescent="0.3">
      <c r="A36" s="4" t="s">
        <v>0</v>
      </c>
      <c r="B36" s="5" t="s">
        <v>53</v>
      </c>
      <c r="C36" s="5"/>
      <c r="D36" s="5"/>
      <c r="E36" s="5"/>
      <c r="F36" s="5"/>
      <c r="G36" s="5"/>
      <c r="H36" s="5"/>
      <c r="I36" s="5"/>
      <c r="J36" s="5"/>
      <c r="K36" s="5"/>
    </row>
    <row r="37" spans="1:11" ht="4.95" customHeight="1" x14ac:dyDescent="0.3"/>
    <row r="38" spans="1:11" x14ac:dyDescent="0.3">
      <c r="B38" s="6" t="s">
        <v>54</v>
      </c>
      <c r="C38" s="6"/>
      <c r="D38" s="6"/>
      <c r="E38" s="6"/>
      <c r="F38" s="6"/>
      <c r="H38" s="6" t="s">
        <v>55</v>
      </c>
      <c r="I38" s="6"/>
      <c r="J38" s="6"/>
      <c r="K38" s="6"/>
    </row>
    <row r="39" spans="1:11" x14ac:dyDescent="0.3">
      <c r="D39" s="15" t="s">
        <v>30</v>
      </c>
      <c r="E39" s="15" t="s">
        <v>31</v>
      </c>
      <c r="F39" s="15" t="s">
        <v>58</v>
      </c>
      <c r="I39" s="15" t="s">
        <v>30</v>
      </c>
      <c r="J39" s="15" t="s">
        <v>31</v>
      </c>
      <c r="K39" s="15" t="s">
        <v>58</v>
      </c>
    </row>
    <row r="40" spans="1:11" x14ac:dyDescent="0.3">
      <c r="A40" s="4" t="s">
        <v>126</v>
      </c>
      <c r="B40" t="str">
        <f>B28</f>
        <v>Revolver</v>
      </c>
      <c r="D40" s="51">
        <f>E28</f>
        <v>0</v>
      </c>
      <c r="E40" s="84">
        <f>D40/$E$20</f>
        <v>0</v>
      </c>
      <c r="F40" s="9">
        <f t="shared" ref="F40:F46" si="3">D40/$D$48</f>
        <v>0</v>
      </c>
      <c r="I40" s="15"/>
      <c r="J40" s="15"/>
      <c r="K40" s="15"/>
    </row>
    <row r="41" spans="1:11" x14ac:dyDescent="0.3">
      <c r="B41" t="str">
        <f>B29</f>
        <v>Secured term loan - USD tranche</v>
      </c>
      <c r="D41" s="51">
        <f>E29</f>
        <v>1510</v>
      </c>
      <c r="E41" s="84">
        <f>D41/$E$20</f>
        <v>3.3963112910481361</v>
      </c>
      <c r="F41" s="9">
        <f t="shared" si="3"/>
        <v>0.35312468575410827</v>
      </c>
      <c r="H41" t="s">
        <v>59</v>
      </c>
      <c r="I41" s="51">
        <f>K16</f>
        <v>3325.4354080000003</v>
      </c>
      <c r="J41" s="84">
        <f>I41/$E$20</f>
        <v>7.4796118038686528</v>
      </c>
      <c r="K41" s="9">
        <f>I41/$I$48</f>
        <v>0.77767770426859928</v>
      </c>
    </row>
    <row r="42" spans="1:11" x14ac:dyDescent="0.3">
      <c r="B42" t="str">
        <f>B30</f>
        <v>Secured term loan - EUR tranche</v>
      </c>
      <c r="D42" s="51">
        <f>E30</f>
        <v>334.2</v>
      </c>
      <c r="E42" s="84">
        <f t="shared" ref="E42:E46" si="4">D42/$E$20</f>
        <v>0.75168690958164708</v>
      </c>
      <c r="F42" s="9">
        <f t="shared" si="3"/>
        <v>7.8155145681472166E-2</v>
      </c>
      <c r="H42" t="s">
        <v>60</v>
      </c>
      <c r="I42" s="51">
        <f>E21</f>
        <v>755.4</v>
      </c>
      <c r="J42" s="84">
        <f t="shared" ref="J42:J46" si="5">I42/$E$20</f>
        <v>1.6990553306342795</v>
      </c>
      <c r="K42" s="9">
        <f>I42/$I$48</f>
        <v>0.17665588584016778</v>
      </c>
    </row>
    <row r="43" spans="1:11" x14ac:dyDescent="0.3">
      <c r="B43" t="str">
        <f>B31</f>
        <v>Senior notes</v>
      </c>
      <c r="D43" s="51">
        <f>E31</f>
        <v>800</v>
      </c>
      <c r="E43" s="84">
        <f t="shared" si="4"/>
        <v>1.7993702204228534</v>
      </c>
      <c r="F43" s="9">
        <f t="shared" si="3"/>
        <v>0.1870859262273421</v>
      </c>
      <c r="H43" t="s">
        <v>61</v>
      </c>
      <c r="I43" s="52">
        <v>91.2</v>
      </c>
      <c r="J43" s="84">
        <f t="shared" si="5"/>
        <v>0.20512820512820532</v>
      </c>
      <c r="K43" s="9">
        <f>I43/$I$48</f>
        <v>2.1327795589917001E-2</v>
      </c>
    </row>
    <row r="44" spans="1:11" x14ac:dyDescent="0.3">
      <c r="A44" s="4" t="s">
        <v>126</v>
      </c>
      <c r="B44" t="str">
        <f>B32</f>
        <v>Subordinated Notes</v>
      </c>
      <c r="D44" s="51">
        <f>E32</f>
        <v>100</v>
      </c>
      <c r="E44" s="84">
        <f t="shared" si="4"/>
        <v>0.22492127755285668</v>
      </c>
      <c r="F44" s="9">
        <f t="shared" si="3"/>
        <v>2.3385740778417763E-2</v>
      </c>
      <c r="I44" s="52"/>
      <c r="J44" s="84"/>
      <c r="K44" s="9"/>
    </row>
    <row r="45" spans="1:11" x14ac:dyDescent="0.3">
      <c r="B45" t="s">
        <v>56</v>
      </c>
      <c r="D45" s="21">
        <f>E22-E23</f>
        <v>69.400000000000006</v>
      </c>
      <c r="E45" s="84">
        <f t="shared" si="4"/>
        <v>0.15609536662168255</v>
      </c>
      <c r="F45" s="9">
        <f t="shared" si="3"/>
        <v>1.6229704100221929E-2</v>
      </c>
      <c r="H45" t="s">
        <v>62</v>
      </c>
      <c r="I45" s="51">
        <f>I34</f>
        <v>71.748419999999996</v>
      </c>
      <c r="J45" s="84">
        <f t="shared" si="5"/>
        <v>0.16137746288798932</v>
      </c>
      <c r="K45" s="9">
        <f>I45/$I$48</f>
        <v>1.6778899513810445E-2</v>
      </c>
    </row>
    <row r="46" spans="1:11" x14ac:dyDescent="0.3">
      <c r="B46" t="s">
        <v>57</v>
      </c>
      <c r="D46" s="21">
        <f>D48-SUM(D40:D45)</f>
        <v>1462.5100000000007</v>
      </c>
      <c r="E46" s="84">
        <f t="shared" si="4"/>
        <v>3.2894961763382859</v>
      </c>
      <c r="F46" s="9">
        <f t="shared" si="3"/>
        <v>0.34201879745843783</v>
      </c>
      <c r="H46" t="s">
        <v>63</v>
      </c>
      <c r="I46" s="52">
        <v>32.326171999999588</v>
      </c>
      <c r="J46" s="84">
        <f t="shared" si="5"/>
        <v>7.2708439046332923E-2</v>
      </c>
      <c r="K46" s="9">
        <f>I46/$I$48</f>
        <v>7.5597147875053686E-3</v>
      </c>
    </row>
    <row r="47" spans="1:11" ht="4.95" customHeight="1" x14ac:dyDescent="0.3"/>
    <row r="48" spans="1:11" x14ac:dyDescent="0.3">
      <c r="B48" s="40" t="s">
        <v>37</v>
      </c>
      <c r="C48" s="41"/>
      <c r="D48" s="86">
        <f>I48</f>
        <v>4276.1100000000006</v>
      </c>
      <c r="E48" s="87">
        <f>SUM(E40:E46)</f>
        <v>9.6178812415654633</v>
      </c>
      <c r="F48" s="90">
        <f>D48/$D$48</f>
        <v>1</v>
      </c>
      <c r="G48" s="7"/>
      <c r="H48" s="40" t="s">
        <v>37</v>
      </c>
      <c r="I48" s="86">
        <f>SUM(I41:I46)</f>
        <v>4276.1100000000006</v>
      </c>
      <c r="J48" s="87">
        <f>SUM(J41:J46)</f>
        <v>9.6178812415654598</v>
      </c>
      <c r="K48" s="90">
        <f>SUM(K41:K46)</f>
        <v>0.99999999999999989</v>
      </c>
    </row>
    <row r="50" spans="1:13" x14ac:dyDescent="0.3">
      <c r="A50" s="4" t="s">
        <v>0</v>
      </c>
      <c r="B50" s="5" t="s">
        <v>64</v>
      </c>
      <c r="C50" s="5"/>
      <c r="D50" s="5"/>
      <c r="E50" s="5"/>
      <c r="F50" s="5"/>
      <c r="G50" s="5"/>
      <c r="H50" s="5"/>
      <c r="I50" s="5"/>
      <c r="J50" s="5"/>
      <c r="K50" s="5"/>
    </row>
    <row r="51" spans="1:13" ht="4.95" customHeight="1" x14ac:dyDescent="0.3"/>
    <row r="52" spans="1:13" x14ac:dyDescent="0.3">
      <c r="B52" s="6" t="s">
        <v>2</v>
      </c>
      <c r="C52" s="6"/>
      <c r="D52" s="53">
        <v>2008</v>
      </c>
      <c r="E52" s="53">
        <f>D52+1</f>
        <v>2009</v>
      </c>
      <c r="F52" s="53">
        <f t="shared" ref="F52:K52" si="6">E52+1</f>
        <v>2010</v>
      </c>
      <c r="G52" s="54">
        <f t="shared" si="6"/>
        <v>2011</v>
      </c>
      <c r="H52" s="54">
        <f t="shared" si="6"/>
        <v>2012</v>
      </c>
      <c r="I52" s="54">
        <f t="shared" si="6"/>
        <v>2013</v>
      </c>
      <c r="J52" s="54">
        <f t="shared" si="6"/>
        <v>2014</v>
      </c>
      <c r="K52" s="54">
        <f t="shared" si="6"/>
        <v>2015</v>
      </c>
      <c r="M52" s="65" t="s">
        <v>86</v>
      </c>
    </row>
    <row r="53" spans="1:13" ht="4.95" customHeight="1" x14ac:dyDescent="0.3"/>
    <row r="54" spans="1:13" x14ac:dyDescent="0.3">
      <c r="B54" t="s">
        <v>82</v>
      </c>
      <c r="D54" s="59" t="s">
        <v>81</v>
      </c>
      <c r="E54" s="58">
        <f>E61/D61-1</f>
        <v>3.3690471340693584E-2</v>
      </c>
      <c r="F54" s="58">
        <f>F61/E61-1</f>
        <v>-1.3872467880507666E-2</v>
      </c>
      <c r="G54" s="58">
        <f t="shared" ref="G54:K54" si="7">G61/F61-1</f>
        <v>2.8694748621213462E-2</v>
      </c>
      <c r="H54" s="58">
        <f t="shared" si="7"/>
        <v>-0.18337218337218342</v>
      </c>
      <c r="I54" s="58">
        <f t="shared" si="7"/>
        <v>-0.10371075166508092</v>
      </c>
      <c r="J54" s="58">
        <f t="shared" si="7"/>
        <v>1.3800424628450214E-2</v>
      </c>
      <c r="K54" s="58">
        <f t="shared" si="7"/>
        <v>5.9685863874345602E-2</v>
      </c>
      <c r="M54" s="66">
        <v>0</v>
      </c>
    </row>
    <row r="55" spans="1:13" x14ac:dyDescent="0.3">
      <c r="B55" t="s">
        <v>83</v>
      </c>
      <c r="D55" s="58">
        <f>D67/D$61</f>
        <v>0.37344685704974129</v>
      </c>
      <c r="E55" s="58">
        <f t="shared" ref="E55:F55" si="8">E67/E$61</f>
        <v>0.35221092456845593</v>
      </c>
      <c r="F55" s="58">
        <f t="shared" si="8"/>
        <v>0.35464790983934136</v>
      </c>
      <c r="G55" s="64">
        <f>F55</f>
        <v>0.35464790983934136</v>
      </c>
      <c r="H55" s="58">
        <f>G55+$M$55</f>
        <v>0.37214790983934137</v>
      </c>
      <c r="I55" s="58">
        <f t="shared" ref="I55:K55" si="9">H55+$M$55</f>
        <v>0.38964790983934139</v>
      </c>
      <c r="J55" s="58">
        <f t="shared" si="9"/>
        <v>0.4071479098393414</v>
      </c>
      <c r="K55" s="58">
        <f t="shared" si="9"/>
        <v>0.42464790983934142</v>
      </c>
      <c r="M55" s="66">
        <v>1.7500000000000002E-2</v>
      </c>
    </row>
    <row r="56" spans="1:13" x14ac:dyDescent="0.3">
      <c r="B56" t="s">
        <v>87</v>
      </c>
      <c r="D56" s="58">
        <f>D70/D$61</f>
        <v>0.22915223856275718</v>
      </c>
      <c r="E56" s="58">
        <f t="shared" ref="E56:F56" si="10">E70/E$61</f>
        <v>0.2184519586978797</v>
      </c>
      <c r="F56" s="58">
        <f t="shared" si="10"/>
        <v>0.22160498761090253</v>
      </c>
      <c r="G56" s="64">
        <f>F56</f>
        <v>0.22160498761090253</v>
      </c>
      <c r="H56" s="58">
        <f>G56-$M$56</f>
        <v>0.19960498761090253</v>
      </c>
      <c r="I56" s="58">
        <f t="shared" ref="I56:K56" si="11">H56-$M$56</f>
        <v>0.17760498761090254</v>
      </c>
      <c r="J56" s="58">
        <f t="shared" si="11"/>
        <v>0.15560498761090255</v>
      </c>
      <c r="K56" s="58">
        <f t="shared" si="11"/>
        <v>0.13360498761090256</v>
      </c>
      <c r="M56" s="66">
        <v>2.1999999999999999E-2</v>
      </c>
    </row>
    <row r="57" spans="1:13" x14ac:dyDescent="0.3">
      <c r="B57" t="s">
        <v>84</v>
      </c>
      <c r="D57" s="58">
        <f>D88/D85</f>
        <v>0.35290102389078526</v>
      </c>
      <c r="E57" s="58">
        <f t="shared" ref="E57:F57" si="12">E88/E85</f>
        <v>0.29740168539325834</v>
      </c>
      <c r="F57" s="58">
        <f t="shared" si="12"/>
        <v>0.34294759057333851</v>
      </c>
      <c r="G57" s="58">
        <f>F57-$M$57</f>
        <v>0.33794759057333851</v>
      </c>
      <c r="H57" s="58">
        <f t="shared" ref="H57:K57" si="13">G57-$M$57</f>
        <v>0.3329475905733385</v>
      </c>
      <c r="I57" s="58">
        <f t="shared" si="13"/>
        <v>0.3279475905733385</v>
      </c>
      <c r="J57" s="58">
        <f t="shared" si="13"/>
        <v>0.32294759057333849</v>
      </c>
      <c r="K57" s="58">
        <f t="shared" si="13"/>
        <v>0.31794759057333849</v>
      </c>
      <c r="M57" s="66">
        <v>5.0000000000000001E-3</v>
      </c>
    </row>
    <row r="59" spans="1:13" x14ac:dyDescent="0.3">
      <c r="A59" s="4" t="s">
        <v>0</v>
      </c>
      <c r="B59" s="6" t="s">
        <v>65</v>
      </c>
      <c r="C59" s="6"/>
      <c r="D59" s="53">
        <v>2008</v>
      </c>
      <c r="E59" s="53">
        <f>D59+1</f>
        <v>2009</v>
      </c>
      <c r="F59" s="53">
        <f t="shared" ref="F59:K59" si="14">E59+1</f>
        <v>2010</v>
      </c>
      <c r="G59" s="54">
        <f t="shared" si="14"/>
        <v>2011</v>
      </c>
      <c r="H59" s="54">
        <f t="shared" si="14"/>
        <v>2012</v>
      </c>
      <c r="I59" s="54">
        <f t="shared" si="14"/>
        <v>2013</v>
      </c>
      <c r="J59" s="54">
        <f t="shared" si="14"/>
        <v>2014</v>
      </c>
      <c r="K59" s="54">
        <f t="shared" si="14"/>
        <v>2015</v>
      </c>
    </row>
    <row r="60" spans="1:13" ht="4.95" customHeight="1" x14ac:dyDescent="0.3"/>
    <row r="61" spans="1:13" x14ac:dyDescent="0.3">
      <c r="B61" t="s">
        <v>66</v>
      </c>
      <c r="D61" s="52">
        <v>2454.6999999999998</v>
      </c>
      <c r="E61" s="52">
        <v>2537.4</v>
      </c>
      <c r="F61" s="52">
        <v>2502.1999999999998</v>
      </c>
      <c r="G61" s="52">
        <v>2574</v>
      </c>
      <c r="H61" s="52">
        <v>2102</v>
      </c>
      <c r="I61" s="52">
        <v>1884</v>
      </c>
      <c r="J61" s="52">
        <v>1910</v>
      </c>
      <c r="K61" s="52">
        <v>2024</v>
      </c>
    </row>
    <row r="62" spans="1:13" x14ac:dyDescent="0.3">
      <c r="B62" s="77" t="s">
        <v>67</v>
      </c>
      <c r="D62" s="60" t="str">
        <f>D54</f>
        <v>--</v>
      </c>
      <c r="E62" s="60">
        <f t="shared" ref="E62:K62" si="15">E54</f>
        <v>3.3690471340693584E-2</v>
      </c>
      <c r="F62" s="60">
        <f t="shared" si="15"/>
        <v>-1.3872467880507666E-2</v>
      </c>
      <c r="G62" s="60">
        <f t="shared" si="15"/>
        <v>2.8694748621213462E-2</v>
      </c>
      <c r="H62" s="60">
        <f t="shared" si="15"/>
        <v>-0.18337218337218342</v>
      </c>
      <c r="I62" s="60">
        <f t="shared" si="15"/>
        <v>-0.10371075166508092</v>
      </c>
      <c r="J62" s="60">
        <f t="shared" si="15"/>
        <v>1.3800424628450214E-2</v>
      </c>
      <c r="K62" s="60">
        <f t="shared" si="15"/>
        <v>5.9685863874345602E-2</v>
      </c>
    </row>
    <row r="64" spans="1:13" x14ac:dyDescent="0.3">
      <c r="B64" t="s">
        <v>68</v>
      </c>
      <c r="D64" s="52">
        <v>1538</v>
      </c>
      <c r="E64" s="52">
        <v>1643.7</v>
      </c>
      <c r="F64" s="52">
        <v>1614.8</v>
      </c>
      <c r="G64" s="17" t="str">
        <f>IF(CASE=2,"--",G61-G67)</f>
        <v>--</v>
      </c>
      <c r="H64" s="17" t="str">
        <f>IF(CASE=2,"--",H61-H67)</f>
        <v>--</v>
      </c>
      <c r="I64" s="17" t="str">
        <f>IF(CASE=2,"--",I61-I67)</f>
        <v>--</v>
      </c>
      <c r="J64" s="17" t="str">
        <f>IF(CASE=2,"--",J61-J67)</f>
        <v>--</v>
      </c>
      <c r="K64" s="17" t="str">
        <f>IF(CASE=2,"--",K61-K67)</f>
        <v>--</v>
      </c>
    </row>
    <row r="65" spans="2:22" x14ac:dyDescent="0.3">
      <c r="B65" s="77" t="s">
        <v>69</v>
      </c>
      <c r="D65" s="61">
        <f>D64/D$61</f>
        <v>0.62655314295025877</v>
      </c>
      <c r="E65" s="61">
        <f t="shared" ref="E65:F65" si="16">E64/E$61</f>
        <v>0.64778907543154407</v>
      </c>
      <c r="F65" s="61">
        <f t="shared" si="16"/>
        <v>0.64535209016065864</v>
      </c>
      <c r="G65" s="61" t="str">
        <f>IF(CASE=2,"--",G64/G$61)</f>
        <v>--</v>
      </c>
      <c r="H65" s="61" t="str">
        <f>IF(CASE=2,"--",H64/H$61)</f>
        <v>--</v>
      </c>
      <c r="I65" s="61" t="str">
        <f>IF(CASE=2,"--",I64/I$61)</f>
        <v>--</v>
      </c>
      <c r="J65" s="61" t="str">
        <f>IF(CASE=2,"--",J64/J$61)</f>
        <v>--</v>
      </c>
      <c r="K65" s="61" t="str">
        <f>IF(CASE=2,"--",K64/K$61)</f>
        <v>--</v>
      </c>
    </row>
    <row r="67" spans="2:22" x14ac:dyDescent="0.3">
      <c r="B67" t="s">
        <v>70</v>
      </c>
      <c r="D67" s="52">
        <f>D61-D64</f>
        <v>916.69999999999982</v>
      </c>
      <c r="E67" s="52">
        <f t="shared" ref="E67:F67" si="17">E61-E64</f>
        <v>893.7</v>
      </c>
      <c r="F67" s="52">
        <f t="shared" si="17"/>
        <v>887.39999999999986</v>
      </c>
      <c r="G67" s="17" t="str">
        <f>IF(CASE=2,"--",G68*G61)</f>
        <v>--</v>
      </c>
      <c r="H67" s="17" t="str">
        <f>IF(CASE=2,"--",H68*H61)</f>
        <v>--</v>
      </c>
      <c r="I67" s="17" t="str">
        <f>IF(CASE=2,"--",I68*I61)</f>
        <v>--</v>
      </c>
      <c r="J67" s="17" t="str">
        <f>IF(CASE=2,"--",J68*J61)</f>
        <v>--</v>
      </c>
      <c r="K67" s="17" t="str">
        <f>IF(CASE=2,"--",K68*K61)</f>
        <v>--</v>
      </c>
    </row>
    <row r="68" spans="2:22" x14ac:dyDescent="0.3">
      <c r="B68" s="77" t="s">
        <v>69</v>
      </c>
      <c r="D68" s="60">
        <f>D55</f>
        <v>0.37344685704974129</v>
      </c>
      <c r="E68" s="60">
        <f>E55</f>
        <v>0.35221092456845593</v>
      </c>
      <c r="F68" s="60">
        <f>F55</f>
        <v>0.35464790983934136</v>
      </c>
      <c r="G68" s="60" t="str">
        <f>IF(CASE=2,"--",G55)</f>
        <v>--</v>
      </c>
      <c r="H68" s="60" t="str">
        <f>IF(CASE=2,"--",H55)</f>
        <v>--</v>
      </c>
      <c r="I68" s="60" t="str">
        <f>IF(CASE=2,"--",I55)</f>
        <v>--</v>
      </c>
      <c r="J68" s="60" t="str">
        <f>IF(CASE=2,"--",J55)</f>
        <v>--</v>
      </c>
      <c r="K68" s="60" t="str">
        <f>IF(CASE=2,"--",K55)</f>
        <v>--</v>
      </c>
    </row>
    <row r="70" spans="2:22" x14ac:dyDescent="0.3">
      <c r="B70" t="s">
        <v>71</v>
      </c>
      <c r="D70" s="52">
        <v>562.5</v>
      </c>
      <c r="E70" s="52">
        <v>554.29999999999995</v>
      </c>
      <c r="F70" s="52">
        <v>554.50000000000023</v>
      </c>
      <c r="G70" s="17" t="str">
        <f>IF(CASE=2,"--",G71*G61)</f>
        <v>--</v>
      </c>
      <c r="H70" s="17" t="str">
        <f>IF(CASE=2,"--",H71*H61)</f>
        <v>--</v>
      </c>
      <c r="I70" s="17" t="str">
        <f>IF(CASE=2,"--",I71*I61)</f>
        <v>--</v>
      </c>
      <c r="J70" s="17" t="str">
        <f>IF(CASE=2,"--",J71*J61)</f>
        <v>--</v>
      </c>
      <c r="K70" s="17" t="str">
        <f>IF(CASE=2,"--",K71*K61)</f>
        <v>--</v>
      </c>
    </row>
    <row r="71" spans="2:22" ht="14.55" customHeight="1" x14ac:dyDescent="0.3">
      <c r="B71" s="77" t="s">
        <v>69</v>
      </c>
      <c r="D71" s="60">
        <f>D56</f>
        <v>0.22915223856275718</v>
      </c>
      <c r="E71" s="60">
        <f t="shared" ref="E71:F71" si="18">E56</f>
        <v>0.2184519586978797</v>
      </c>
      <c r="F71" s="60">
        <f t="shared" si="18"/>
        <v>0.22160498761090253</v>
      </c>
      <c r="G71" s="60" t="str">
        <f>IF(CASE=2,"--",G56)</f>
        <v>--</v>
      </c>
      <c r="H71" s="60" t="str">
        <f>IF(CASE=2,"--",H56)</f>
        <v>--</v>
      </c>
      <c r="I71" s="60" t="str">
        <f>IF(CASE=2,"--",I56)</f>
        <v>--</v>
      </c>
      <c r="J71" s="60" t="str">
        <f>IF(CASE=2,"--",J56)</f>
        <v>--</v>
      </c>
      <c r="K71" s="60" t="str">
        <f>IF(CASE=2,"--",K56)</f>
        <v>--</v>
      </c>
    </row>
    <row r="72" spans="2:22" x14ac:dyDescent="0.3">
      <c r="D72" s="55"/>
      <c r="E72" s="55"/>
      <c r="F72" s="55"/>
      <c r="G72" s="21"/>
    </row>
    <row r="73" spans="2:22" x14ac:dyDescent="0.3">
      <c r="B73" s="68" t="s">
        <v>72</v>
      </c>
      <c r="C73" s="69"/>
      <c r="D73" s="70">
        <f>D67-D70</f>
        <v>354.19999999999982</v>
      </c>
      <c r="E73" s="70">
        <f t="shared" ref="E73:F73" si="19">E67-E70</f>
        <v>339.40000000000009</v>
      </c>
      <c r="F73" s="70">
        <f t="shared" si="19"/>
        <v>332.89999999999964</v>
      </c>
      <c r="G73" s="71">
        <f>CHOOSE(CASE,G76,G79)</f>
        <v>351</v>
      </c>
      <c r="H73" s="71">
        <f>CHOOSE(CASE,H76,H79)</f>
        <v>426</v>
      </c>
      <c r="I73" s="71">
        <f>CHOOSE(CASE,I76,I79)</f>
        <v>465</v>
      </c>
      <c r="J73" s="71">
        <f>CHOOSE(CASE,J76,J79)</f>
        <v>528</v>
      </c>
      <c r="K73" s="72">
        <f>CHOOSE(CASE,K76,K79)</f>
        <v>589</v>
      </c>
    </row>
    <row r="74" spans="2:22" x14ac:dyDescent="0.3">
      <c r="B74" s="78" t="s">
        <v>69</v>
      </c>
      <c r="C74" s="74"/>
      <c r="D74" s="75">
        <f>D73/D$61</f>
        <v>0.14429461848698408</v>
      </c>
      <c r="E74" s="75">
        <f t="shared" ref="E74" si="20">E73/E$61</f>
        <v>0.1337589658705762</v>
      </c>
      <c r="F74" s="75">
        <f t="shared" ref="F74" si="21">F73/F$61</f>
        <v>0.13304292222843883</v>
      </c>
      <c r="G74" s="75">
        <f t="shared" ref="G74" si="22">G73/G$61</f>
        <v>0.13636363636363635</v>
      </c>
      <c r="H74" s="75">
        <f t="shared" ref="H74" si="23">H73/H$61</f>
        <v>0.20266412940057088</v>
      </c>
      <c r="I74" s="75">
        <f t="shared" ref="I74" si="24">I73/I$61</f>
        <v>0.24681528662420382</v>
      </c>
      <c r="J74" s="75">
        <f t="shared" ref="J74" si="25">J73/J$61</f>
        <v>0.27643979057591622</v>
      </c>
      <c r="K74" s="76">
        <f t="shared" ref="K74" si="26">K73/K$61</f>
        <v>0.29100790513833991</v>
      </c>
    </row>
    <row r="76" spans="2:22" x14ac:dyDescent="0.3">
      <c r="B76" t="s">
        <v>73</v>
      </c>
      <c r="G76" s="21">
        <f ca="1">IF(CASE=1,G67-G70,G76)</f>
        <v>342.45248181600164</v>
      </c>
      <c r="H76" s="21">
        <f ca="1">IF(CASE=1,H67-H70,H76)</f>
        <v>362.68522252417847</v>
      </c>
      <c r="I76" s="21">
        <f ca="1">IF(CASE=1,I67-I70,I76)</f>
        <v>399.48886547837878</v>
      </c>
      <c r="J76" s="21">
        <f ca="1">IF(CASE=1,J67-J70,J76)</f>
        <v>480.44698145631816</v>
      </c>
      <c r="K76" s="21">
        <f ca="1">IF(CASE=1,K67-K70,K76)</f>
        <v>589.07087459036029</v>
      </c>
    </row>
    <row r="77" spans="2:22" x14ac:dyDescent="0.3">
      <c r="B77" s="77" t="s">
        <v>69</v>
      </c>
      <c r="G77" s="61">
        <f t="shared" ref="G77" ca="1" si="27">G76/G$61</f>
        <v>0.13304292222843886</v>
      </c>
      <c r="H77" s="61">
        <f t="shared" ref="H77" ca="1" si="28">H76/H$61</f>
        <v>0.17254292222843887</v>
      </c>
      <c r="I77" s="61">
        <f t="shared" ref="I77" ca="1" si="29">I76/I$61</f>
        <v>0.21204292222843885</v>
      </c>
      <c r="J77" s="61">
        <f t="shared" ref="J77" ca="1" si="30">J76/J$61</f>
        <v>0.25154292222843883</v>
      </c>
      <c r="K77" s="61">
        <f t="shared" ref="K77" ca="1" si="31">K76/K$61</f>
        <v>0.29104292222843886</v>
      </c>
    </row>
    <row r="79" spans="2:22" x14ac:dyDescent="0.3">
      <c r="B79" t="s">
        <v>74</v>
      </c>
      <c r="G79" s="52">
        <v>351</v>
      </c>
      <c r="H79" s="52">
        <v>426</v>
      </c>
      <c r="I79" s="52">
        <v>465</v>
      </c>
      <c r="J79" s="52">
        <v>528</v>
      </c>
      <c r="K79" s="52">
        <v>589</v>
      </c>
      <c r="L79" s="62"/>
      <c r="M79" s="63"/>
      <c r="N79" s="62"/>
      <c r="P79" s="62"/>
      <c r="Q79" s="63"/>
      <c r="R79" s="62"/>
      <c r="T79" s="62"/>
      <c r="U79" s="63"/>
      <c r="V79" s="62"/>
    </row>
    <row r="80" spans="2:22" x14ac:dyDescent="0.3">
      <c r="B80" s="77" t="s">
        <v>69</v>
      </c>
      <c r="G80" s="61">
        <f t="shared" ref="G80" si="32">G79/G$61</f>
        <v>0.13636363636363635</v>
      </c>
      <c r="H80" s="61">
        <f t="shared" ref="H80" si="33">H79/H$61</f>
        <v>0.20266412940057088</v>
      </c>
      <c r="I80" s="61">
        <f t="shared" ref="I80" si="34">I79/I$61</f>
        <v>0.24681528662420382</v>
      </c>
      <c r="J80" s="61">
        <f t="shared" ref="J80" si="35">J79/J$61</f>
        <v>0.27643979057591622</v>
      </c>
      <c r="K80" s="61">
        <f t="shared" ref="K80" si="36">K79/K$61</f>
        <v>0.29100790513833991</v>
      </c>
    </row>
    <row r="82" spans="2:11" x14ac:dyDescent="0.3">
      <c r="B82" t="s">
        <v>75</v>
      </c>
      <c r="D82" s="52">
        <v>67.099999999999994</v>
      </c>
      <c r="E82" s="52">
        <v>57.3</v>
      </c>
      <c r="F82" s="52">
        <v>49.6</v>
      </c>
      <c r="G82" s="51">
        <f ca="1">G281</f>
        <v>212.39150789535611</v>
      </c>
      <c r="H82" s="51">
        <f ca="1">H281</f>
        <v>209.69616616728376</v>
      </c>
      <c r="I82" s="51">
        <f t="shared" ref="I82:K82" ca="1" si="37">I281</f>
        <v>203.43028955385239</v>
      </c>
      <c r="J82" s="51">
        <f t="shared" ca="1" si="37"/>
        <v>191.87022004972803</v>
      </c>
      <c r="K82" s="51">
        <f t="shared" ca="1" si="37"/>
        <v>172.51018393021226</v>
      </c>
    </row>
    <row r="83" spans="2:11" x14ac:dyDescent="0.3">
      <c r="B83" t="s">
        <v>76</v>
      </c>
      <c r="D83" s="52">
        <v>5.9</v>
      </c>
      <c r="E83" s="52">
        <v>2.7</v>
      </c>
      <c r="F83" s="52">
        <v>1</v>
      </c>
      <c r="G83" s="51">
        <f ca="1">G260</f>
        <v>0.63006396588486135</v>
      </c>
      <c r="H83" s="51">
        <f t="shared" ref="H83:K83" ca="1" si="38">H260</f>
        <v>0.63006396588486135</v>
      </c>
      <c r="I83" s="51">
        <f t="shared" ca="1" si="38"/>
        <v>0.63006396588486135</v>
      </c>
      <c r="J83" s="51">
        <f t="shared" ca="1" si="38"/>
        <v>0.63006396588486135</v>
      </c>
      <c r="K83" s="51">
        <f t="shared" ca="1" si="38"/>
        <v>0.63006396588486135</v>
      </c>
    </row>
    <row r="85" spans="2:11" x14ac:dyDescent="0.3">
      <c r="B85" t="s">
        <v>77</v>
      </c>
      <c r="D85" s="21">
        <f>D73-D82+D83</f>
        <v>292.99999999999977</v>
      </c>
      <c r="E85" s="21">
        <f t="shared" ref="E85:F85" si="39">E73-E82+E83</f>
        <v>284.80000000000007</v>
      </c>
      <c r="F85" s="21">
        <f t="shared" si="39"/>
        <v>284.29999999999961</v>
      </c>
      <c r="G85" s="21">
        <f ca="1">G73-G82+G83</f>
        <v>139.23855607052874</v>
      </c>
      <c r="H85" s="21">
        <f t="shared" ref="H85:K85" ca="1" si="40">H73-H82+H83</f>
        <v>216.93389779860109</v>
      </c>
      <c r="I85" s="21">
        <f t="shared" ca="1" si="40"/>
        <v>262.19977441203247</v>
      </c>
      <c r="J85" s="21">
        <f t="shared" ca="1" si="40"/>
        <v>336.75984391615685</v>
      </c>
      <c r="K85" s="21">
        <f t="shared" ca="1" si="40"/>
        <v>417.11988003567257</v>
      </c>
    </row>
    <row r="86" spans="2:11" x14ac:dyDescent="0.3">
      <c r="B86" s="77" t="s">
        <v>69</v>
      </c>
      <c r="D86" s="61">
        <f>D85/D$61</f>
        <v>0.11936285493135609</v>
      </c>
      <c r="E86" s="61">
        <f t="shared" ref="E86" si="41">E85/E$61</f>
        <v>0.11224087648774338</v>
      </c>
      <c r="F86" s="61">
        <f t="shared" ref="F86:G86" si="42">F85/F$61</f>
        <v>0.113620014387339</v>
      </c>
      <c r="G86" s="61">
        <f t="shared" ca="1" si="42"/>
        <v>5.4094233127633548E-2</v>
      </c>
      <c r="H86" s="61">
        <f t="shared" ref="H86" ca="1" si="43">H85/H$61</f>
        <v>0.10320356698315941</v>
      </c>
      <c r="I86" s="61">
        <f t="shared" ref="I86" ca="1" si="44">I85/I$61</f>
        <v>0.13917185478345673</v>
      </c>
      <c r="J86" s="61">
        <f t="shared" ref="J86" ca="1" si="45">J85/J$61</f>
        <v>0.17631405440636486</v>
      </c>
      <c r="K86" s="61">
        <f t="shared" ref="K86" ca="1" si="46">K85/K$61</f>
        <v>0.20608689725082638</v>
      </c>
    </row>
    <row r="88" spans="2:11" x14ac:dyDescent="0.3">
      <c r="B88" t="s">
        <v>78</v>
      </c>
      <c r="D88" s="52">
        <v>103.4</v>
      </c>
      <c r="E88" s="52">
        <v>84.7</v>
      </c>
      <c r="F88" s="52">
        <v>97.5</v>
      </c>
      <c r="G88" s="21">
        <f ca="1">G85*G89</f>
        <v>47.055334538945885</v>
      </c>
      <c r="H88" s="21">
        <f t="shared" ref="H88:K88" ca="1" si="47">H85*H89</f>
        <v>72.2276185857271</v>
      </c>
      <c r="I88" s="21">
        <f t="shared" ca="1" si="47"/>
        <v>85.987784267298935</v>
      </c>
      <c r="J88" s="21">
        <f t="shared" ca="1" si="47"/>
        <v>108.7557801945764</v>
      </c>
      <c r="K88" s="21">
        <f t="shared" ca="1" si="47"/>
        <v>132.62226083758208</v>
      </c>
    </row>
    <row r="89" spans="2:11" x14ac:dyDescent="0.3">
      <c r="B89" s="77" t="s">
        <v>79</v>
      </c>
      <c r="D89" s="60">
        <f>D57</f>
        <v>0.35290102389078526</v>
      </c>
      <c r="E89" s="60">
        <f>E57</f>
        <v>0.29740168539325834</v>
      </c>
      <c r="F89" s="60">
        <f>F57</f>
        <v>0.34294759057333851</v>
      </c>
      <c r="G89" s="60">
        <f>G57</f>
        <v>0.33794759057333851</v>
      </c>
      <c r="H89" s="60">
        <f t="shared" ref="H89:K89" si="48">H57</f>
        <v>0.3329475905733385</v>
      </c>
      <c r="I89" s="60">
        <f t="shared" si="48"/>
        <v>0.3279475905733385</v>
      </c>
      <c r="J89" s="60">
        <f t="shared" si="48"/>
        <v>0.32294759057333849</v>
      </c>
      <c r="K89" s="60">
        <f t="shared" si="48"/>
        <v>0.31794759057333849</v>
      </c>
    </row>
    <row r="91" spans="2:11" x14ac:dyDescent="0.3">
      <c r="B91" s="68" t="s">
        <v>80</v>
      </c>
      <c r="C91" s="69"/>
      <c r="D91" s="71">
        <f>D85-D88</f>
        <v>189.59999999999977</v>
      </c>
      <c r="E91" s="71">
        <f t="shared" ref="E91:F91" si="49">E85-E88</f>
        <v>200.10000000000008</v>
      </c>
      <c r="F91" s="71">
        <f t="shared" si="49"/>
        <v>186.79999999999961</v>
      </c>
      <c r="G91" s="71">
        <f ca="1">G85-G88</f>
        <v>92.183221531582859</v>
      </c>
      <c r="H91" s="71">
        <f t="shared" ref="H91:K91" ca="1" si="50">H85-H88</f>
        <v>144.70627921287399</v>
      </c>
      <c r="I91" s="71">
        <f t="shared" ca="1" si="50"/>
        <v>176.21199014473353</v>
      </c>
      <c r="J91" s="71">
        <f t="shared" ca="1" si="50"/>
        <v>228.00406372158045</v>
      </c>
      <c r="K91" s="72">
        <f t="shared" ca="1" si="50"/>
        <v>284.49761919809049</v>
      </c>
    </row>
    <row r="92" spans="2:11" x14ac:dyDescent="0.3">
      <c r="B92" s="78" t="s">
        <v>69</v>
      </c>
      <c r="C92" s="74"/>
      <c r="D92" s="75">
        <f>D91/D$61</f>
        <v>7.7239581211553263E-2</v>
      </c>
      <c r="E92" s="75">
        <f t="shared" ref="E92" si="51">E91/E$61</f>
        <v>7.8860250650271954E-2</v>
      </c>
      <c r="F92" s="75">
        <f t="shared" ref="F92:G92" si="52">F91/F$61</f>
        <v>7.4654304212293035E-2</v>
      </c>
      <c r="G92" s="75">
        <f t="shared" ca="1" si="52"/>
        <v>3.5813217378237318E-2</v>
      </c>
      <c r="H92" s="75">
        <f t="shared" ref="H92" ca="1" si="53">H91/H$61</f>
        <v>6.8842188017542341E-2</v>
      </c>
      <c r="I92" s="75">
        <f t="shared" ref="I92" ca="1" si="54">I91/I$61</f>
        <v>9.3530780331599533E-2</v>
      </c>
      <c r="J92" s="75">
        <f t="shared" ref="J92" ca="1" si="55">J91/J$61</f>
        <v>0.1193738553516128</v>
      </c>
      <c r="K92" s="76">
        <f t="shared" ref="K92" ca="1" si="56">K91/K$61</f>
        <v>0.14056206482119096</v>
      </c>
    </row>
    <row r="94" spans="2:11" x14ac:dyDescent="0.3">
      <c r="B94" s="81" t="s">
        <v>89</v>
      </c>
    </row>
    <row r="95" spans="2:11" x14ac:dyDescent="0.3">
      <c r="B95" t="s">
        <v>72</v>
      </c>
      <c r="D95" s="51">
        <f>D73</f>
        <v>354.19999999999982</v>
      </c>
      <c r="E95" s="51">
        <f t="shared" ref="E95:F95" si="57">E73</f>
        <v>339.40000000000009</v>
      </c>
      <c r="F95" s="51">
        <f t="shared" si="57"/>
        <v>332.89999999999964</v>
      </c>
    </row>
    <row r="96" spans="2:11" x14ac:dyDescent="0.3">
      <c r="B96" t="s">
        <v>90</v>
      </c>
      <c r="D96" s="51">
        <f>D158</f>
        <v>95.6</v>
      </c>
      <c r="E96" s="51">
        <f t="shared" ref="E96:F96" si="58">E158</f>
        <v>98.1</v>
      </c>
      <c r="F96" s="51">
        <f t="shared" si="58"/>
        <v>111.7</v>
      </c>
      <c r="G96" s="56"/>
      <c r="I96" s="56"/>
      <c r="J96" s="57"/>
      <c r="K96" s="56"/>
    </row>
    <row r="97" spans="1:11" x14ac:dyDescent="0.3">
      <c r="B97" s="3" t="s">
        <v>91</v>
      </c>
      <c r="C97" s="3"/>
      <c r="D97" s="82">
        <v>0</v>
      </c>
      <c r="E97" s="82">
        <f>1.5+2</f>
        <v>3.5</v>
      </c>
      <c r="F97" s="82">
        <v>0</v>
      </c>
      <c r="G97" s="3"/>
      <c r="H97" s="3"/>
      <c r="I97" s="3"/>
      <c r="J97" s="3"/>
      <c r="K97" s="3"/>
    </row>
    <row r="98" spans="1:11" x14ac:dyDescent="0.3">
      <c r="B98" s="7" t="s">
        <v>92</v>
      </c>
      <c r="C98" s="7"/>
      <c r="D98" s="49">
        <f>D95+D96+D97</f>
        <v>449.79999999999984</v>
      </c>
      <c r="E98" s="49">
        <f t="shared" ref="E98:F98" si="59">E95+E96+E97</f>
        <v>441.00000000000011</v>
      </c>
      <c r="F98" s="49">
        <f t="shared" si="59"/>
        <v>444.59999999999962</v>
      </c>
    </row>
    <row r="99" spans="1:11" x14ac:dyDescent="0.3">
      <c r="B99" s="77" t="s">
        <v>69</v>
      </c>
      <c r="D99" s="61">
        <f>D98/D$61</f>
        <v>0.18324031449871669</v>
      </c>
      <c r="E99" s="61">
        <f t="shared" ref="E99" si="60">E98/E$61</f>
        <v>0.1737999527074959</v>
      </c>
      <c r="F99" s="61">
        <f t="shared" ref="F99" si="61">F98/F$61</f>
        <v>0.17768363839820944</v>
      </c>
    </row>
    <row r="101" spans="1:11" x14ac:dyDescent="0.3">
      <c r="B101" s="68" t="s">
        <v>92</v>
      </c>
      <c r="C101" s="69"/>
      <c r="D101" s="95">
        <f>D98</f>
        <v>449.79999999999984</v>
      </c>
      <c r="E101" s="95">
        <f t="shared" ref="E101:F101" si="62">E98</f>
        <v>441.00000000000011</v>
      </c>
      <c r="F101" s="95">
        <f t="shared" si="62"/>
        <v>444.59999999999962</v>
      </c>
      <c r="G101" s="97">
        <f>CHOOSE(CASE,G104,G107)</f>
        <v>464</v>
      </c>
      <c r="H101" s="97">
        <f>CHOOSE(CASE,H104,H107)</f>
        <v>518</v>
      </c>
      <c r="I101" s="97">
        <f>CHOOSE(CASE,I104,I107)</f>
        <v>563</v>
      </c>
      <c r="J101" s="97">
        <f>CHOOSE(CASE,J104,J107)</f>
        <v>620</v>
      </c>
      <c r="K101" s="98">
        <f>CHOOSE(CASE,K104,K107)</f>
        <v>685</v>
      </c>
    </row>
    <row r="102" spans="1:11" x14ac:dyDescent="0.3">
      <c r="B102" s="78" t="s">
        <v>69</v>
      </c>
      <c r="C102" s="74"/>
      <c r="D102" s="93">
        <f>D99</f>
        <v>0.18324031449871669</v>
      </c>
      <c r="E102" s="93">
        <f t="shared" ref="E102:F102" si="63">E99</f>
        <v>0.1737999527074959</v>
      </c>
      <c r="F102" s="93">
        <f t="shared" si="63"/>
        <v>0.17768363839820944</v>
      </c>
      <c r="G102" s="75">
        <f t="shared" ref="G102" si="64">G101/G$61</f>
        <v>0.18026418026418026</v>
      </c>
      <c r="H102" s="75">
        <f t="shared" ref="H102" si="65">H101/H$61</f>
        <v>0.24643196955280686</v>
      </c>
      <c r="I102" s="75">
        <f t="shared" ref="I102" si="66">I101/I$61</f>
        <v>0.29883227176220806</v>
      </c>
      <c r="J102" s="75">
        <f t="shared" ref="J102" si="67">J101/J$61</f>
        <v>0.32460732984293195</v>
      </c>
      <c r="K102" s="76">
        <f t="shared" ref="K102" si="68">K101/K$61</f>
        <v>0.3384387351778656</v>
      </c>
    </row>
    <row r="104" spans="1:11" x14ac:dyDescent="0.3">
      <c r="B104" t="s">
        <v>93</v>
      </c>
      <c r="G104" s="50">
        <f ca="1">G76+G161</f>
        <v>450.76559691271132</v>
      </c>
      <c r="H104" s="50">
        <f ca="1">H76+H161</f>
        <v>452.66873764977436</v>
      </c>
      <c r="I104" s="50">
        <f ca="1">I76+I161</f>
        <v>481.05277722748565</v>
      </c>
      <c r="J104" s="50">
        <f ca="1">J76+J161</f>
        <v>562.81506608518976</v>
      </c>
      <c r="K104" s="50">
        <f ca="1">K76+K161</f>
        <v>675.44187107666198</v>
      </c>
    </row>
    <row r="105" spans="1:11" x14ac:dyDescent="0.3">
      <c r="B105" s="77" t="s">
        <v>69</v>
      </c>
      <c r="G105" s="61">
        <f t="shared" ref="G105" ca="1" si="69">G104/G$61</f>
        <v>0.17512260952319786</v>
      </c>
      <c r="H105" s="61">
        <f t="shared" ref="H105" ca="1" si="70">H104/H$61</f>
        <v>0.21535144512358437</v>
      </c>
      <c r="I105" s="61">
        <f t="shared" ref="I105" ca="1" si="71">I104/I$61</f>
        <v>0.25533586901671212</v>
      </c>
      <c r="J105" s="61">
        <f t="shared" ref="J105" ca="1" si="72">J104/J$61</f>
        <v>0.29466757386659148</v>
      </c>
      <c r="K105" s="61">
        <f t="shared" ref="K105" ca="1" si="73">K104/K$61</f>
        <v>0.33371633946475393</v>
      </c>
    </row>
    <row r="107" spans="1:11" x14ac:dyDescent="0.3">
      <c r="B107" t="s">
        <v>94</v>
      </c>
      <c r="G107" s="52">
        <v>464</v>
      </c>
      <c r="H107" s="52">
        <v>518</v>
      </c>
      <c r="I107" s="52">
        <v>563</v>
      </c>
      <c r="J107" s="52">
        <v>620</v>
      </c>
      <c r="K107" s="52">
        <v>685</v>
      </c>
    </row>
    <row r="108" spans="1:11" x14ac:dyDescent="0.3">
      <c r="B108" s="77" t="s">
        <v>69</v>
      </c>
      <c r="G108" s="61">
        <f t="shared" ref="G108" si="74">G107/G$61</f>
        <v>0.18026418026418026</v>
      </c>
      <c r="H108" s="61">
        <f t="shared" ref="H108" si="75">H107/H$61</f>
        <v>0.24643196955280686</v>
      </c>
      <c r="I108" s="61">
        <f t="shared" ref="I108" si="76">I107/I$61</f>
        <v>0.29883227176220806</v>
      </c>
      <c r="J108" s="61">
        <f t="shared" ref="J108" si="77">J107/J$61</f>
        <v>0.32460732984293195</v>
      </c>
      <c r="K108" s="61">
        <f t="shared" ref="K108" si="78">K107/K$61</f>
        <v>0.3384387351778656</v>
      </c>
    </row>
    <row r="110" spans="1:11" x14ac:dyDescent="0.3">
      <c r="A110" s="4" t="s">
        <v>0</v>
      </c>
      <c r="B110" s="6" t="s">
        <v>127</v>
      </c>
      <c r="C110" s="6"/>
      <c r="D110" s="53">
        <v>2008</v>
      </c>
      <c r="E110" s="53">
        <f>D110+1</f>
        <v>2009</v>
      </c>
      <c r="F110" s="53">
        <f t="shared" ref="F110:K110" si="79">E110+1</f>
        <v>2010</v>
      </c>
      <c r="G110" s="54">
        <f t="shared" si="79"/>
        <v>2011</v>
      </c>
      <c r="H110" s="54">
        <f t="shared" si="79"/>
        <v>2012</v>
      </c>
      <c r="I110" s="54">
        <f t="shared" si="79"/>
        <v>2013</v>
      </c>
      <c r="J110" s="54">
        <f t="shared" si="79"/>
        <v>2014</v>
      </c>
      <c r="K110" s="54">
        <f t="shared" si="79"/>
        <v>2015</v>
      </c>
    </row>
    <row r="111" spans="1:11" ht="4.95" customHeight="1" x14ac:dyDescent="0.3"/>
    <row r="112" spans="1:11" ht="15" customHeight="1" x14ac:dyDescent="0.3">
      <c r="A112" s="4" t="s">
        <v>126</v>
      </c>
      <c r="B112" t="s">
        <v>95</v>
      </c>
      <c r="D112" s="52">
        <v>139.30000000000001</v>
      </c>
      <c r="E112" s="52">
        <v>130</v>
      </c>
      <c r="F112" s="52">
        <v>142.9</v>
      </c>
      <c r="G112" s="50">
        <f>G113*G$61</f>
        <v>141.64856567644247</v>
      </c>
      <c r="H112" s="50">
        <f t="shared" ref="H112:K112" si="80">H113*H$61</f>
        <v>115.6741589168151</v>
      </c>
      <c r="I112" s="50">
        <f t="shared" si="80"/>
        <v>103.67750494732618</v>
      </c>
      <c r="J112" s="50">
        <f t="shared" si="80"/>
        <v>105.10829854001753</v>
      </c>
      <c r="K112" s="50">
        <f t="shared" si="80"/>
        <v>111.38177813874108</v>
      </c>
    </row>
    <row r="113" spans="1:11" ht="15" customHeight="1" x14ac:dyDescent="0.3">
      <c r="A113" s="4" t="s">
        <v>126</v>
      </c>
      <c r="B113" s="77" t="s">
        <v>69</v>
      </c>
      <c r="D113" s="61">
        <f>D112/D$61</f>
        <v>5.6748278812074802E-2</v>
      </c>
      <c r="E113" s="61">
        <f t="shared" ref="E113:F113" si="81">E112/E$61</f>
        <v>5.1233546149601954E-2</v>
      </c>
      <c r="F113" s="61">
        <f t="shared" si="81"/>
        <v>5.7109743425785314E-2</v>
      </c>
      <c r="G113" s="61">
        <f>AVERAGE(D113:F113)</f>
        <v>5.5030522795820692E-2</v>
      </c>
      <c r="H113" s="92">
        <f>G113</f>
        <v>5.5030522795820692E-2</v>
      </c>
      <c r="I113" s="92">
        <f t="shared" ref="I113:K113" si="82">H113</f>
        <v>5.5030522795820692E-2</v>
      </c>
      <c r="J113" s="92">
        <f t="shared" si="82"/>
        <v>5.5030522795820692E-2</v>
      </c>
      <c r="K113" s="92">
        <f t="shared" si="82"/>
        <v>5.5030522795820692E-2</v>
      </c>
    </row>
    <row r="114" spans="1:11" ht="15" customHeight="1" x14ac:dyDescent="0.3">
      <c r="A114" s="4" t="s">
        <v>126</v>
      </c>
    </row>
    <row r="115" spans="1:11" ht="15" customHeight="1" x14ac:dyDescent="0.3">
      <c r="A115" s="4" t="s">
        <v>126</v>
      </c>
      <c r="B115" t="s">
        <v>96</v>
      </c>
      <c r="D115" s="52">
        <f>53.5+45.2</f>
        <v>98.7</v>
      </c>
      <c r="E115" s="52">
        <f>86.4+32.5</f>
        <v>118.9</v>
      </c>
      <c r="F115" s="52">
        <f>88.4+15.1</f>
        <v>103.5</v>
      </c>
      <c r="G115" s="50">
        <f>G116*G$61</f>
        <v>110.193943009389</v>
      </c>
      <c r="H115" s="50">
        <f t="shared" ref="H115" si="83">H116*H$61</f>
        <v>89.987439085367399</v>
      </c>
      <c r="I115" s="50">
        <f t="shared" ref="I115" si="84">I116*I$61</f>
        <v>80.654774137408268</v>
      </c>
      <c r="J115" s="50">
        <f t="shared" ref="J115" si="85">J116*J$61</f>
        <v>81.767844268816233</v>
      </c>
      <c r="K115" s="50">
        <f t="shared" ref="K115" si="86">K116*K$61</f>
        <v>86.648228691143487</v>
      </c>
    </row>
    <row r="116" spans="1:11" ht="15" customHeight="1" x14ac:dyDescent="0.3">
      <c r="A116" s="4" t="s">
        <v>126</v>
      </c>
      <c r="B116" s="77" t="s">
        <v>69</v>
      </c>
      <c r="D116" s="61">
        <f>D115/D$61</f>
        <v>4.0208579459811794E-2</v>
      </c>
      <c r="E116" s="61">
        <f t="shared" ref="E116" si="87">E115/E$61</f>
        <v>4.6858989516828251E-2</v>
      </c>
      <c r="F116" s="61">
        <f t="shared" ref="F116" si="88">F115/F$61</f>
        <v>4.136360003197187E-2</v>
      </c>
      <c r="G116" s="61">
        <f>AVERAGE(D116:F116)</f>
        <v>4.2810389669537298E-2</v>
      </c>
      <c r="H116" s="92">
        <f>G116</f>
        <v>4.2810389669537298E-2</v>
      </c>
      <c r="I116" s="92">
        <f t="shared" ref="I116:K116" si="89">H116</f>
        <v>4.2810389669537298E-2</v>
      </c>
      <c r="J116" s="92">
        <f t="shared" si="89"/>
        <v>4.2810389669537298E-2</v>
      </c>
      <c r="K116" s="92">
        <f t="shared" si="89"/>
        <v>4.2810389669537298E-2</v>
      </c>
    </row>
    <row r="117" spans="1:11" ht="15" customHeight="1" x14ac:dyDescent="0.3">
      <c r="A117" s="4" t="s">
        <v>126</v>
      </c>
    </row>
    <row r="118" spans="1:11" ht="15" customHeight="1" x14ac:dyDescent="0.3">
      <c r="A118" s="4" t="s">
        <v>126</v>
      </c>
      <c r="B118" t="s">
        <v>97</v>
      </c>
      <c r="D118" s="52">
        <v>129.5</v>
      </c>
      <c r="E118" s="52">
        <v>127</v>
      </c>
      <c r="F118" s="52">
        <v>106.9</v>
      </c>
      <c r="G118" s="50">
        <f>G119*G$61</f>
        <v>109.96746862760772</v>
      </c>
      <c r="H118" s="50">
        <f t="shared" ref="H118" si="90">H119*H$61</f>
        <v>89.802493805451206</v>
      </c>
      <c r="I118" s="50">
        <f t="shared" ref="I118" si="91">I119*I$61</f>
        <v>80.4890096714891</v>
      </c>
      <c r="J118" s="50">
        <f t="shared" ref="J118" si="92">J119*J$61</f>
        <v>81.599792182879071</v>
      </c>
      <c r="K118" s="50">
        <f t="shared" ref="K118" si="93">K119*K$61</f>
        <v>86.47014627128128</v>
      </c>
    </row>
    <row r="119" spans="1:11" ht="15" customHeight="1" x14ac:dyDescent="0.3">
      <c r="A119" s="4" t="s">
        <v>126</v>
      </c>
      <c r="B119" s="77" t="s">
        <v>69</v>
      </c>
      <c r="D119" s="61">
        <f>D118/D$61</f>
        <v>5.2755937589114767E-2</v>
      </c>
      <c r="E119" s="61">
        <f t="shared" ref="E119" si="94">E118/E$61</f>
        <v>5.0051233546149598E-2</v>
      </c>
      <c r="F119" s="61">
        <f t="shared" ref="F119" si="95">F118/F$61</f>
        <v>4.2722404284229881E-2</v>
      </c>
      <c r="G119" s="123">
        <f>F119</f>
        <v>4.2722404284229881E-2</v>
      </c>
      <c r="H119" s="92">
        <f>G119</f>
        <v>4.2722404284229881E-2</v>
      </c>
      <c r="I119" s="92">
        <f t="shared" ref="I119:K119" si="96">H119</f>
        <v>4.2722404284229881E-2</v>
      </c>
      <c r="J119" s="92">
        <f t="shared" si="96"/>
        <v>4.2722404284229881E-2</v>
      </c>
      <c r="K119" s="92">
        <f t="shared" si="96"/>
        <v>4.2722404284229881E-2</v>
      </c>
    </row>
    <row r="120" spans="1:11" ht="15" customHeight="1" x14ac:dyDescent="0.3">
      <c r="A120" s="4" t="s">
        <v>126</v>
      </c>
    </row>
    <row r="121" spans="1:11" ht="15" customHeight="1" x14ac:dyDescent="0.3">
      <c r="A121" s="4" t="s">
        <v>126</v>
      </c>
      <c r="B121" t="s">
        <v>98</v>
      </c>
      <c r="D121" s="52">
        <v>77.2</v>
      </c>
      <c r="E121" s="52">
        <v>67.8</v>
      </c>
      <c r="F121" s="52">
        <v>71.900000000000006</v>
      </c>
      <c r="G121" s="50">
        <f>G122*G$61</f>
        <v>74.564361269911387</v>
      </c>
      <c r="H121" s="50">
        <f t="shared" ref="H121" si="97">H122*H$61</f>
        <v>60.891331542095465</v>
      </c>
      <c r="I121" s="50">
        <f t="shared" ref="I121" si="98">I122*I$61</f>
        <v>54.576245777977093</v>
      </c>
      <c r="J121" s="50">
        <f t="shared" ref="J121" si="99">J122*J$61</f>
        <v>55.329421144339832</v>
      </c>
      <c r="K121" s="50">
        <f t="shared" ref="K121" si="100">K122*K$61</f>
        <v>58.631805443007238</v>
      </c>
    </row>
    <row r="122" spans="1:11" ht="15" customHeight="1" x14ac:dyDescent="0.3">
      <c r="A122" s="4" t="s">
        <v>126</v>
      </c>
      <c r="B122" s="77" t="s">
        <v>69</v>
      </c>
      <c r="D122" s="61">
        <f>D121/D$61</f>
        <v>3.1449871674746409E-2</v>
      </c>
      <c r="E122" s="61">
        <f t="shared" ref="E122" si="101">E121/E$61</f>
        <v>2.6720264838023172E-2</v>
      </c>
      <c r="F122" s="61">
        <f t="shared" ref="F122" si="102">F121/F$61</f>
        <v>2.8734713452162101E-2</v>
      </c>
      <c r="G122" s="61">
        <f>AVERAGE(D122:F122)</f>
        <v>2.8968283321643893E-2</v>
      </c>
      <c r="H122" s="92">
        <f>G122</f>
        <v>2.8968283321643893E-2</v>
      </c>
      <c r="I122" s="92">
        <f t="shared" ref="I122:K122" si="103">H122</f>
        <v>2.8968283321643893E-2</v>
      </c>
      <c r="J122" s="92">
        <f t="shared" si="103"/>
        <v>2.8968283321643893E-2</v>
      </c>
      <c r="K122" s="92">
        <f t="shared" si="103"/>
        <v>2.8968283321643893E-2</v>
      </c>
    </row>
    <row r="123" spans="1:11" ht="15" customHeight="1" x14ac:dyDescent="0.3">
      <c r="A123" s="4" t="s">
        <v>126</v>
      </c>
    </row>
    <row r="124" spans="1:11" ht="15" customHeight="1" x14ac:dyDescent="0.3">
      <c r="A124" s="4" t="s">
        <v>126</v>
      </c>
      <c r="B124" t="s">
        <v>99</v>
      </c>
      <c r="D124" s="52">
        <v>241.9</v>
      </c>
      <c r="E124" s="52">
        <v>220</v>
      </c>
      <c r="F124" s="52">
        <v>200.9</v>
      </c>
      <c r="G124" s="50">
        <f>G125*G$61</f>
        <v>206.66477499800177</v>
      </c>
      <c r="H124" s="50">
        <f t="shared" ref="H124" si="104">H125*H$61</f>
        <v>168.76820398049716</v>
      </c>
      <c r="I124" s="50">
        <f t="shared" ref="I124" si="105">I125*I$61</f>
        <v>151.2651266885141</v>
      </c>
      <c r="J124" s="50">
        <f t="shared" ref="J124" si="106">J125*J$61</f>
        <v>153.35264966829192</v>
      </c>
      <c r="K124" s="50">
        <f t="shared" ref="K124" si="107">K125*K$61</f>
        <v>162.50563504116377</v>
      </c>
    </row>
    <row r="125" spans="1:11" ht="15" customHeight="1" x14ac:dyDescent="0.3">
      <c r="A125" s="4" t="s">
        <v>126</v>
      </c>
      <c r="B125" s="77" t="s">
        <v>69</v>
      </c>
      <c r="D125" s="61">
        <f>D124/D$61</f>
        <v>9.8545647125921718E-2</v>
      </c>
      <c r="E125" s="61">
        <f t="shared" ref="E125" si="108">E124/E$61</f>
        <v>8.6702924253172539E-2</v>
      </c>
      <c r="F125" s="61">
        <f t="shared" ref="F125" si="109">F124/F$61</f>
        <v>8.0289345376069063E-2</v>
      </c>
      <c r="G125" s="123">
        <f>F125</f>
        <v>8.0289345376069063E-2</v>
      </c>
      <c r="H125" s="92">
        <f>G125</f>
        <v>8.0289345376069063E-2</v>
      </c>
      <c r="I125" s="92">
        <f t="shared" ref="I125:K125" si="110">H125</f>
        <v>8.0289345376069063E-2</v>
      </c>
      <c r="J125" s="92">
        <f t="shared" si="110"/>
        <v>8.0289345376069063E-2</v>
      </c>
      <c r="K125" s="92">
        <f t="shared" si="110"/>
        <v>8.0289345376069063E-2</v>
      </c>
    </row>
    <row r="126" spans="1:11" x14ac:dyDescent="0.3">
      <c r="A126" s="4" t="s">
        <v>126</v>
      </c>
    </row>
    <row r="127" spans="1:11" x14ac:dyDescent="0.3">
      <c r="A127" s="4" t="s">
        <v>126</v>
      </c>
      <c r="B127" s="68" t="s">
        <v>125</v>
      </c>
      <c r="C127" s="69"/>
      <c r="D127" s="71">
        <f t="shared" ref="D127:K127" si="111">SUM(D112,D115)-SUM(D118,D121,D124)</f>
        <v>-210.60000000000002</v>
      </c>
      <c r="E127" s="71">
        <f t="shared" si="111"/>
        <v>-165.9</v>
      </c>
      <c r="F127" s="97">
        <f t="shared" si="111"/>
        <v>-133.30000000000004</v>
      </c>
      <c r="G127" s="97">
        <f t="shared" si="111"/>
        <v>-139.35409620968937</v>
      </c>
      <c r="H127" s="97">
        <f t="shared" si="111"/>
        <v>-113.80043132586135</v>
      </c>
      <c r="I127" s="97">
        <f t="shared" si="111"/>
        <v>-101.99810305324581</v>
      </c>
      <c r="J127" s="97">
        <f t="shared" si="111"/>
        <v>-103.40572018667706</v>
      </c>
      <c r="K127" s="98">
        <f t="shared" si="111"/>
        <v>-109.57757992556773</v>
      </c>
    </row>
    <row r="128" spans="1:11" x14ac:dyDescent="0.3">
      <c r="A128" s="4" t="s">
        <v>126</v>
      </c>
      <c r="B128" s="78" t="s">
        <v>69</v>
      </c>
      <c r="C128" s="74"/>
      <c r="D128" s="75">
        <f t="shared" ref="D128:F128" si="112">D127/D$61</f>
        <v>-8.579459811789629E-2</v>
      </c>
      <c r="E128" s="75">
        <f t="shared" si="112"/>
        <v>-6.5381886970915112E-2</v>
      </c>
      <c r="F128" s="75">
        <f t="shared" si="112"/>
        <v>-5.3273119654703882E-2</v>
      </c>
      <c r="G128" s="120">
        <f t="shared" ref="G128:K128" si="113">G127/G$61</f>
        <v>-5.4139120516584836E-2</v>
      </c>
      <c r="H128" s="120">
        <f t="shared" si="113"/>
        <v>-5.413912051658485E-2</v>
      </c>
      <c r="I128" s="120">
        <f t="shared" si="113"/>
        <v>-5.4139120516584829E-2</v>
      </c>
      <c r="J128" s="120">
        <f t="shared" si="113"/>
        <v>-5.413912051658485E-2</v>
      </c>
      <c r="K128" s="121">
        <f t="shared" si="113"/>
        <v>-5.413912051658485E-2</v>
      </c>
    </row>
    <row r="129" spans="1:11" x14ac:dyDescent="0.3">
      <c r="A129" s="4" t="s">
        <v>126</v>
      </c>
      <c r="G129" s="119"/>
    </row>
    <row r="130" spans="1:11" x14ac:dyDescent="0.3">
      <c r="A130" s="4" t="s">
        <v>126</v>
      </c>
      <c r="B130" s="68" t="s">
        <v>100</v>
      </c>
      <c r="C130" s="69"/>
      <c r="D130" s="122" t="s">
        <v>81</v>
      </c>
      <c r="E130" s="71">
        <f>E127-D127</f>
        <v>44.700000000000017</v>
      </c>
      <c r="F130" s="71">
        <f t="shared" ref="F130:K130" si="114">F127-E127</f>
        <v>32.599999999999966</v>
      </c>
      <c r="G130" s="71">
        <f t="shared" si="114"/>
        <v>-6.0540962096893338</v>
      </c>
      <c r="H130" s="71">
        <f t="shared" si="114"/>
        <v>25.55366488382802</v>
      </c>
      <c r="I130" s="71">
        <f t="shared" si="114"/>
        <v>11.80232827261554</v>
      </c>
      <c r="J130" s="71">
        <f t="shared" si="114"/>
        <v>-1.4076171334312448</v>
      </c>
      <c r="K130" s="72">
        <f t="shared" si="114"/>
        <v>-6.1718597388906744</v>
      </c>
    </row>
    <row r="131" spans="1:11" x14ac:dyDescent="0.3">
      <c r="A131" s="4" t="s">
        <v>126</v>
      </c>
      <c r="B131" s="78" t="s">
        <v>69</v>
      </c>
      <c r="C131" s="74"/>
      <c r="D131" s="75" t="s">
        <v>81</v>
      </c>
      <c r="E131" s="75">
        <f t="shared" ref="E131" si="115">E130/E$61</f>
        <v>1.7616457791440061E-2</v>
      </c>
      <c r="F131" s="75">
        <f t="shared" ref="F131:K131" si="116">F130/F$61</f>
        <v>1.3028534889297406E-2</v>
      </c>
      <c r="G131" s="120">
        <f t="shared" si="116"/>
        <v>-2.3520187294830356E-3</v>
      </c>
      <c r="H131" s="120">
        <f t="shared" si="116"/>
        <v>1.2156833912382502E-2</v>
      </c>
      <c r="I131" s="120">
        <f t="shared" si="116"/>
        <v>6.2645054525560188E-3</v>
      </c>
      <c r="J131" s="120">
        <f t="shared" si="116"/>
        <v>-7.3697232116819102E-4</v>
      </c>
      <c r="K131" s="121">
        <f t="shared" si="116"/>
        <v>-3.0493378156574479E-3</v>
      </c>
    </row>
    <row r="133" spans="1:11" x14ac:dyDescent="0.3">
      <c r="A133" s="4" t="s">
        <v>0</v>
      </c>
      <c r="B133" s="6" t="s">
        <v>128</v>
      </c>
      <c r="C133" s="6"/>
      <c r="D133" s="53">
        <v>2008</v>
      </c>
      <c r="E133" s="53">
        <f>D133+1</f>
        <v>2009</v>
      </c>
      <c r="F133" s="53">
        <f t="shared" ref="F133" si="117">E133+1</f>
        <v>2010</v>
      </c>
      <c r="G133" s="54">
        <f t="shared" ref="G133" si="118">F133+1</f>
        <v>2011</v>
      </c>
      <c r="H133" s="54">
        <f t="shared" ref="H133" si="119">G133+1</f>
        <v>2012</v>
      </c>
      <c r="I133" s="54">
        <f t="shared" ref="I133" si="120">H133+1</f>
        <v>2013</v>
      </c>
      <c r="J133" s="54">
        <f t="shared" ref="J133" si="121">I133+1</f>
        <v>2014</v>
      </c>
      <c r="K133" s="54">
        <f t="shared" ref="K133" si="122">J133+1</f>
        <v>2015</v>
      </c>
    </row>
    <row r="134" spans="1:11" ht="4.95" customHeight="1" x14ac:dyDescent="0.3"/>
    <row r="135" spans="1:11" ht="15" customHeight="1" x14ac:dyDescent="0.3">
      <c r="A135" s="4" t="s">
        <v>126</v>
      </c>
      <c r="B135" t="s">
        <v>103</v>
      </c>
      <c r="D135" s="52">
        <v>178.2</v>
      </c>
      <c r="E135" s="52">
        <v>204</v>
      </c>
      <c r="F135" s="52">
        <v>150.30000000000001</v>
      </c>
      <c r="G135" s="50">
        <f>G136*G61</f>
        <v>182.80533167533957</v>
      </c>
      <c r="H135" s="50">
        <f t="shared" ref="H135:K135" si="123">H136*H61</f>
        <v>149.2839188739564</v>
      </c>
      <c r="I135" s="50">
        <f t="shared" si="123"/>
        <v>133.80157143602943</v>
      </c>
      <c r="J135" s="50">
        <f t="shared" si="123"/>
        <v>135.64808993780053</v>
      </c>
      <c r="K135" s="50">
        <f t="shared" si="123"/>
        <v>143.74436336864309</v>
      </c>
    </row>
    <row r="136" spans="1:11" ht="15" customHeight="1" x14ac:dyDescent="0.3">
      <c r="A136" s="4" t="s">
        <v>126</v>
      </c>
      <c r="B136" s="77" t="s">
        <v>69</v>
      </c>
      <c r="D136" s="61">
        <f>D135/D$61</f>
        <v>7.2595429176681464E-2</v>
      </c>
      <c r="E136" s="61">
        <f t="shared" ref="E136:F136" si="124">E135/E$61</f>
        <v>8.0397257034759986E-2</v>
      </c>
      <c r="F136" s="61">
        <f t="shared" si="124"/>
        <v>6.0067140915993932E-2</v>
      </c>
      <c r="G136" s="92">
        <f>AVERAGE(D136:F136)</f>
        <v>7.1019942375811801E-2</v>
      </c>
      <c r="H136" s="92">
        <f>G136</f>
        <v>7.1019942375811801E-2</v>
      </c>
      <c r="I136" s="92">
        <f t="shared" ref="I136:K136" si="125">H136</f>
        <v>7.1019942375811801E-2</v>
      </c>
      <c r="J136" s="92">
        <f t="shared" si="125"/>
        <v>7.1019942375811801E-2</v>
      </c>
      <c r="K136" s="92">
        <f t="shared" si="125"/>
        <v>7.1019942375811801E-2</v>
      </c>
    </row>
    <row r="137" spans="1:11" ht="15" customHeight="1" x14ac:dyDescent="0.3">
      <c r="A137" s="4" t="s">
        <v>126</v>
      </c>
    </row>
    <row r="138" spans="1:11" ht="15" customHeight="1" x14ac:dyDescent="0.3">
      <c r="A138" s="4" t="s">
        <v>126</v>
      </c>
      <c r="B138" t="s">
        <v>135</v>
      </c>
      <c r="D138" s="52">
        <f>95.6-D151</f>
        <v>90.6</v>
      </c>
      <c r="E138" s="52">
        <f>98.1-E151</f>
        <v>89.3</v>
      </c>
      <c r="F138" s="52">
        <f>111.7-F151</f>
        <v>103</v>
      </c>
      <c r="G138" s="50">
        <f>G140*G135</f>
        <v>99.413115096709689</v>
      </c>
      <c r="H138" s="50">
        <f t="shared" ref="H138:K138" si="126">H140*H135</f>
        <v>81.183515125595861</v>
      </c>
      <c r="I138" s="50">
        <f t="shared" si="126"/>
        <v>72.763911749106867</v>
      </c>
      <c r="J138" s="50">
        <f t="shared" si="126"/>
        <v>73.768084628871605</v>
      </c>
      <c r="K138" s="50">
        <f t="shared" si="126"/>
        <v>78.170996486301647</v>
      </c>
    </row>
    <row r="139" spans="1:11" ht="15" customHeight="1" x14ac:dyDescent="0.3">
      <c r="A139" s="4" t="s">
        <v>126</v>
      </c>
      <c r="B139" s="77" t="s">
        <v>69</v>
      </c>
      <c r="D139" s="61">
        <f>D138/D$61</f>
        <v>3.6908787224508084E-2</v>
      </c>
      <c r="E139" s="61">
        <f t="shared" ref="E139" si="127">E138/E$61</f>
        <v>3.5193505162765031E-2</v>
      </c>
      <c r="F139" s="61">
        <f t="shared" ref="F139" si="128">F138/F$61</f>
        <v>4.116377587722804E-2</v>
      </c>
      <c r="G139" s="92">
        <f>AVERAGE(D139:F139)</f>
        <v>3.7755356088167054E-2</v>
      </c>
      <c r="H139" s="92">
        <f>G139</f>
        <v>3.7755356088167054E-2</v>
      </c>
      <c r="I139" s="92">
        <f t="shared" ref="I139:K140" si="129">H139</f>
        <v>3.7755356088167054E-2</v>
      </c>
      <c r="J139" s="92">
        <f t="shared" si="129"/>
        <v>3.7755356088167054E-2</v>
      </c>
      <c r="K139" s="92">
        <f t="shared" si="129"/>
        <v>3.7755356088167054E-2</v>
      </c>
    </row>
    <row r="140" spans="1:11" x14ac:dyDescent="0.3">
      <c r="A140" s="4" t="s">
        <v>126</v>
      </c>
      <c r="B140" s="77" t="s">
        <v>129</v>
      </c>
      <c r="D140" s="61">
        <f>D138/D135</f>
        <v>0.50841750841750843</v>
      </c>
      <c r="E140" s="61">
        <f t="shared" ref="E140:F140" si="130">E138/E135</f>
        <v>0.43774509803921569</v>
      </c>
      <c r="F140" s="61">
        <f t="shared" si="130"/>
        <v>0.6852960745176313</v>
      </c>
      <c r="G140" s="92">
        <f>AVERAGE(D140:F140)</f>
        <v>0.54381956032478518</v>
      </c>
      <c r="H140" s="92">
        <f>G140</f>
        <v>0.54381956032478518</v>
      </c>
      <c r="I140" s="92">
        <f t="shared" si="129"/>
        <v>0.54381956032478518</v>
      </c>
      <c r="J140" s="92">
        <f t="shared" si="129"/>
        <v>0.54381956032478518</v>
      </c>
      <c r="K140" s="92">
        <f t="shared" si="129"/>
        <v>0.54381956032478518</v>
      </c>
    </row>
    <row r="141" spans="1:11" x14ac:dyDescent="0.3">
      <c r="A141" s="4" t="s">
        <v>126</v>
      </c>
    </row>
    <row r="142" spans="1:11" x14ac:dyDescent="0.3">
      <c r="A142" s="4" t="s">
        <v>126</v>
      </c>
      <c r="B142" s="81" t="s">
        <v>130</v>
      </c>
    </row>
    <row r="143" spans="1:11" x14ac:dyDescent="0.3">
      <c r="A143" s="4" t="s">
        <v>126</v>
      </c>
      <c r="B143" s="8" t="s">
        <v>107</v>
      </c>
      <c r="D143" s="21">
        <f>D146+D145-D144</f>
        <v>873.09999999999991</v>
      </c>
      <c r="E143" s="51">
        <f>D146</f>
        <v>960.7</v>
      </c>
      <c r="F143" s="51">
        <f>E146</f>
        <v>1013.2</v>
      </c>
      <c r="G143" s="51">
        <f>F146</f>
        <v>1014.1</v>
      </c>
      <c r="H143" s="51">
        <f t="shared" ref="H143:K143" si="131">G146</f>
        <v>1097.49221657863</v>
      </c>
      <c r="I143" s="51">
        <f t="shared" si="131"/>
        <v>1165.5926203269905</v>
      </c>
      <c r="J143" s="51">
        <f t="shared" si="131"/>
        <v>1226.6302800139131</v>
      </c>
      <c r="K143" s="51">
        <f t="shared" si="131"/>
        <v>1288.510285322842</v>
      </c>
    </row>
    <row r="144" spans="1:11" x14ac:dyDescent="0.3">
      <c r="A144" s="4" t="s">
        <v>126</v>
      </c>
      <c r="B144" s="8" t="s">
        <v>131</v>
      </c>
      <c r="D144" s="51">
        <f>D135</f>
        <v>178.2</v>
      </c>
      <c r="E144" s="109">
        <f>E135</f>
        <v>204</v>
      </c>
      <c r="F144" s="109">
        <f>F135</f>
        <v>150.30000000000001</v>
      </c>
      <c r="G144" s="51">
        <f>G135</f>
        <v>182.80533167533957</v>
      </c>
      <c r="H144" s="51">
        <f t="shared" ref="H144:K144" si="132">H135</f>
        <v>149.2839188739564</v>
      </c>
      <c r="I144" s="51">
        <f t="shared" si="132"/>
        <v>133.80157143602943</v>
      </c>
      <c r="J144" s="51">
        <f t="shared" si="132"/>
        <v>135.64808993780053</v>
      </c>
      <c r="K144" s="51">
        <f t="shared" si="132"/>
        <v>143.74436336864309</v>
      </c>
    </row>
    <row r="145" spans="1:11" x14ac:dyDescent="0.3">
      <c r="A145" s="4" t="s">
        <v>126</v>
      </c>
      <c r="B145" s="8" t="s">
        <v>132</v>
      </c>
      <c r="D145" s="51">
        <f>D138</f>
        <v>90.6</v>
      </c>
      <c r="E145" s="109">
        <f>E138</f>
        <v>89.3</v>
      </c>
      <c r="F145" s="109">
        <f>F138</f>
        <v>103</v>
      </c>
      <c r="G145" s="51">
        <f>G138</f>
        <v>99.413115096709689</v>
      </c>
      <c r="H145" s="51">
        <f t="shared" ref="H145:K145" si="133">H138</f>
        <v>81.183515125595861</v>
      </c>
      <c r="I145" s="51">
        <f t="shared" si="133"/>
        <v>72.763911749106867</v>
      </c>
      <c r="J145" s="51">
        <f t="shared" si="133"/>
        <v>73.768084628871605</v>
      </c>
      <c r="K145" s="51">
        <f t="shared" si="133"/>
        <v>78.170996486301647</v>
      </c>
    </row>
    <row r="146" spans="1:11" x14ac:dyDescent="0.3">
      <c r="A146" s="4" t="s">
        <v>126</v>
      </c>
      <c r="B146" s="99" t="s">
        <v>109</v>
      </c>
      <c r="D146" s="52">
        <v>960.7</v>
      </c>
      <c r="E146" s="52">
        <v>1013.2</v>
      </c>
      <c r="F146" s="52">
        <v>1014.1</v>
      </c>
      <c r="G146" s="21">
        <f>G143+G144-G145</f>
        <v>1097.49221657863</v>
      </c>
      <c r="H146" s="21">
        <f t="shared" ref="H146:K146" si="134">H143+H144-H145</f>
        <v>1165.5926203269905</v>
      </c>
      <c r="I146" s="21">
        <f t="shared" si="134"/>
        <v>1226.6302800139131</v>
      </c>
      <c r="J146" s="21">
        <f t="shared" si="134"/>
        <v>1288.510285322842</v>
      </c>
      <c r="K146" s="21">
        <f t="shared" si="134"/>
        <v>1354.0836522051834</v>
      </c>
    </row>
    <row r="147" spans="1:11" x14ac:dyDescent="0.3">
      <c r="A147" s="4" t="s">
        <v>126</v>
      </c>
      <c r="E147" s="21"/>
      <c r="F147" s="21"/>
    </row>
    <row r="148" spans="1:11" x14ac:dyDescent="0.3">
      <c r="A148" s="4" t="s">
        <v>126</v>
      </c>
      <c r="B148" s="81" t="s">
        <v>133</v>
      </c>
    </row>
    <row r="149" spans="1:11" x14ac:dyDescent="0.3">
      <c r="A149" s="4" t="s">
        <v>126</v>
      </c>
      <c r="B149" s="8" t="s">
        <v>107</v>
      </c>
      <c r="D149" s="21">
        <f>D152+D151-D150</f>
        <v>1049.5999999999999</v>
      </c>
      <c r="E149" s="51">
        <f>D152</f>
        <v>1054.5999999999999</v>
      </c>
      <c r="F149" s="51">
        <f>E152</f>
        <v>1062.7</v>
      </c>
      <c r="G149" s="51">
        <f t="shared" ref="G149:K149" si="135">F152</f>
        <v>1025.4000000000001</v>
      </c>
      <c r="H149" s="51">
        <f t="shared" si="135"/>
        <v>1025.4000000000001</v>
      </c>
      <c r="I149" s="51">
        <f t="shared" si="135"/>
        <v>1025.4000000000001</v>
      </c>
      <c r="J149" s="51">
        <f t="shared" si="135"/>
        <v>1025.4000000000001</v>
      </c>
      <c r="K149" s="51">
        <f t="shared" si="135"/>
        <v>1025.4000000000001</v>
      </c>
    </row>
    <row r="150" spans="1:11" x14ac:dyDescent="0.3">
      <c r="A150" s="4" t="s">
        <v>126</v>
      </c>
      <c r="B150" s="8" t="s">
        <v>134</v>
      </c>
      <c r="D150" s="52">
        <v>10</v>
      </c>
      <c r="E150" s="21">
        <f>E152+E151-E149</f>
        <v>16.900000000000091</v>
      </c>
      <c r="F150" s="21">
        <f t="shared" ref="F150:G150" si="136">F152+F151-F149</f>
        <v>-28.599999999999909</v>
      </c>
      <c r="G150" s="21">
        <f t="shared" si="136"/>
        <v>8.9000000000000909</v>
      </c>
      <c r="H150" s="21">
        <f t="shared" ref="H150" si="137">H152+H151-H149</f>
        <v>8.7999999999999545</v>
      </c>
      <c r="I150" s="21">
        <f t="shared" ref="I150" si="138">I152+I151-I149</f>
        <v>8.7999999999999545</v>
      </c>
      <c r="J150" s="21">
        <f t="shared" ref="J150" si="139">J152+J151-J149</f>
        <v>8.5999999999999091</v>
      </c>
      <c r="K150" s="21">
        <f t="shared" ref="K150" si="140">K152+K151-K149</f>
        <v>8.2000000000000455</v>
      </c>
    </row>
    <row r="151" spans="1:11" x14ac:dyDescent="0.3">
      <c r="A151" s="4" t="s">
        <v>126</v>
      </c>
      <c r="B151" s="8" t="s">
        <v>36</v>
      </c>
      <c r="D151" s="52">
        <v>5</v>
      </c>
      <c r="E151" s="52">
        <v>8.8000000000000007</v>
      </c>
      <c r="F151" s="52">
        <v>8.6999999999999993</v>
      </c>
      <c r="G151" s="52">
        <v>8.9</v>
      </c>
      <c r="H151" s="52">
        <v>8.8000000000000007</v>
      </c>
      <c r="I151" s="52">
        <v>8.8000000000000007</v>
      </c>
      <c r="J151" s="52">
        <v>8.6</v>
      </c>
      <c r="K151" s="52">
        <v>8.1999999999999993</v>
      </c>
    </row>
    <row r="152" spans="1:11" x14ac:dyDescent="0.3">
      <c r="A152" s="4" t="s">
        <v>126</v>
      </c>
      <c r="B152" s="99" t="s">
        <v>109</v>
      </c>
      <c r="D152" s="52">
        <v>1054.5999999999999</v>
      </c>
      <c r="E152" s="52">
        <v>1062.7</v>
      </c>
      <c r="F152" s="52">
        <v>1025.4000000000001</v>
      </c>
      <c r="G152" s="51">
        <f>F152</f>
        <v>1025.4000000000001</v>
      </c>
      <c r="H152" s="51">
        <f t="shared" ref="H152:K152" si="141">G152</f>
        <v>1025.4000000000001</v>
      </c>
      <c r="I152" s="51">
        <f t="shared" si="141"/>
        <v>1025.4000000000001</v>
      </c>
      <c r="J152" s="51">
        <f t="shared" si="141"/>
        <v>1025.4000000000001</v>
      </c>
      <c r="K152" s="51">
        <f t="shared" si="141"/>
        <v>1025.4000000000001</v>
      </c>
    </row>
    <row r="153" spans="1:11" x14ac:dyDescent="0.3">
      <c r="A153" s="4" t="s">
        <v>126</v>
      </c>
      <c r="D153" s="21"/>
      <c r="E153" s="21"/>
    </row>
    <row r="154" spans="1:11" x14ac:dyDescent="0.3">
      <c r="A154" s="4" t="s">
        <v>126</v>
      </c>
      <c r="B154" s="7" t="s">
        <v>136</v>
      </c>
      <c r="C154" s="7"/>
      <c r="D154" s="124">
        <f>26.6+135.4+105.2</f>
        <v>267.2</v>
      </c>
      <c r="E154" s="124">
        <f>26.4+135.3+98.9</f>
        <v>260.60000000000002</v>
      </c>
      <c r="F154" s="124">
        <f>31+138.5+104.2</f>
        <v>273.7</v>
      </c>
      <c r="G154" s="91">
        <f>F154</f>
        <v>273.7</v>
      </c>
      <c r="H154" s="91">
        <f t="shared" ref="H154:K154" si="142">G154</f>
        <v>273.7</v>
      </c>
      <c r="I154" s="91">
        <f t="shared" si="142"/>
        <v>273.7</v>
      </c>
      <c r="J154" s="91">
        <f t="shared" si="142"/>
        <v>273.7</v>
      </c>
      <c r="K154" s="91">
        <f t="shared" si="142"/>
        <v>273.7</v>
      </c>
    </row>
    <row r="155" spans="1:11" x14ac:dyDescent="0.3">
      <c r="A155" s="4" t="s">
        <v>126</v>
      </c>
    </row>
    <row r="156" spans="1:11" x14ac:dyDescent="0.3">
      <c r="A156" s="4" t="s">
        <v>126</v>
      </c>
      <c r="B156" s="7" t="s">
        <v>137</v>
      </c>
      <c r="C156" s="7"/>
      <c r="D156" s="124">
        <f>71.2+360.4+85.6</f>
        <v>517.19999999999993</v>
      </c>
      <c r="E156" s="124">
        <f>65.8+354.5+74.1</f>
        <v>494.4</v>
      </c>
      <c r="F156" s="124">
        <f>65.3+344.6+68.2</f>
        <v>478.1</v>
      </c>
      <c r="G156" s="91">
        <f t="shared" ref="G156:K156" si="143">F156</f>
        <v>478.1</v>
      </c>
      <c r="H156" s="91">
        <f t="shared" si="143"/>
        <v>478.1</v>
      </c>
      <c r="I156" s="91">
        <f t="shared" si="143"/>
        <v>478.1</v>
      </c>
      <c r="J156" s="91">
        <f t="shared" si="143"/>
        <v>478.1</v>
      </c>
      <c r="K156" s="91">
        <f t="shared" si="143"/>
        <v>478.1</v>
      </c>
    </row>
    <row r="157" spans="1:11" x14ac:dyDescent="0.3">
      <c r="A157" s="4" t="s">
        <v>126</v>
      </c>
    </row>
    <row r="158" spans="1:11" x14ac:dyDescent="0.3">
      <c r="A158" s="4" t="s">
        <v>126</v>
      </c>
      <c r="B158" s="68" t="s">
        <v>90</v>
      </c>
      <c r="C158" s="69"/>
      <c r="D158" s="97">
        <f>D138+D151</f>
        <v>95.6</v>
      </c>
      <c r="E158" s="97">
        <f t="shared" ref="E158:F158" si="144">E138+E151</f>
        <v>98.1</v>
      </c>
      <c r="F158" s="97">
        <f t="shared" si="144"/>
        <v>111.7</v>
      </c>
      <c r="G158" s="71">
        <f>CHOOSE(CASE,G161,G164)</f>
        <v>113</v>
      </c>
      <c r="H158" s="71">
        <f>CHOOSE(CASE,H161,H164)</f>
        <v>92</v>
      </c>
      <c r="I158" s="71">
        <f>CHOOSE(CASE,I161,I164)</f>
        <v>98</v>
      </c>
      <c r="J158" s="71">
        <f>CHOOSE(CASE,J161,J164)</f>
        <v>92</v>
      </c>
      <c r="K158" s="72">
        <f>CHOOSE(CASE,K161,K164)</f>
        <v>96</v>
      </c>
    </row>
    <row r="159" spans="1:11" x14ac:dyDescent="0.3">
      <c r="A159" s="4" t="s">
        <v>126</v>
      </c>
      <c r="B159" s="78" t="s">
        <v>69</v>
      </c>
      <c r="C159" s="74"/>
      <c r="D159" s="75">
        <f t="shared" ref="D159:F159" si="145">D158/D$61</f>
        <v>3.8945696011732596E-2</v>
      </c>
      <c r="E159" s="75">
        <f t="shared" si="145"/>
        <v>3.8661622132891933E-2</v>
      </c>
      <c r="F159" s="75">
        <f t="shared" si="145"/>
        <v>4.4640716169770604E-2</v>
      </c>
      <c r="G159" s="75">
        <f t="shared" ref="G159" si="146">G158/G$61</f>
        <v>4.3900543900543904E-2</v>
      </c>
      <c r="H159" s="75">
        <f t="shared" ref="H159" si="147">H158/H$61</f>
        <v>4.3767840152235969E-2</v>
      </c>
      <c r="I159" s="75">
        <f t="shared" ref="I159" si="148">I158/I$61</f>
        <v>5.2016985138004249E-2</v>
      </c>
      <c r="J159" s="75">
        <f t="shared" ref="J159" si="149">J158/J$61</f>
        <v>4.8167539267015703E-2</v>
      </c>
      <c r="K159" s="76">
        <f t="shared" ref="K159" si="150">K158/K$61</f>
        <v>4.7430830039525688E-2</v>
      </c>
    </row>
    <row r="160" spans="1:11" x14ac:dyDescent="0.3">
      <c r="A160" s="4" t="s">
        <v>126</v>
      </c>
    </row>
    <row r="161" spans="1:13" x14ac:dyDescent="0.3">
      <c r="A161" s="4" t="s">
        <v>126</v>
      </c>
      <c r="B161" t="s">
        <v>101</v>
      </c>
      <c r="D161" s="52"/>
      <c r="E161" s="52"/>
      <c r="F161" s="52"/>
      <c r="G161" s="21">
        <f>G138+G151</f>
        <v>108.31311509670969</v>
      </c>
      <c r="H161" s="21">
        <f t="shared" ref="H161:K161" si="151">H138+H151</f>
        <v>89.983515125595858</v>
      </c>
      <c r="I161" s="21">
        <f t="shared" si="151"/>
        <v>81.563911749106865</v>
      </c>
      <c r="J161" s="21">
        <f t="shared" si="151"/>
        <v>82.3680846288716</v>
      </c>
      <c r="K161" s="21">
        <f t="shared" si="151"/>
        <v>86.370996486301649</v>
      </c>
    </row>
    <row r="162" spans="1:13" x14ac:dyDescent="0.3">
      <c r="A162" s="4" t="s">
        <v>126</v>
      </c>
      <c r="B162" s="77" t="s">
        <v>69</v>
      </c>
      <c r="D162" s="61"/>
      <c r="E162" s="61"/>
      <c r="F162" s="61"/>
      <c r="G162" s="61">
        <f t="shared" ref="G162:K162" si="152">G161/G$61</f>
        <v>4.2079687294759013E-2</v>
      </c>
      <c r="H162" s="61">
        <f t="shared" si="152"/>
        <v>4.2808522895145508E-2</v>
      </c>
      <c r="I162" s="61">
        <f t="shared" si="152"/>
        <v>4.3292946788273286E-2</v>
      </c>
      <c r="J162" s="61">
        <f t="shared" si="152"/>
        <v>4.312465163815267E-2</v>
      </c>
      <c r="K162" s="61">
        <f t="shared" si="152"/>
        <v>4.2673417236315042E-2</v>
      </c>
    </row>
    <row r="163" spans="1:13" x14ac:dyDescent="0.3">
      <c r="A163" s="4" t="s">
        <v>126</v>
      </c>
    </row>
    <row r="164" spans="1:13" x14ac:dyDescent="0.3">
      <c r="A164" s="4" t="s">
        <v>126</v>
      </c>
      <c r="B164" t="s">
        <v>102</v>
      </c>
      <c r="G164" s="21">
        <f>G107-G79</f>
        <v>113</v>
      </c>
      <c r="H164" s="21">
        <f>H107-H79</f>
        <v>92</v>
      </c>
      <c r="I164" s="21">
        <f>I107-I79</f>
        <v>98</v>
      </c>
      <c r="J164" s="21">
        <f>J107-J79</f>
        <v>92</v>
      </c>
      <c r="K164" s="21">
        <f>K107-K79</f>
        <v>96</v>
      </c>
    </row>
    <row r="165" spans="1:13" x14ac:dyDescent="0.3">
      <c r="A165" s="4" t="s">
        <v>126</v>
      </c>
      <c r="B165" s="77" t="s">
        <v>69</v>
      </c>
      <c r="D165" s="61"/>
      <c r="E165" s="61"/>
      <c r="F165" s="61"/>
      <c r="G165" s="61">
        <f t="shared" ref="G165" si="153">G164/G$61</f>
        <v>4.3900543900543904E-2</v>
      </c>
      <c r="H165" s="61">
        <f t="shared" ref="H165" si="154">H164/H$61</f>
        <v>4.3767840152235969E-2</v>
      </c>
      <c r="I165" s="61">
        <f t="shared" ref="I165" si="155">I164/I$61</f>
        <v>5.2016985138004249E-2</v>
      </c>
      <c r="J165" s="61">
        <f t="shared" ref="J165" si="156">J164/J$61</f>
        <v>4.8167539267015703E-2</v>
      </c>
      <c r="K165" s="61">
        <f t="shared" ref="K165" si="157">K164/K$61</f>
        <v>4.7430830039525688E-2</v>
      </c>
    </row>
    <row r="166" spans="1:13" x14ac:dyDescent="0.3">
      <c r="A166" s="4" t="s">
        <v>126</v>
      </c>
    </row>
    <row r="167" spans="1:13" x14ac:dyDescent="0.3">
      <c r="A167" s="4" t="s">
        <v>126</v>
      </c>
      <c r="B167" s="68" t="s">
        <v>103</v>
      </c>
      <c r="C167" s="69"/>
      <c r="D167" s="95">
        <f>D135</f>
        <v>178.2</v>
      </c>
      <c r="E167" s="95">
        <f t="shared" ref="E167:K167" si="158">E135</f>
        <v>204</v>
      </c>
      <c r="F167" s="95">
        <f t="shared" si="158"/>
        <v>150.30000000000001</v>
      </c>
      <c r="G167" s="95">
        <f t="shared" si="158"/>
        <v>182.80533167533957</v>
      </c>
      <c r="H167" s="95">
        <f t="shared" si="158"/>
        <v>149.2839188739564</v>
      </c>
      <c r="I167" s="95">
        <f t="shared" si="158"/>
        <v>133.80157143602943</v>
      </c>
      <c r="J167" s="95">
        <f t="shared" si="158"/>
        <v>135.64808993780053</v>
      </c>
      <c r="K167" s="125">
        <f t="shared" si="158"/>
        <v>143.74436336864309</v>
      </c>
      <c r="M167" s="56"/>
    </row>
    <row r="168" spans="1:13" x14ac:dyDescent="0.3">
      <c r="A168" s="4" t="s">
        <v>126</v>
      </c>
      <c r="B168" s="78" t="s">
        <v>69</v>
      </c>
      <c r="C168" s="74"/>
      <c r="D168" s="75">
        <f t="shared" ref="D168:K168" si="159">D167/D$61</f>
        <v>7.2595429176681464E-2</v>
      </c>
      <c r="E168" s="75">
        <f t="shared" si="159"/>
        <v>8.0397257034759986E-2</v>
      </c>
      <c r="F168" s="75">
        <f t="shared" si="159"/>
        <v>6.0067140915993932E-2</v>
      </c>
      <c r="G168" s="120">
        <f t="shared" si="159"/>
        <v>7.1019942375811801E-2</v>
      </c>
      <c r="H168" s="120">
        <f t="shared" si="159"/>
        <v>7.1019942375811801E-2</v>
      </c>
      <c r="I168" s="120">
        <f t="shared" si="159"/>
        <v>7.1019942375811801E-2</v>
      </c>
      <c r="J168" s="120">
        <f t="shared" si="159"/>
        <v>7.1019942375811801E-2</v>
      </c>
      <c r="K168" s="121">
        <f t="shared" si="159"/>
        <v>7.1019942375811801E-2</v>
      </c>
    </row>
    <row r="170" spans="1:13" x14ac:dyDescent="0.3">
      <c r="A170" s="4" t="s">
        <v>0</v>
      </c>
      <c r="B170" s="6" t="s">
        <v>138</v>
      </c>
      <c r="C170" s="6"/>
      <c r="D170" s="53">
        <v>2008</v>
      </c>
      <c r="E170" s="53">
        <f>D170+1</f>
        <v>2009</v>
      </c>
      <c r="F170" s="53">
        <f t="shared" ref="F170:K170" si="160">E170+1</f>
        <v>2010</v>
      </c>
      <c r="G170" s="54">
        <f t="shared" si="160"/>
        <v>2011</v>
      </c>
      <c r="H170" s="54">
        <f t="shared" si="160"/>
        <v>2012</v>
      </c>
      <c r="I170" s="54">
        <f t="shared" si="160"/>
        <v>2013</v>
      </c>
      <c r="J170" s="54">
        <f t="shared" si="160"/>
        <v>2014</v>
      </c>
      <c r="K170" s="54">
        <f t="shared" si="160"/>
        <v>2015</v>
      </c>
    </row>
    <row r="171" spans="1:13" ht="4.95" customHeight="1" x14ac:dyDescent="0.3"/>
    <row r="172" spans="1:13" ht="15" customHeight="1" x14ac:dyDescent="0.3">
      <c r="A172" s="4" t="s">
        <v>126</v>
      </c>
      <c r="B172" t="s">
        <v>80</v>
      </c>
      <c r="G172" s="51">
        <f ca="1">G91</f>
        <v>92.183221531582859</v>
      </c>
      <c r="H172" s="51">
        <f t="shared" ref="H172:K172" ca="1" si="161">H91</f>
        <v>144.70627921287399</v>
      </c>
      <c r="I172" s="51">
        <f t="shared" ca="1" si="161"/>
        <v>176.21199014473353</v>
      </c>
      <c r="J172" s="51">
        <f t="shared" ca="1" si="161"/>
        <v>228.00406372158045</v>
      </c>
      <c r="K172" s="51">
        <f t="shared" ca="1" si="161"/>
        <v>284.49761919809049</v>
      </c>
    </row>
    <row r="173" spans="1:13" ht="15" customHeight="1" x14ac:dyDescent="0.3">
      <c r="A173" s="4" t="s">
        <v>126</v>
      </c>
      <c r="B173" t="s">
        <v>90</v>
      </c>
      <c r="G173" s="51">
        <f>G158</f>
        <v>113</v>
      </c>
      <c r="H173" s="51">
        <f t="shared" ref="H173:K173" si="162">H158</f>
        <v>92</v>
      </c>
      <c r="I173" s="51">
        <f t="shared" si="162"/>
        <v>98</v>
      </c>
      <c r="J173" s="51">
        <f t="shared" si="162"/>
        <v>92</v>
      </c>
      <c r="K173" s="51">
        <f t="shared" si="162"/>
        <v>96</v>
      </c>
    </row>
    <row r="174" spans="1:13" ht="15" customHeight="1" x14ac:dyDescent="0.3">
      <c r="A174" s="4" t="s">
        <v>126</v>
      </c>
      <c r="B174" t="s">
        <v>139</v>
      </c>
      <c r="G174" s="51">
        <f>G130</f>
        <v>-6.0540962096893338</v>
      </c>
      <c r="H174" s="51">
        <f t="shared" ref="H174:K174" si="163">H130</f>
        <v>25.55366488382802</v>
      </c>
      <c r="I174" s="51">
        <f t="shared" si="163"/>
        <v>11.80232827261554</v>
      </c>
      <c r="J174" s="51">
        <f t="shared" si="163"/>
        <v>-1.4076171334312448</v>
      </c>
      <c r="K174" s="51">
        <f t="shared" si="163"/>
        <v>-6.1718597388906744</v>
      </c>
    </row>
    <row r="175" spans="1:13" ht="15" customHeight="1" x14ac:dyDescent="0.3">
      <c r="A175" s="4" t="s">
        <v>126</v>
      </c>
      <c r="B175" t="s">
        <v>140</v>
      </c>
      <c r="G175" s="21">
        <f>(G154-F154)-(F156-G156)</f>
        <v>0</v>
      </c>
      <c r="H175" s="21">
        <f t="shared" ref="H175:K175" si="164">(H154-G154)-(G156-H156)</f>
        <v>0</v>
      </c>
      <c r="I175" s="21">
        <f t="shared" si="164"/>
        <v>0</v>
      </c>
      <c r="J175" s="21">
        <f t="shared" si="164"/>
        <v>0</v>
      </c>
      <c r="K175" s="21">
        <f t="shared" si="164"/>
        <v>0</v>
      </c>
    </row>
    <row r="176" spans="1:13" ht="15" customHeight="1" x14ac:dyDescent="0.3">
      <c r="A176" s="4" t="s">
        <v>126</v>
      </c>
      <c r="B176" s="3" t="s">
        <v>141</v>
      </c>
      <c r="C176" s="3"/>
      <c r="D176" s="3"/>
      <c r="E176" s="3"/>
      <c r="F176" s="3"/>
      <c r="G176" s="135">
        <f>G248</f>
        <v>5</v>
      </c>
      <c r="H176" s="135">
        <f t="shared" ref="H176:K176" si="165">H248</f>
        <v>5.25</v>
      </c>
      <c r="I176" s="135">
        <f t="shared" si="165"/>
        <v>5.5125000000000002</v>
      </c>
      <c r="J176" s="135">
        <f t="shared" si="165"/>
        <v>5.7881250000000009</v>
      </c>
      <c r="K176" s="135">
        <f t="shared" si="165"/>
        <v>6.0775312499999998</v>
      </c>
    </row>
    <row r="177" spans="1:11" ht="15" customHeight="1" x14ac:dyDescent="0.3">
      <c r="A177" s="4" t="s">
        <v>126</v>
      </c>
      <c r="B177" s="7" t="s">
        <v>142</v>
      </c>
      <c r="G177" s="49">
        <f ca="1">G172+G173-G174-G175+G176</f>
        <v>216.23731774127219</v>
      </c>
      <c r="H177" s="49">
        <f t="shared" ref="H177:K177" ca="1" si="166">H172+H173-H174-H175+H176</f>
        <v>216.40261432904597</v>
      </c>
      <c r="I177" s="49">
        <f t="shared" ca="1" si="166"/>
        <v>267.92216187211801</v>
      </c>
      <c r="J177" s="49">
        <f t="shared" ca="1" si="166"/>
        <v>327.19980585501168</v>
      </c>
      <c r="K177" s="49">
        <f t="shared" ca="1" si="166"/>
        <v>392.74701018698113</v>
      </c>
    </row>
    <row r="178" spans="1:11" ht="15" customHeight="1" x14ac:dyDescent="0.3">
      <c r="A178" s="4" t="s">
        <v>126</v>
      </c>
    </row>
    <row r="179" spans="1:11" ht="15" customHeight="1" x14ac:dyDescent="0.3">
      <c r="A179" s="4" t="s">
        <v>126</v>
      </c>
      <c r="B179" t="s">
        <v>131</v>
      </c>
      <c r="G179" s="51">
        <f>G167</f>
        <v>182.80533167533957</v>
      </c>
      <c r="H179" s="51">
        <f t="shared" ref="H179:K179" si="167">H167</f>
        <v>149.2839188739564</v>
      </c>
      <c r="I179" s="51">
        <f t="shared" si="167"/>
        <v>133.80157143602943</v>
      </c>
      <c r="J179" s="51">
        <f t="shared" si="167"/>
        <v>135.64808993780053</v>
      </c>
      <c r="K179" s="51">
        <f t="shared" si="167"/>
        <v>143.74436336864309</v>
      </c>
    </row>
    <row r="180" spans="1:11" ht="15" customHeight="1" x14ac:dyDescent="0.3">
      <c r="A180" s="4" t="s">
        <v>126</v>
      </c>
      <c r="B180" s="3" t="s">
        <v>143</v>
      </c>
      <c r="C180" s="3"/>
      <c r="D180" s="3"/>
      <c r="E180" s="3"/>
      <c r="F180" s="3"/>
      <c r="G180" s="126">
        <f>G150</f>
        <v>8.9000000000000909</v>
      </c>
      <c r="H180" s="126">
        <f t="shared" ref="H180:K180" si="168">H150</f>
        <v>8.7999999999999545</v>
      </c>
      <c r="I180" s="126">
        <f t="shared" si="168"/>
        <v>8.7999999999999545</v>
      </c>
      <c r="J180" s="126">
        <f t="shared" si="168"/>
        <v>8.5999999999999091</v>
      </c>
      <c r="K180" s="126">
        <f t="shared" si="168"/>
        <v>8.2000000000000455</v>
      </c>
    </row>
    <row r="181" spans="1:11" ht="15" customHeight="1" x14ac:dyDescent="0.3">
      <c r="A181" s="4" t="s">
        <v>126</v>
      </c>
      <c r="B181" s="7" t="s">
        <v>144</v>
      </c>
      <c r="G181" s="49">
        <f>G179+G180</f>
        <v>191.70533167533966</v>
      </c>
      <c r="H181" s="49">
        <f t="shared" ref="H181:K181" si="169">H179+H180</f>
        <v>158.08391887395635</v>
      </c>
      <c r="I181" s="49">
        <f t="shared" si="169"/>
        <v>142.60157143602939</v>
      </c>
      <c r="J181" s="49">
        <f t="shared" si="169"/>
        <v>144.24808993780044</v>
      </c>
      <c r="K181" s="49">
        <f t="shared" si="169"/>
        <v>151.94436336864314</v>
      </c>
    </row>
    <row r="182" spans="1:11" ht="15" customHeight="1" x14ac:dyDescent="0.3">
      <c r="A182" s="4" t="s">
        <v>126</v>
      </c>
    </row>
    <row r="183" spans="1:11" ht="15" customHeight="1" x14ac:dyDescent="0.3">
      <c r="A183" s="4" t="s">
        <v>126</v>
      </c>
      <c r="B183" t="s">
        <v>104</v>
      </c>
      <c r="G183" s="136">
        <f>G220+G229+G238+G247</f>
        <v>0</v>
      </c>
      <c r="H183" s="136">
        <f t="shared" ref="H183:K183" ca="1" si="170">H220+H229+H238+H247</f>
        <v>0</v>
      </c>
      <c r="I183" s="136">
        <f t="shared" ca="1" si="170"/>
        <v>0</v>
      </c>
      <c r="J183" s="136">
        <f t="shared" ca="1" si="170"/>
        <v>0</v>
      </c>
      <c r="K183" s="136">
        <f t="shared" ca="1" si="170"/>
        <v>0</v>
      </c>
    </row>
    <row r="184" spans="1:11" ht="15" customHeight="1" x14ac:dyDescent="0.3">
      <c r="A184" s="4" t="s">
        <v>126</v>
      </c>
      <c r="B184" s="7" t="s">
        <v>157</v>
      </c>
      <c r="G184" s="49">
        <f ca="1">G177-G181-G183</f>
        <v>24.531986065932529</v>
      </c>
      <c r="H184" s="49">
        <f t="shared" ref="H184:K184" ca="1" si="171">H177-H181-H183</f>
        <v>58.318695455089625</v>
      </c>
      <c r="I184" s="49">
        <f t="shared" ca="1" si="171"/>
        <v>125.32059043608862</v>
      </c>
      <c r="J184" s="49">
        <f t="shared" ca="1" si="171"/>
        <v>182.95171591721123</v>
      </c>
      <c r="K184" s="49">
        <f t="shared" ca="1" si="171"/>
        <v>240.80264681833799</v>
      </c>
    </row>
    <row r="185" spans="1:11" ht="15" customHeight="1" x14ac:dyDescent="0.3">
      <c r="A185" s="4" t="s">
        <v>126</v>
      </c>
    </row>
    <row r="186" spans="1:11" ht="15" customHeight="1" x14ac:dyDescent="0.3">
      <c r="A186" s="4" t="s">
        <v>126</v>
      </c>
      <c r="B186" t="s">
        <v>145</v>
      </c>
      <c r="G186" s="137">
        <f ca="1">G213</f>
        <v>0</v>
      </c>
      <c r="H186" s="137">
        <f t="shared" ref="H186:K186" ca="1" si="172">H213</f>
        <v>0</v>
      </c>
      <c r="I186" s="137">
        <f t="shared" ca="1" si="172"/>
        <v>0</v>
      </c>
      <c r="J186" s="137">
        <f t="shared" ca="1" si="172"/>
        <v>0</v>
      </c>
      <c r="K186" s="137">
        <f t="shared" ca="1" si="172"/>
        <v>0</v>
      </c>
    </row>
    <row r="187" spans="1:11" ht="15" customHeight="1" x14ac:dyDescent="0.3">
      <c r="A187" s="4" t="s">
        <v>126</v>
      </c>
      <c r="B187" s="7" t="s">
        <v>146</v>
      </c>
      <c r="G187" s="49">
        <f ca="1">G184+G186</f>
        <v>24.531986065932529</v>
      </c>
      <c r="H187" s="49">
        <f t="shared" ref="H187:K187" ca="1" si="173">H184+H186</f>
        <v>58.318695455089625</v>
      </c>
      <c r="I187" s="49">
        <f t="shared" ca="1" si="173"/>
        <v>125.32059043608862</v>
      </c>
      <c r="J187" s="49">
        <f t="shared" ca="1" si="173"/>
        <v>182.95171591721123</v>
      </c>
      <c r="K187" s="49">
        <f t="shared" ca="1" si="173"/>
        <v>240.80264681833799</v>
      </c>
    </row>
    <row r="188" spans="1:11" ht="15" customHeight="1" x14ac:dyDescent="0.3">
      <c r="A188" s="4" t="s">
        <v>126</v>
      </c>
    </row>
    <row r="189" spans="1:11" ht="15" customHeight="1" x14ac:dyDescent="0.3">
      <c r="A189" s="4" t="s">
        <v>126</v>
      </c>
      <c r="B189" s="81" t="s">
        <v>147</v>
      </c>
    </row>
    <row r="190" spans="1:11" ht="15" customHeight="1" x14ac:dyDescent="0.3">
      <c r="A190" s="4" t="s">
        <v>126</v>
      </c>
      <c r="B190" t="str">
        <f>B41</f>
        <v>Secured term loan - USD tranche</v>
      </c>
      <c r="G190" s="137">
        <f ca="1">G221</f>
        <v>0</v>
      </c>
      <c r="H190" s="137">
        <f t="shared" ref="H190:K190" ca="1" si="174">H221</f>
        <v>0</v>
      </c>
      <c r="I190" s="137">
        <f t="shared" ca="1" si="174"/>
        <v>0</v>
      </c>
      <c r="J190" s="137">
        <f t="shared" ca="1" si="174"/>
        <v>0</v>
      </c>
      <c r="K190" s="137">
        <f t="shared" ca="1" si="174"/>
        <v>0</v>
      </c>
    </row>
    <row r="191" spans="1:11" ht="15" customHeight="1" x14ac:dyDescent="0.3">
      <c r="A191" s="4" t="s">
        <v>126</v>
      </c>
      <c r="B191" t="str">
        <f>B42</f>
        <v>Secured term loan - EUR tranche</v>
      </c>
      <c r="G191" s="137">
        <f ca="1">G230</f>
        <v>24.531986065932529</v>
      </c>
      <c r="H191" s="137">
        <f t="shared" ref="H191:K191" ca="1" si="175">H230</f>
        <v>58.318695455089625</v>
      </c>
      <c r="I191" s="137">
        <f t="shared" ca="1" si="175"/>
        <v>125.32059043608862</v>
      </c>
      <c r="J191" s="137">
        <f t="shared" ca="1" si="175"/>
        <v>126.02872804288921</v>
      </c>
      <c r="K191" s="137">
        <f t="shared" ca="1" si="175"/>
        <v>0</v>
      </c>
    </row>
    <row r="192" spans="1:11" ht="15" customHeight="1" x14ac:dyDescent="0.3">
      <c r="A192" s="4" t="s">
        <v>126</v>
      </c>
      <c r="B192" s="3" t="str">
        <f>B43</f>
        <v>Senior notes</v>
      </c>
      <c r="C192" s="3"/>
      <c r="D192" s="3"/>
      <c r="E192" s="3"/>
      <c r="F192" s="3"/>
      <c r="G192" s="135">
        <f ca="1">G239</f>
        <v>0</v>
      </c>
      <c r="H192" s="135">
        <f t="shared" ref="H192:K192" ca="1" si="176">H239</f>
        <v>0</v>
      </c>
      <c r="I192" s="135">
        <f t="shared" ca="1" si="176"/>
        <v>0</v>
      </c>
      <c r="J192" s="135">
        <f t="shared" ca="1" si="176"/>
        <v>56.922987874322018</v>
      </c>
      <c r="K192" s="135">
        <f t="shared" ca="1" si="176"/>
        <v>240.80264681833799</v>
      </c>
    </row>
    <row r="193" spans="1:11" ht="15" customHeight="1" x14ac:dyDescent="0.3">
      <c r="A193" s="4" t="s">
        <v>126</v>
      </c>
      <c r="B193" s="7" t="s">
        <v>37</v>
      </c>
      <c r="G193" s="49">
        <f ca="1">SUM(G190:G192)</f>
        <v>24.531986065932529</v>
      </c>
      <c r="H193" s="49">
        <f t="shared" ref="H193:K193" ca="1" si="177">SUM(H190:H192)</f>
        <v>58.318695455089625</v>
      </c>
      <c r="I193" s="49">
        <f t="shared" ca="1" si="177"/>
        <v>125.32059043608862</v>
      </c>
      <c r="J193" s="49">
        <f t="shared" ca="1" si="177"/>
        <v>182.95171591721123</v>
      </c>
      <c r="K193" s="49">
        <f t="shared" ca="1" si="177"/>
        <v>240.80264681833799</v>
      </c>
    </row>
    <row r="194" spans="1:11" ht="15" customHeight="1" x14ac:dyDescent="0.3">
      <c r="A194" s="4" t="s">
        <v>126</v>
      </c>
    </row>
    <row r="195" spans="1:11" ht="15" customHeight="1" x14ac:dyDescent="0.3">
      <c r="A195" s="4" t="s">
        <v>126</v>
      </c>
      <c r="B195" s="40" t="s">
        <v>148</v>
      </c>
      <c r="C195" s="138"/>
      <c r="D195" s="138"/>
      <c r="E195" s="138"/>
      <c r="F195" s="138"/>
      <c r="G195" s="86">
        <f ca="1">G187-G193</f>
        <v>0</v>
      </c>
      <c r="H195" s="86">
        <f t="shared" ref="H195:K195" ca="1" si="178">H187-H193</f>
        <v>0</v>
      </c>
      <c r="I195" s="86">
        <f t="shared" ca="1" si="178"/>
        <v>0</v>
      </c>
      <c r="J195" s="86">
        <f t="shared" ca="1" si="178"/>
        <v>0</v>
      </c>
      <c r="K195" s="139">
        <f t="shared" ca="1" si="178"/>
        <v>0</v>
      </c>
    </row>
    <row r="196" spans="1:11" ht="15" customHeight="1" x14ac:dyDescent="0.3"/>
    <row r="197" spans="1:11" x14ac:dyDescent="0.3">
      <c r="A197" s="4" t="s">
        <v>0</v>
      </c>
      <c r="B197" s="5" t="s">
        <v>105</v>
      </c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4.95" customHeight="1" x14ac:dyDescent="0.3"/>
    <row r="199" spans="1:11" x14ac:dyDescent="0.3">
      <c r="B199" s="6" t="s">
        <v>106</v>
      </c>
      <c r="C199" s="6"/>
      <c r="D199" s="53">
        <v>2008</v>
      </c>
      <c r="E199" s="53">
        <f>D199+1</f>
        <v>2009</v>
      </c>
      <c r="F199" s="53">
        <f t="shared" ref="F199:K199" si="179">E199+1</f>
        <v>2010</v>
      </c>
      <c r="G199" s="54">
        <f t="shared" si="179"/>
        <v>2011</v>
      </c>
      <c r="H199" s="54">
        <f t="shared" si="179"/>
        <v>2012</v>
      </c>
      <c r="I199" s="54">
        <f t="shared" si="179"/>
        <v>2013</v>
      </c>
      <c r="J199" s="54">
        <f t="shared" si="179"/>
        <v>2014</v>
      </c>
      <c r="K199" s="54">
        <f t="shared" si="179"/>
        <v>2015</v>
      </c>
    </row>
    <row r="200" spans="1:11" x14ac:dyDescent="0.3">
      <c r="A200" s="4" t="s">
        <v>126</v>
      </c>
      <c r="B200" s="81" t="s">
        <v>19</v>
      </c>
    </row>
    <row r="201" spans="1:11" x14ac:dyDescent="0.3">
      <c r="A201" s="4" t="s">
        <v>126</v>
      </c>
      <c r="B201" s="8" t="s">
        <v>107</v>
      </c>
      <c r="G201" s="109">
        <f>E23</f>
        <v>118.19999999999999</v>
      </c>
      <c r="H201" s="51">
        <f t="shared" ref="H201:K201" ca="1" si="180">G203</f>
        <v>118.19999999999999</v>
      </c>
      <c r="I201" s="51">
        <f t="shared" ca="1" si="180"/>
        <v>118.19999999999999</v>
      </c>
      <c r="J201" s="51">
        <f t="shared" ca="1" si="180"/>
        <v>118.19999999999999</v>
      </c>
      <c r="K201" s="51">
        <f t="shared" ca="1" si="180"/>
        <v>118.19999999999999</v>
      </c>
    </row>
    <row r="202" spans="1:11" x14ac:dyDescent="0.3">
      <c r="A202" s="4" t="s">
        <v>126</v>
      </c>
      <c r="B202" s="8" t="s">
        <v>108</v>
      </c>
      <c r="G202" s="51">
        <f ca="1">G195</f>
        <v>0</v>
      </c>
      <c r="H202" s="51">
        <f ca="1">H195</f>
        <v>0</v>
      </c>
      <c r="I202" s="51">
        <f ca="1">I195</f>
        <v>0</v>
      </c>
      <c r="J202" s="51">
        <f ca="1">J195</f>
        <v>0</v>
      </c>
      <c r="K202" s="51">
        <f ca="1">K195</f>
        <v>0</v>
      </c>
    </row>
    <row r="203" spans="1:11" x14ac:dyDescent="0.3">
      <c r="A203" s="4" t="s">
        <v>126</v>
      </c>
      <c r="B203" s="99" t="s">
        <v>109</v>
      </c>
      <c r="F203" s="91">
        <f>E22</f>
        <v>187.6</v>
      </c>
      <c r="G203" s="49">
        <f ca="1">G201+G202</f>
        <v>118.19999999999999</v>
      </c>
      <c r="H203" s="49">
        <f t="shared" ref="H203:K203" ca="1" si="181">H201+H202</f>
        <v>118.19999999999999</v>
      </c>
      <c r="I203" s="49">
        <f t="shared" ca="1" si="181"/>
        <v>118.19999999999999</v>
      </c>
      <c r="J203" s="49">
        <f t="shared" ca="1" si="181"/>
        <v>118.19999999999999</v>
      </c>
      <c r="K203" s="49">
        <f t="shared" ca="1" si="181"/>
        <v>118.19999999999999</v>
      </c>
    </row>
    <row r="204" spans="1:11" x14ac:dyDescent="0.3">
      <c r="A204" s="4" t="s">
        <v>126</v>
      </c>
    </row>
    <row r="205" spans="1:11" x14ac:dyDescent="0.3">
      <c r="A205" s="4" t="s">
        <v>126</v>
      </c>
      <c r="B205" s="81" t="str">
        <f>B40</f>
        <v>Revolver</v>
      </c>
    </row>
    <row r="206" spans="1:11" x14ac:dyDescent="0.3">
      <c r="A206" s="4" t="s">
        <v>126</v>
      </c>
      <c r="B206" s="8" t="s">
        <v>151</v>
      </c>
      <c r="G206" s="51">
        <f>G201</f>
        <v>118.19999999999999</v>
      </c>
      <c r="H206" s="51">
        <f t="shared" ref="H206:K206" ca="1" si="182">H201</f>
        <v>118.19999999999999</v>
      </c>
      <c r="I206" s="51">
        <f t="shared" ca="1" si="182"/>
        <v>118.19999999999999</v>
      </c>
      <c r="J206" s="51">
        <f t="shared" ca="1" si="182"/>
        <v>118.19999999999999</v>
      </c>
      <c r="K206" s="51">
        <f t="shared" ca="1" si="182"/>
        <v>118.19999999999999</v>
      </c>
    </row>
    <row r="207" spans="1:11" x14ac:dyDescent="0.3">
      <c r="A207" s="4" t="s">
        <v>126</v>
      </c>
      <c r="B207" s="8" t="s">
        <v>24</v>
      </c>
      <c r="G207" s="51">
        <f>$E$23</f>
        <v>118.19999999999999</v>
      </c>
      <c r="H207" s="51">
        <f t="shared" ref="H207:K207" si="183">$E$23</f>
        <v>118.19999999999999</v>
      </c>
      <c r="I207" s="51">
        <f t="shared" si="183"/>
        <v>118.19999999999999</v>
      </c>
      <c r="J207" s="51">
        <f t="shared" si="183"/>
        <v>118.19999999999999</v>
      </c>
      <c r="K207" s="51">
        <f t="shared" si="183"/>
        <v>118.19999999999999</v>
      </c>
    </row>
    <row r="208" spans="1:11" x14ac:dyDescent="0.3">
      <c r="A208" s="4" t="s">
        <v>126</v>
      </c>
      <c r="B208" s="8" t="s">
        <v>152</v>
      </c>
      <c r="G208" s="21">
        <f>G206-G207</f>
        <v>0</v>
      </c>
      <c r="H208" s="21">
        <f t="shared" ref="H208:K208" ca="1" si="184">H206-H207</f>
        <v>0</v>
      </c>
      <c r="I208" s="21">
        <f t="shared" ca="1" si="184"/>
        <v>0</v>
      </c>
      <c r="J208" s="21">
        <f t="shared" ca="1" si="184"/>
        <v>0</v>
      </c>
      <c r="K208" s="21">
        <f t="shared" ca="1" si="184"/>
        <v>0</v>
      </c>
    </row>
    <row r="209" spans="1:13" x14ac:dyDescent="0.3">
      <c r="A209" s="4" t="s">
        <v>126</v>
      </c>
      <c r="B209" s="8" t="s">
        <v>153</v>
      </c>
      <c r="G209" s="51">
        <f ca="1">G184</f>
        <v>24.531986065932529</v>
      </c>
      <c r="H209" s="51">
        <f ca="1">H184</f>
        <v>58.318695455089625</v>
      </c>
      <c r="I209" s="51">
        <f ca="1">I184</f>
        <v>125.32059043608862</v>
      </c>
      <c r="J209" s="51">
        <f ca="1">J184</f>
        <v>182.95171591721123</v>
      </c>
      <c r="K209" s="51">
        <f ca="1">K184</f>
        <v>240.80264681833799</v>
      </c>
    </row>
    <row r="210" spans="1:13" x14ac:dyDescent="0.3">
      <c r="A210" s="4" t="s">
        <v>126</v>
      </c>
      <c r="B210" s="99" t="s">
        <v>154</v>
      </c>
      <c r="G210" s="49">
        <f ca="1">G208+G209</f>
        <v>24.531986065932529</v>
      </c>
      <c r="H210" s="49">
        <f t="shared" ref="H210:K210" ca="1" si="185">H208+H209</f>
        <v>58.318695455089625</v>
      </c>
      <c r="I210" s="49">
        <f t="shared" ca="1" si="185"/>
        <v>125.32059043608862</v>
      </c>
      <c r="J210" s="49">
        <f t="shared" ca="1" si="185"/>
        <v>182.95171591721123</v>
      </c>
      <c r="K210" s="49">
        <f t="shared" ca="1" si="185"/>
        <v>240.80264681833799</v>
      </c>
    </row>
    <row r="211" spans="1:13" x14ac:dyDescent="0.3">
      <c r="A211" s="4" t="s">
        <v>126</v>
      </c>
      <c r="B211" s="7"/>
    </row>
    <row r="212" spans="1:13" x14ac:dyDescent="0.3">
      <c r="A212" s="4" t="s">
        <v>126</v>
      </c>
      <c r="B212" s="8" t="s">
        <v>107</v>
      </c>
      <c r="G212" s="51">
        <f>F214</f>
        <v>0</v>
      </c>
      <c r="H212" s="51">
        <f t="shared" ref="H212:K212" ca="1" si="186">G214</f>
        <v>0</v>
      </c>
      <c r="I212" s="51">
        <f t="shared" ca="1" si="186"/>
        <v>0</v>
      </c>
      <c r="J212" s="51">
        <f t="shared" ca="1" si="186"/>
        <v>0</v>
      </c>
      <c r="K212" s="51">
        <f t="shared" ca="1" si="186"/>
        <v>0</v>
      </c>
    </row>
    <row r="213" spans="1:13" x14ac:dyDescent="0.3">
      <c r="A213" s="4" t="s">
        <v>126</v>
      </c>
      <c r="B213" s="8" t="s">
        <v>155</v>
      </c>
      <c r="G213" s="21">
        <f ca="1">-MIN(G210,G212)</f>
        <v>0</v>
      </c>
      <c r="H213" s="21">
        <f t="shared" ref="H213:K213" ca="1" si="187">-MIN(H210,H212)</f>
        <v>0</v>
      </c>
      <c r="I213" s="21">
        <f t="shared" ca="1" si="187"/>
        <v>0</v>
      </c>
      <c r="J213" s="21">
        <f t="shared" ca="1" si="187"/>
        <v>0</v>
      </c>
      <c r="K213" s="21">
        <f t="shared" ca="1" si="187"/>
        <v>0</v>
      </c>
    </row>
    <row r="214" spans="1:13" x14ac:dyDescent="0.3">
      <c r="A214" s="4" t="s">
        <v>126</v>
      </c>
      <c r="B214" s="99" t="s">
        <v>109</v>
      </c>
      <c r="F214" s="91">
        <f>E28</f>
        <v>0</v>
      </c>
      <c r="G214" s="49">
        <f ca="1">G212+G213</f>
        <v>0</v>
      </c>
      <c r="H214" s="49">
        <f t="shared" ref="H214:K214" ca="1" si="188">H212+H213</f>
        <v>0</v>
      </c>
      <c r="I214" s="49">
        <f t="shared" ca="1" si="188"/>
        <v>0</v>
      </c>
      <c r="J214" s="49">
        <f t="shared" ca="1" si="188"/>
        <v>0</v>
      </c>
      <c r="K214" s="49">
        <f t="shared" ca="1" si="188"/>
        <v>0</v>
      </c>
    </row>
    <row r="215" spans="1:13" x14ac:dyDescent="0.3">
      <c r="A215" s="4" t="s">
        <v>126</v>
      </c>
      <c r="B215" s="8" t="s">
        <v>156</v>
      </c>
      <c r="G215" s="52">
        <v>150</v>
      </c>
      <c r="H215" s="51">
        <f>G215</f>
        <v>150</v>
      </c>
      <c r="I215" s="51">
        <f t="shared" ref="I215:K215" si="189">H215</f>
        <v>150</v>
      </c>
      <c r="J215" s="51">
        <f t="shared" si="189"/>
        <v>150</v>
      </c>
      <c r="K215" s="51">
        <f t="shared" si="189"/>
        <v>150</v>
      </c>
    </row>
    <row r="216" spans="1:13" x14ac:dyDescent="0.3">
      <c r="A216" s="4" t="s">
        <v>126</v>
      </c>
      <c r="B216" s="127" t="s">
        <v>112</v>
      </c>
      <c r="C216" s="128"/>
      <c r="D216" s="128"/>
      <c r="E216" s="128"/>
      <c r="F216" s="128"/>
      <c r="G216" s="129" t="str">
        <f ca="1">IF(G214&gt;G215,"OVERDRAWN","OK")</f>
        <v>OK</v>
      </c>
      <c r="H216" s="129" t="str">
        <f t="shared" ref="H216:K216" ca="1" si="190">IF(H214&gt;H215,"OVERDRAWN","OK")</f>
        <v>OK</v>
      </c>
      <c r="I216" s="129" t="str">
        <f t="shared" ca="1" si="190"/>
        <v>OK</v>
      </c>
      <c r="J216" s="129" t="str">
        <f t="shared" ca="1" si="190"/>
        <v>OK</v>
      </c>
      <c r="K216" s="129" t="str">
        <f t="shared" ca="1" si="190"/>
        <v>OK</v>
      </c>
    </row>
    <row r="217" spans="1:13" x14ac:dyDescent="0.3">
      <c r="A217" s="4" t="s">
        <v>126</v>
      </c>
    </row>
    <row r="218" spans="1:13" x14ac:dyDescent="0.3">
      <c r="A218" s="4" t="s">
        <v>126</v>
      </c>
      <c r="B218" s="81" t="str">
        <f>B41</f>
        <v>Secured term loan - USD tranche</v>
      </c>
    </row>
    <row r="219" spans="1:13" x14ac:dyDescent="0.3">
      <c r="A219" s="4" t="s">
        <v>126</v>
      </c>
      <c r="B219" s="8" t="s">
        <v>107</v>
      </c>
      <c r="G219" s="51">
        <f>F222</f>
        <v>1510</v>
      </c>
      <c r="H219" s="51">
        <f t="shared" ref="H219:K219" ca="1" si="191">G222</f>
        <v>1510</v>
      </c>
      <c r="I219" s="51">
        <f t="shared" ca="1" si="191"/>
        <v>1510</v>
      </c>
      <c r="J219" s="51">
        <f t="shared" ca="1" si="191"/>
        <v>1510</v>
      </c>
      <c r="K219" s="51">
        <f t="shared" ca="1" si="191"/>
        <v>1510</v>
      </c>
    </row>
    <row r="220" spans="1:13" x14ac:dyDescent="0.3">
      <c r="A220" s="4" t="s">
        <v>126</v>
      </c>
      <c r="B220" s="8" t="s">
        <v>159</v>
      </c>
      <c r="G220" s="50">
        <f>MIN(G219*G224,G219)</f>
        <v>0</v>
      </c>
      <c r="H220" s="50">
        <f t="shared" ref="H220:K220" ca="1" si="192">MIN(H219*H224,H219)</f>
        <v>0</v>
      </c>
      <c r="I220" s="50">
        <f t="shared" ca="1" si="192"/>
        <v>0</v>
      </c>
      <c r="J220" s="50">
        <f t="shared" ca="1" si="192"/>
        <v>0</v>
      </c>
      <c r="K220" s="50">
        <f t="shared" ca="1" si="192"/>
        <v>0</v>
      </c>
      <c r="M220" t="s">
        <v>164</v>
      </c>
    </row>
    <row r="221" spans="1:13" x14ac:dyDescent="0.3">
      <c r="A221" s="4" t="s">
        <v>126</v>
      </c>
      <c r="B221" s="8" t="s">
        <v>163</v>
      </c>
      <c r="G221" s="21">
        <f ca="1">MIN(G225,G219-G220)</f>
        <v>0</v>
      </c>
      <c r="H221" s="21">
        <f t="shared" ref="H221:K221" ca="1" si="193">MIN(H225,H219-H220)</f>
        <v>0</v>
      </c>
      <c r="I221" s="21">
        <f t="shared" ca="1" si="193"/>
        <v>0</v>
      </c>
      <c r="J221" s="21">
        <f t="shared" ca="1" si="193"/>
        <v>0</v>
      </c>
      <c r="K221" s="21">
        <f t="shared" ca="1" si="193"/>
        <v>0</v>
      </c>
      <c r="M221" t="s">
        <v>164</v>
      </c>
    </row>
    <row r="222" spans="1:13" x14ac:dyDescent="0.3">
      <c r="A222" s="4" t="s">
        <v>126</v>
      </c>
      <c r="B222" s="99" t="s">
        <v>109</v>
      </c>
      <c r="F222" s="91">
        <f>E29</f>
        <v>1510</v>
      </c>
      <c r="G222" s="49">
        <f ca="1">G219-G220-G221</f>
        <v>1510</v>
      </c>
      <c r="H222" s="49">
        <f t="shared" ref="H222:K222" ca="1" si="194">H219-H220-H221</f>
        <v>1510</v>
      </c>
      <c r="I222" s="49">
        <f t="shared" ca="1" si="194"/>
        <v>1510</v>
      </c>
      <c r="J222" s="49">
        <f t="shared" ca="1" si="194"/>
        <v>1510</v>
      </c>
      <c r="K222" s="49">
        <f t="shared" ca="1" si="194"/>
        <v>1510</v>
      </c>
    </row>
    <row r="223" spans="1:13" x14ac:dyDescent="0.3">
      <c r="A223" s="4" t="s">
        <v>126</v>
      </c>
      <c r="B223" s="99"/>
      <c r="F223" s="91"/>
      <c r="G223" s="49"/>
      <c r="H223" s="49"/>
      <c r="I223" s="49"/>
      <c r="J223" s="49"/>
      <c r="K223" s="49"/>
    </row>
    <row r="224" spans="1:13" x14ac:dyDescent="0.3">
      <c r="A224" s="4" t="s">
        <v>126</v>
      </c>
      <c r="B224" s="77" t="s">
        <v>160</v>
      </c>
      <c r="F224" s="91"/>
      <c r="G224" s="132">
        <v>0</v>
      </c>
      <c r="H224" s="132">
        <v>0</v>
      </c>
      <c r="I224" s="132">
        <v>0</v>
      </c>
      <c r="J224" s="132">
        <v>0</v>
      </c>
      <c r="K224" s="132">
        <v>0</v>
      </c>
    </row>
    <row r="225" spans="1:11" x14ac:dyDescent="0.3">
      <c r="A225" s="4" t="s">
        <v>126</v>
      </c>
      <c r="B225" s="77" t="s">
        <v>161</v>
      </c>
      <c r="E225" s="131" t="s">
        <v>162</v>
      </c>
      <c r="F225" s="132">
        <v>0</v>
      </c>
      <c r="G225" s="49">
        <f ca="1">$F$225*(G210+G213)</f>
        <v>0</v>
      </c>
      <c r="H225" s="49">
        <f ca="1">$F$225*(H210+H213)</f>
        <v>0</v>
      </c>
      <c r="I225" s="49">
        <f t="shared" ref="I225:K225" ca="1" si="195">$F$225*(I210+I213)</f>
        <v>0</v>
      </c>
      <c r="J225" s="49">
        <f t="shared" ca="1" si="195"/>
        <v>0</v>
      </c>
      <c r="K225" s="49">
        <f t="shared" ca="1" si="195"/>
        <v>0</v>
      </c>
    </row>
    <row r="226" spans="1:11" x14ac:dyDescent="0.3">
      <c r="A226" s="4" t="s">
        <v>126</v>
      </c>
      <c r="B226" s="7"/>
    </row>
    <row r="227" spans="1:11" x14ac:dyDescent="0.3">
      <c r="A227" s="4" t="s">
        <v>126</v>
      </c>
      <c r="B227" s="81" t="str">
        <f>B42</f>
        <v>Secured term loan - EUR tranche</v>
      </c>
    </row>
    <row r="228" spans="1:11" x14ac:dyDescent="0.3">
      <c r="A228" s="4" t="s">
        <v>126</v>
      </c>
      <c r="B228" s="8" t="s">
        <v>107</v>
      </c>
      <c r="G228" s="51">
        <f>F231</f>
        <v>334.2</v>
      </c>
      <c r="H228" s="51">
        <f t="shared" ref="H228:K228" ca="1" si="196">G231</f>
        <v>309.66801393406746</v>
      </c>
      <c r="I228" s="51">
        <f t="shared" ca="1" si="196"/>
        <v>251.34931847897784</v>
      </c>
      <c r="J228" s="51">
        <f t="shared" ca="1" si="196"/>
        <v>126.02872804288921</v>
      </c>
      <c r="K228" s="51">
        <f t="shared" ca="1" si="196"/>
        <v>0</v>
      </c>
    </row>
    <row r="229" spans="1:11" x14ac:dyDescent="0.3">
      <c r="A229" s="4" t="s">
        <v>126</v>
      </c>
      <c r="B229" s="8" t="s">
        <v>159</v>
      </c>
      <c r="G229" s="50">
        <f>MIN(G228*G233,G228)</f>
        <v>0</v>
      </c>
      <c r="H229" s="50">
        <f t="shared" ref="H229:K229" ca="1" si="197">MIN(H228*H233,H228)</f>
        <v>0</v>
      </c>
      <c r="I229" s="50">
        <f t="shared" ca="1" si="197"/>
        <v>0</v>
      </c>
      <c r="J229" s="50">
        <f t="shared" ca="1" si="197"/>
        <v>0</v>
      </c>
      <c r="K229" s="50">
        <f t="shared" ca="1" si="197"/>
        <v>0</v>
      </c>
    </row>
    <row r="230" spans="1:11" x14ac:dyDescent="0.3">
      <c r="A230" s="4" t="s">
        <v>126</v>
      </c>
      <c r="B230" s="8" t="s">
        <v>163</v>
      </c>
      <c r="G230" s="21">
        <f ca="1">MIN(G234,G228-G229)</f>
        <v>24.531986065932529</v>
      </c>
      <c r="H230" s="21">
        <f t="shared" ref="H230:K230" ca="1" si="198">MIN(H234,H228-H229)</f>
        <v>58.318695455089625</v>
      </c>
      <c r="I230" s="21">
        <f t="shared" ca="1" si="198"/>
        <v>125.32059043608862</v>
      </c>
      <c r="J230" s="21">
        <f t="shared" ca="1" si="198"/>
        <v>126.02872804288921</v>
      </c>
      <c r="K230" s="21">
        <f t="shared" ca="1" si="198"/>
        <v>0</v>
      </c>
    </row>
    <row r="231" spans="1:11" x14ac:dyDescent="0.3">
      <c r="A231" s="4" t="s">
        <v>126</v>
      </c>
      <c r="B231" s="99" t="s">
        <v>109</v>
      </c>
      <c r="F231" s="91">
        <f>E30</f>
        <v>334.2</v>
      </c>
      <c r="G231" s="49">
        <f ca="1">G228-G229-G230</f>
        <v>309.66801393406746</v>
      </c>
      <c r="H231" s="49">
        <f t="shared" ref="H231:K231" ca="1" si="199">H228-H229-H230</f>
        <v>251.34931847897784</v>
      </c>
      <c r="I231" s="49">
        <f t="shared" ca="1" si="199"/>
        <v>126.02872804288921</v>
      </c>
      <c r="J231" s="49">
        <f t="shared" ca="1" si="199"/>
        <v>0</v>
      </c>
      <c r="K231" s="49">
        <f t="shared" ca="1" si="199"/>
        <v>0</v>
      </c>
    </row>
    <row r="232" spans="1:11" x14ac:dyDescent="0.3">
      <c r="A232" s="4" t="s">
        <v>126</v>
      </c>
    </row>
    <row r="233" spans="1:11" x14ac:dyDescent="0.3">
      <c r="A233" s="4" t="s">
        <v>126</v>
      </c>
      <c r="B233" s="77" t="s">
        <v>160</v>
      </c>
      <c r="F233" s="91"/>
      <c r="G233" s="132">
        <v>0</v>
      </c>
      <c r="H233" s="132">
        <v>0</v>
      </c>
      <c r="I233" s="132">
        <v>0</v>
      </c>
      <c r="J233" s="132">
        <v>0</v>
      </c>
      <c r="K233" s="132">
        <v>0</v>
      </c>
    </row>
    <row r="234" spans="1:11" x14ac:dyDescent="0.3">
      <c r="A234" s="4" t="s">
        <v>126</v>
      </c>
      <c r="B234" s="77" t="s">
        <v>161</v>
      </c>
      <c r="E234" s="131" t="s">
        <v>162</v>
      </c>
      <c r="F234" s="132">
        <v>1</v>
      </c>
      <c r="G234" s="49">
        <f ca="1">$F$234*(G210+G213-G221)</f>
        <v>24.531986065932529</v>
      </c>
      <c r="H234" s="49">
        <f t="shared" ref="H234:K234" ca="1" si="200">$F$234*(H210+H213-H221)</f>
        <v>58.318695455089625</v>
      </c>
      <c r="I234" s="49">
        <f t="shared" ca="1" si="200"/>
        <v>125.32059043608862</v>
      </c>
      <c r="J234" s="49">
        <f t="shared" ca="1" si="200"/>
        <v>182.95171591721123</v>
      </c>
      <c r="K234" s="49">
        <f t="shared" ca="1" si="200"/>
        <v>240.80264681833799</v>
      </c>
    </row>
    <row r="235" spans="1:11" x14ac:dyDescent="0.3">
      <c r="A235" s="4" t="s">
        <v>126</v>
      </c>
    </row>
    <row r="236" spans="1:11" x14ac:dyDescent="0.3">
      <c r="A236" s="4" t="s">
        <v>126</v>
      </c>
      <c r="B236" s="81" t="str">
        <f>B43</f>
        <v>Senior notes</v>
      </c>
    </row>
    <row r="237" spans="1:11" x14ac:dyDescent="0.3">
      <c r="A237" s="4" t="s">
        <v>126</v>
      </c>
      <c r="B237" s="8" t="s">
        <v>107</v>
      </c>
      <c r="G237" s="51">
        <f>F240</f>
        <v>800</v>
      </c>
      <c r="H237" s="51">
        <f t="shared" ref="H237:K237" ca="1" si="201">G240</f>
        <v>800</v>
      </c>
      <c r="I237" s="51">
        <f t="shared" ca="1" si="201"/>
        <v>800</v>
      </c>
      <c r="J237" s="51">
        <f t="shared" ca="1" si="201"/>
        <v>800</v>
      </c>
      <c r="K237" s="51">
        <f t="shared" ca="1" si="201"/>
        <v>743.07701212567804</v>
      </c>
    </row>
    <row r="238" spans="1:11" x14ac:dyDescent="0.3">
      <c r="A238" s="4" t="s">
        <v>126</v>
      </c>
      <c r="B238" s="8" t="s">
        <v>159</v>
      </c>
      <c r="G238" s="50">
        <f>MIN(G237*G242,G237)</f>
        <v>0</v>
      </c>
      <c r="H238" s="50">
        <f t="shared" ref="H238" ca="1" si="202">MIN(H237*H242,H237)</f>
        <v>0</v>
      </c>
      <c r="I238" s="50">
        <f t="shared" ref="I238" ca="1" si="203">MIN(I237*I242,I237)</f>
        <v>0</v>
      </c>
      <c r="J238" s="50">
        <f t="shared" ref="J238" ca="1" si="204">MIN(J237*J242,J237)</f>
        <v>0</v>
      </c>
      <c r="K238" s="50">
        <f t="shared" ref="K238" ca="1" si="205">MIN(K237*K242,K237)</f>
        <v>0</v>
      </c>
    </row>
    <row r="239" spans="1:11" x14ac:dyDescent="0.3">
      <c r="A239" s="4" t="s">
        <v>126</v>
      </c>
      <c r="B239" s="8" t="s">
        <v>163</v>
      </c>
      <c r="G239" s="21">
        <f ca="1">MIN(G243,G237-G238)</f>
        <v>0</v>
      </c>
      <c r="H239" s="21">
        <f t="shared" ref="H239" ca="1" si="206">MIN(H243,H237-H238)</f>
        <v>0</v>
      </c>
      <c r="I239" s="21">
        <f t="shared" ref="I239" ca="1" si="207">MIN(I243,I237-I238)</f>
        <v>0</v>
      </c>
      <c r="J239" s="21">
        <f t="shared" ref="J239" ca="1" si="208">MIN(J243,J237-J238)</f>
        <v>56.922987874322018</v>
      </c>
      <c r="K239" s="21">
        <f t="shared" ref="K239" ca="1" si="209">MIN(K243,K237-K238)</f>
        <v>240.80264681833799</v>
      </c>
    </row>
    <row r="240" spans="1:11" x14ac:dyDescent="0.3">
      <c r="A240" s="4" t="s">
        <v>126</v>
      </c>
      <c r="B240" s="99" t="s">
        <v>109</v>
      </c>
      <c r="F240" s="91">
        <f>E31</f>
        <v>800</v>
      </c>
      <c r="G240" s="49">
        <f ca="1">G237-G238-G239</f>
        <v>800</v>
      </c>
      <c r="H240" s="49">
        <f t="shared" ref="H240:K240" ca="1" si="210">H237-H238-H239</f>
        <v>800</v>
      </c>
      <c r="I240" s="49">
        <f t="shared" ca="1" si="210"/>
        <v>800</v>
      </c>
      <c r="J240" s="49">
        <f t="shared" ca="1" si="210"/>
        <v>743.07701212567804</v>
      </c>
      <c r="K240" s="49">
        <f t="shared" ca="1" si="210"/>
        <v>502.27436530734008</v>
      </c>
    </row>
    <row r="241" spans="1:11" x14ac:dyDescent="0.3">
      <c r="A241" s="4" t="s">
        <v>126</v>
      </c>
      <c r="B241" s="99"/>
      <c r="F241" s="91"/>
      <c r="G241" s="49"/>
      <c r="H241" s="49"/>
      <c r="I241" s="49"/>
      <c r="J241" s="49"/>
      <c r="K241" s="49"/>
    </row>
    <row r="242" spans="1:11" x14ac:dyDescent="0.3">
      <c r="A242" s="4" t="s">
        <v>126</v>
      </c>
      <c r="B242" s="77" t="s">
        <v>160</v>
      </c>
      <c r="F242" s="91"/>
      <c r="G242" s="132">
        <v>0</v>
      </c>
      <c r="H242" s="132">
        <v>0</v>
      </c>
      <c r="I242" s="132">
        <v>0</v>
      </c>
      <c r="J242" s="132">
        <v>0</v>
      </c>
      <c r="K242" s="132">
        <v>0</v>
      </c>
    </row>
    <row r="243" spans="1:11" x14ac:dyDescent="0.3">
      <c r="A243" s="4" t="s">
        <v>126</v>
      </c>
      <c r="B243" s="77" t="s">
        <v>161</v>
      </c>
      <c r="E243" s="131" t="s">
        <v>162</v>
      </c>
      <c r="F243" s="132">
        <v>1</v>
      </c>
      <c r="G243" s="49">
        <f ca="1">$F$243*(G210+G213-G221-G230)</f>
        <v>0</v>
      </c>
      <c r="H243" s="49">
        <f t="shared" ref="H243:K243" ca="1" si="211">$F$243*(H210+H213-H221-H230)</f>
        <v>0</v>
      </c>
      <c r="I243" s="49">
        <f t="shared" ca="1" si="211"/>
        <v>0</v>
      </c>
      <c r="J243" s="49">
        <f t="shared" ca="1" si="211"/>
        <v>56.922987874322018</v>
      </c>
      <c r="K243" s="49">
        <f t="shared" ca="1" si="211"/>
        <v>240.80264681833799</v>
      </c>
    </row>
    <row r="244" spans="1:11" x14ac:dyDescent="0.3">
      <c r="A244" s="4" t="s">
        <v>126</v>
      </c>
      <c r="B244" s="99"/>
      <c r="F244" s="91"/>
      <c r="G244" s="49"/>
      <c r="H244" s="49"/>
      <c r="I244" s="49"/>
      <c r="J244" s="49"/>
      <c r="K244" s="49"/>
    </row>
    <row r="245" spans="1:11" x14ac:dyDescent="0.3">
      <c r="A245" s="4" t="s">
        <v>126</v>
      </c>
      <c r="B245" s="81" t="str">
        <f>B44</f>
        <v>Subordinated Notes</v>
      </c>
      <c r="F245" s="91"/>
      <c r="G245" s="49"/>
      <c r="H245" s="49"/>
      <c r="I245" s="49"/>
      <c r="J245" s="49"/>
      <c r="K245" s="49"/>
    </row>
    <row r="246" spans="1:11" x14ac:dyDescent="0.3">
      <c r="A246" s="4" t="s">
        <v>126</v>
      </c>
      <c r="B246" s="8" t="s">
        <v>107</v>
      </c>
      <c r="F246" s="91"/>
      <c r="G246" s="51">
        <f>F249</f>
        <v>100</v>
      </c>
      <c r="H246" s="51">
        <f t="shared" ref="H246:K246" si="212">G249</f>
        <v>105</v>
      </c>
      <c r="I246" s="51">
        <f t="shared" si="212"/>
        <v>110.25</v>
      </c>
      <c r="J246" s="51">
        <f t="shared" si="212"/>
        <v>115.7625</v>
      </c>
      <c r="K246" s="51">
        <f t="shared" si="212"/>
        <v>121.550625</v>
      </c>
    </row>
    <row r="247" spans="1:11" x14ac:dyDescent="0.3">
      <c r="A247" s="4" t="s">
        <v>126</v>
      </c>
      <c r="B247" s="8" t="s">
        <v>159</v>
      </c>
      <c r="F247" s="91"/>
      <c r="G247" s="21">
        <f>MIN(G251*G246,G246)</f>
        <v>0</v>
      </c>
      <c r="H247" s="21">
        <f t="shared" ref="H247:K247" si="213">MIN(H251*H246,H246)</f>
        <v>0</v>
      </c>
      <c r="I247" s="21">
        <f t="shared" si="213"/>
        <v>0</v>
      </c>
      <c r="J247" s="21">
        <f t="shared" si="213"/>
        <v>0</v>
      </c>
      <c r="K247" s="21">
        <f t="shared" si="213"/>
        <v>0</v>
      </c>
    </row>
    <row r="248" spans="1:11" x14ac:dyDescent="0.3">
      <c r="A248" s="4" t="s">
        <v>126</v>
      </c>
      <c r="B248" s="8" t="s">
        <v>141</v>
      </c>
      <c r="F248" s="91"/>
      <c r="G248" s="21">
        <f>IF(PIK=2,G246*$L$32,0)</f>
        <v>5</v>
      </c>
      <c r="H248" s="21">
        <f>IF(PIK=2,H246*$L$32,0)</f>
        <v>5.25</v>
      </c>
      <c r="I248" s="21">
        <f>IF(PIK=2,I246*$L$32,0)</f>
        <v>5.5125000000000002</v>
      </c>
      <c r="J248" s="21">
        <f>IF(PIK=2,J246*$L$32,0)</f>
        <v>5.7881250000000009</v>
      </c>
      <c r="K248" s="21">
        <f>IF(PIK=2,K246*$L$32,0)</f>
        <v>6.0775312499999998</v>
      </c>
    </row>
    <row r="249" spans="1:11" x14ac:dyDescent="0.3">
      <c r="A249" s="4" t="s">
        <v>126</v>
      </c>
      <c r="B249" s="99" t="s">
        <v>109</v>
      </c>
      <c r="F249" s="91">
        <f>D44</f>
        <v>100</v>
      </c>
      <c r="G249" s="49">
        <f>G246-G247+G248</f>
        <v>105</v>
      </c>
      <c r="H249" s="49">
        <f t="shared" ref="H249:K249" si="214">H246-H247+H248</f>
        <v>110.25</v>
      </c>
      <c r="I249" s="49">
        <f t="shared" si="214"/>
        <v>115.7625</v>
      </c>
      <c r="J249" s="49">
        <f t="shared" si="214"/>
        <v>121.550625</v>
      </c>
      <c r="K249" s="49">
        <f t="shared" si="214"/>
        <v>127.62815624999999</v>
      </c>
    </row>
    <row r="250" spans="1:11" x14ac:dyDescent="0.3">
      <c r="A250" s="4" t="s">
        <v>126</v>
      </c>
      <c r="B250" s="99"/>
      <c r="F250" s="91"/>
      <c r="G250" s="49"/>
      <c r="H250" s="49"/>
      <c r="I250" s="49"/>
      <c r="J250" s="49"/>
      <c r="K250" s="49"/>
    </row>
    <row r="251" spans="1:11" x14ac:dyDescent="0.3">
      <c r="A251" s="4" t="s">
        <v>126</v>
      </c>
      <c r="B251" s="77" t="s">
        <v>160</v>
      </c>
      <c r="F251" s="91"/>
      <c r="G251" s="132">
        <v>0</v>
      </c>
      <c r="H251" s="132">
        <v>0</v>
      </c>
      <c r="I251" s="132">
        <v>0</v>
      </c>
      <c r="J251" s="132">
        <v>0</v>
      </c>
      <c r="K251" s="132">
        <v>0</v>
      </c>
    </row>
    <row r="252" spans="1:11" x14ac:dyDescent="0.3">
      <c r="A252" s="4" t="s">
        <v>126</v>
      </c>
    </row>
    <row r="253" spans="1:11" x14ac:dyDescent="0.3">
      <c r="A253" s="4" t="s">
        <v>126</v>
      </c>
      <c r="B253" s="100" t="s">
        <v>111</v>
      </c>
      <c r="C253" s="79"/>
      <c r="D253" s="79"/>
      <c r="E253" s="79"/>
      <c r="F253" s="79"/>
      <c r="G253" s="79"/>
      <c r="H253" s="79"/>
      <c r="I253" s="79"/>
      <c r="J253" s="79"/>
      <c r="K253" s="94"/>
    </row>
    <row r="254" spans="1:11" x14ac:dyDescent="0.3">
      <c r="A254" s="4" t="s">
        <v>126</v>
      </c>
      <c r="B254" s="101" t="s">
        <v>107</v>
      </c>
      <c r="C254" s="102"/>
      <c r="D254" s="102"/>
      <c r="E254" s="102"/>
      <c r="F254" s="102"/>
      <c r="G254" s="103">
        <f ca="1">G214+G219+G228+G237+G249</f>
        <v>2749.2</v>
      </c>
      <c r="H254" s="103">
        <f t="shared" ref="H254:K254" ca="1" si="215">H214+H219+H228+H237+H249</f>
        <v>2729.9180139340674</v>
      </c>
      <c r="I254" s="103">
        <f t="shared" ca="1" si="215"/>
        <v>2677.1118184789775</v>
      </c>
      <c r="J254" s="103">
        <f t="shared" ca="1" si="215"/>
        <v>2557.5793530428891</v>
      </c>
      <c r="K254" s="104">
        <f t="shared" ca="1" si="215"/>
        <v>2380.7051683756781</v>
      </c>
    </row>
    <row r="255" spans="1:11" x14ac:dyDescent="0.3">
      <c r="A255" s="4" t="s">
        <v>126</v>
      </c>
      <c r="B255" s="101" t="s">
        <v>110</v>
      </c>
      <c r="C255" s="102"/>
      <c r="D255" s="102"/>
      <c r="E255" s="102"/>
      <c r="F255" s="102"/>
      <c r="G255" s="103">
        <f ca="1">G213+G220+G221+G229+G230+G238+G239+G247</f>
        <v>24.531986065932529</v>
      </c>
      <c r="H255" s="103">
        <f t="shared" ref="H255:K255" ca="1" si="216">H213+H220+H221+H229+H230+H238+H239+H247</f>
        <v>58.318695455089625</v>
      </c>
      <c r="I255" s="103">
        <f t="shared" ca="1" si="216"/>
        <v>125.32059043608862</v>
      </c>
      <c r="J255" s="103">
        <f t="shared" ca="1" si="216"/>
        <v>182.95171591721123</v>
      </c>
      <c r="K255" s="104">
        <f t="shared" ca="1" si="216"/>
        <v>240.80264681833799</v>
      </c>
    </row>
    <row r="256" spans="1:11" x14ac:dyDescent="0.3">
      <c r="A256" s="4" t="s">
        <v>126</v>
      </c>
      <c r="B256" s="73" t="s">
        <v>109</v>
      </c>
      <c r="C256" s="80"/>
      <c r="D256" s="80"/>
      <c r="E256" s="80"/>
      <c r="F256" s="105">
        <f>F214+F222+F231+F240+F249</f>
        <v>2744.2</v>
      </c>
      <c r="G256" s="105">
        <f t="shared" ref="G256" ca="1" si="217">G214+G222+G231+G240+G249</f>
        <v>2724.6680139340674</v>
      </c>
      <c r="H256" s="105">
        <f t="shared" ref="H256:K256" ca="1" si="218">H214+H222+H231+H240+H249</f>
        <v>2671.5993184789777</v>
      </c>
      <c r="I256" s="105">
        <f t="shared" ca="1" si="218"/>
        <v>2551.7912280428891</v>
      </c>
      <c r="J256" s="105">
        <f t="shared" ca="1" si="218"/>
        <v>2374.6276371256781</v>
      </c>
      <c r="K256" s="106">
        <f t="shared" ca="1" si="218"/>
        <v>2139.9025215573402</v>
      </c>
    </row>
    <row r="257" spans="1:11" x14ac:dyDescent="0.3">
      <c r="A257" s="4" t="s">
        <v>126</v>
      </c>
      <c r="B257" s="107" t="s">
        <v>112</v>
      </c>
      <c r="C257" s="107"/>
      <c r="D257" s="107"/>
      <c r="E257" s="107"/>
      <c r="F257" s="107"/>
      <c r="G257" s="108" t="b">
        <f t="shared" ref="G257:K257" ca="1" si="219">G254-G255=G256</f>
        <v>1</v>
      </c>
      <c r="H257" s="108" t="b">
        <f t="shared" ca="1" si="219"/>
        <v>1</v>
      </c>
      <c r="I257" s="108" t="b">
        <f t="shared" ca="1" si="219"/>
        <v>1</v>
      </c>
      <c r="J257" s="108" t="b">
        <f t="shared" ca="1" si="219"/>
        <v>1</v>
      </c>
      <c r="K257" s="108" t="b">
        <f t="shared" ca="1" si="219"/>
        <v>1</v>
      </c>
    </row>
    <row r="259" spans="1:11" x14ac:dyDescent="0.3">
      <c r="A259" s="4" t="s">
        <v>0</v>
      </c>
      <c r="B259" s="6" t="s">
        <v>113</v>
      </c>
      <c r="C259" s="6"/>
      <c r="D259" s="53">
        <v>2008</v>
      </c>
      <c r="E259" s="53">
        <f>D259+1</f>
        <v>2009</v>
      </c>
      <c r="F259" s="53">
        <f t="shared" ref="F259:K259" si="220">E259+1</f>
        <v>2010</v>
      </c>
      <c r="G259" s="54">
        <f t="shared" si="220"/>
        <v>2011</v>
      </c>
      <c r="H259" s="54">
        <f t="shared" si="220"/>
        <v>2012</v>
      </c>
      <c r="I259" s="54">
        <f t="shared" si="220"/>
        <v>2013</v>
      </c>
      <c r="J259" s="54">
        <f t="shared" si="220"/>
        <v>2014</v>
      </c>
      <c r="K259" s="54">
        <f t="shared" si="220"/>
        <v>2015</v>
      </c>
    </row>
    <row r="260" spans="1:11" x14ac:dyDescent="0.3">
      <c r="B260" t="s">
        <v>19</v>
      </c>
      <c r="F260" s="51">
        <f>F83</f>
        <v>1</v>
      </c>
      <c r="G260" s="50">
        <f ca="1">IF(CIRC="OFF",AVERAGE(G201,G203)*G261,0)</f>
        <v>0.63006396588486135</v>
      </c>
      <c r="H260" s="50">
        <f ca="1">IF(CIRC="OFF",AVERAGE(H201,H203)*H261,0)</f>
        <v>0.63006396588486135</v>
      </c>
      <c r="I260" s="50">
        <f ca="1">IF(CIRC="OFF",AVERAGE(I201,I203)*I261,0)</f>
        <v>0.63006396588486135</v>
      </c>
      <c r="J260" s="50">
        <f ca="1">IF(CIRC="OFF",AVERAGE(J201,J203)*J261,0)</f>
        <v>0.63006396588486135</v>
      </c>
      <c r="K260" s="50">
        <f ca="1">IF(CIRC="OFF",AVERAGE(K201,K203)*K261,0)</f>
        <v>0.63006396588486135</v>
      </c>
    </row>
    <row r="261" spans="1:11" x14ac:dyDescent="0.3">
      <c r="B261" s="77" t="s">
        <v>114</v>
      </c>
      <c r="F261" s="18">
        <f>F260/F203</f>
        <v>5.3304904051172707E-3</v>
      </c>
      <c r="G261" s="110">
        <f>F261</f>
        <v>5.3304904051172707E-3</v>
      </c>
      <c r="H261" s="110">
        <f t="shared" ref="H261:K261" si="221">G261</f>
        <v>5.3304904051172707E-3</v>
      </c>
      <c r="I261" s="110">
        <f t="shared" si="221"/>
        <v>5.3304904051172707E-3</v>
      </c>
      <c r="J261" s="110">
        <f t="shared" si="221"/>
        <v>5.3304904051172707E-3</v>
      </c>
      <c r="K261" s="110">
        <f t="shared" si="221"/>
        <v>5.3304904051172707E-3</v>
      </c>
    </row>
    <row r="263" spans="1:11" x14ac:dyDescent="0.3">
      <c r="A263" s="4" t="s">
        <v>126</v>
      </c>
      <c r="B263" t="s">
        <v>145</v>
      </c>
      <c r="G263" s="50">
        <f ca="1">IF(CIRC="OFF",G264*AVERAGE(G212,G214),0)</f>
        <v>0</v>
      </c>
      <c r="H263" s="50">
        <f ca="1">IF(CIRC="OFF",H264*AVERAGE(H212,H214),0)</f>
        <v>0</v>
      </c>
      <c r="I263" s="50">
        <f ca="1">IF(CIRC="OFF",I264*AVERAGE(I212,I214),0)</f>
        <v>0</v>
      </c>
      <c r="J263" s="50">
        <f ca="1">IF(CIRC="OFF",J264*AVERAGE(J212,J214),0)</f>
        <v>0</v>
      </c>
      <c r="K263" s="50">
        <f ca="1">IF(CIRC="OFF",K264*AVERAGE(K212,K214),0)</f>
        <v>0</v>
      </c>
    </row>
    <row r="264" spans="1:11" x14ac:dyDescent="0.3">
      <c r="A264" s="4" t="s">
        <v>126</v>
      </c>
      <c r="B264" s="77" t="s">
        <v>115</v>
      </c>
      <c r="F264" s="110"/>
      <c r="G264" s="110">
        <f>G28</f>
        <v>4.4999999999999998E-2</v>
      </c>
      <c r="H264" s="110">
        <f t="shared" ref="H264:K264" si="222">$G$29</f>
        <v>6.8199999999999997E-2</v>
      </c>
      <c r="I264" s="110">
        <f t="shared" si="222"/>
        <v>6.8199999999999997E-2</v>
      </c>
      <c r="J264" s="110">
        <f t="shared" si="222"/>
        <v>6.8199999999999997E-2</v>
      </c>
      <c r="K264" s="110">
        <f t="shared" si="222"/>
        <v>6.8199999999999997E-2</v>
      </c>
    </row>
    <row r="266" spans="1:11" x14ac:dyDescent="0.3">
      <c r="B266" t="str">
        <f>B29</f>
        <v>Secured term loan - USD tranche</v>
      </c>
      <c r="G266" s="50">
        <f ca="1">IF(CIRC="OFF",G267*AVERAGE(G219,G222),0)</f>
        <v>102.982</v>
      </c>
      <c r="H266" s="50">
        <f ca="1">IF(CIRC="OFF",H267*AVERAGE(H219,H222),0)</f>
        <v>102.982</v>
      </c>
      <c r="I266" s="50">
        <f ca="1">IF(CIRC="OFF",I267*AVERAGE(I219,I222),0)</f>
        <v>102.982</v>
      </c>
      <c r="J266" s="50">
        <f ca="1">IF(CIRC="OFF",J267*AVERAGE(J219,J222),0)</f>
        <v>102.982</v>
      </c>
      <c r="K266" s="50">
        <f ca="1">IF(CIRC="OFF",K267*AVERAGE(K219,K222),0)</f>
        <v>102.982</v>
      </c>
    </row>
    <row r="267" spans="1:11" x14ac:dyDescent="0.3">
      <c r="B267" s="77" t="s">
        <v>115</v>
      </c>
      <c r="F267" s="110"/>
      <c r="G267" s="110">
        <f t="shared" ref="G267:K267" si="223">$G$29</f>
        <v>6.8199999999999997E-2</v>
      </c>
      <c r="H267" s="110">
        <f t="shared" si="223"/>
        <v>6.8199999999999997E-2</v>
      </c>
      <c r="I267" s="110">
        <f t="shared" si="223"/>
        <v>6.8199999999999997E-2</v>
      </c>
      <c r="J267" s="110">
        <f t="shared" si="223"/>
        <v>6.8199999999999997E-2</v>
      </c>
      <c r="K267" s="110">
        <f t="shared" si="223"/>
        <v>6.8199999999999997E-2</v>
      </c>
    </row>
    <row r="269" spans="1:11" x14ac:dyDescent="0.3">
      <c r="B269" t="str">
        <f>B30</f>
        <v>Secured term loan - EUR tranche</v>
      </c>
      <c r="G269" s="50">
        <f ca="1">IF(CIRC="OFF",G270*AVERAGE(G228,G231),0)</f>
        <v>22.889507895356097</v>
      </c>
      <c r="H269" s="50">
        <f ca="1">IF(CIRC="OFF",H270*AVERAGE(H228,H231),0)</f>
        <v>19.944166167283761</v>
      </c>
      <c r="I269" s="50">
        <f ca="1">IF(CIRC="OFF",I270*AVERAGE(I228,I231),0)</f>
        <v>13.415789553852374</v>
      </c>
      <c r="J269" s="50">
        <f ca="1">IF(CIRC="OFF",J270*AVERAGE(J228,J231),0)</f>
        <v>4.4803212819247111</v>
      </c>
      <c r="K269" s="50">
        <f ca="1">IF(CIRC="OFF",K270*AVERAGE(K228,K231),0)</f>
        <v>0</v>
      </c>
    </row>
    <row r="270" spans="1:11" x14ac:dyDescent="0.3">
      <c r="B270" s="77" t="s">
        <v>115</v>
      </c>
      <c r="F270" s="110"/>
      <c r="G270" s="110">
        <f t="shared" ref="G270:K270" si="224">$G$30</f>
        <v>7.1099999999999997E-2</v>
      </c>
      <c r="H270" s="110">
        <f t="shared" si="224"/>
        <v>7.1099999999999997E-2</v>
      </c>
      <c r="I270" s="110">
        <f t="shared" si="224"/>
        <v>7.1099999999999997E-2</v>
      </c>
      <c r="J270" s="110">
        <f t="shared" si="224"/>
        <v>7.1099999999999997E-2</v>
      </c>
      <c r="K270" s="110">
        <f t="shared" si="224"/>
        <v>7.1099999999999997E-2</v>
      </c>
    </row>
    <row r="272" spans="1:11" x14ac:dyDescent="0.3">
      <c r="B272" t="str">
        <f>B31</f>
        <v>Senior notes</v>
      </c>
      <c r="G272" s="50">
        <f ca="1">IF(CIRC="OFF",G273*AVERAGE(G237,G240),0)</f>
        <v>81.52000000000001</v>
      </c>
      <c r="H272" s="50">
        <f ca="1">IF(CIRC="OFF",H273*AVERAGE(H237,H240),0)</f>
        <v>81.52000000000001</v>
      </c>
      <c r="I272" s="50">
        <f ca="1">IF(CIRC="OFF",I273*AVERAGE(I237,I240),0)</f>
        <v>81.52000000000001</v>
      </c>
      <c r="J272" s="50">
        <f ca="1">IF(CIRC="OFF",J273*AVERAGE(J237,J240),0)</f>
        <v>78.619773767803295</v>
      </c>
      <c r="K272" s="50">
        <f ca="1">IF(CIRC="OFF",K273*AVERAGE(K237,K240),0)</f>
        <v>63.450652680212279</v>
      </c>
    </row>
    <row r="273" spans="1:11" x14ac:dyDescent="0.3">
      <c r="B273" s="77" t="s">
        <v>115</v>
      </c>
      <c r="F273" s="110"/>
      <c r="G273" s="110">
        <f t="shared" ref="G273:K273" si="225">$G$31</f>
        <v>0.1019</v>
      </c>
      <c r="H273" s="110">
        <f t="shared" si="225"/>
        <v>0.1019</v>
      </c>
      <c r="I273" s="110">
        <f t="shared" si="225"/>
        <v>0.1019</v>
      </c>
      <c r="J273" s="110">
        <f t="shared" si="225"/>
        <v>0.1019</v>
      </c>
      <c r="K273" s="110">
        <f t="shared" si="225"/>
        <v>0.1019</v>
      </c>
    </row>
    <row r="275" spans="1:11" x14ac:dyDescent="0.3">
      <c r="A275" s="4" t="s">
        <v>126</v>
      </c>
      <c r="B275" t="s">
        <v>165</v>
      </c>
      <c r="G275" s="50">
        <f>IF(PIK=1,IF(CIRC="OFF",G276*AVERAGE(G246,G249),0),0)</f>
        <v>0</v>
      </c>
      <c r="H275" s="50">
        <f>IF(PIK=1,IF(CIRC="OFF",H276*AVERAGE(H246,H249),0),0)</f>
        <v>0</v>
      </c>
      <c r="I275" s="50">
        <f>IF(PIK=1,IF(CIRC="OFF",I276*AVERAGE(I246,I249),0),0)</f>
        <v>0</v>
      </c>
      <c r="J275" s="50">
        <f>IF(PIK=1,IF(CIRC="OFF",J276*AVERAGE(J246,J249),0),0)</f>
        <v>0</v>
      </c>
      <c r="K275" s="50">
        <f>IF(PIK=1,IF(CIRC="OFF",K276*AVERAGE(K246,K249),0),0)</f>
        <v>0</v>
      </c>
    </row>
    <row r="276" spans="1:11" x14ac:dyDescent="0.3">
      <c r="A276" s="4" t="s">
        <v>126</v>
      </c>
      <c r="B276" s="77" t="s">
        <v>166</v>
      </c>
      <c r="F276" s="110"/>
      <c r="G276" s="110">
        <f>$G$32</f>
        <v>0.1</v>
      </c>
      <c r="H276" s="110">
        <f t="shared" ref="H276:K276" si="226">$G$32</f>
        <v>0.1</v>
      </c>
      <c r="I276" s="110">
        <f t="shared" si="226"/>
        <v>0.1</v>
      </c>
      <c r="J276" s="110">
        <f t="shared" si="226"/>
        <v>0.1</v>
      </c>
      <c r="K276" s="110">
        <f t="shared" si="226"/>
        <v>0.1</v>
      </c>
    </row>
    <row r="277" spans="1:11" x14ac:dyDescent="0.3">
      <c r="A277" s="4" t="s">
        <v>126</v>
      </c>
      <c r="B277" s="77"/>
      <c r="F277" s="110"/>
      <c r="G277" s="110"/>
      <c r="H277" s="110"/>
      <c r="I277" s="110"/>
      <c r="J277" s="110"/>
      <c r="K277" s="110"/>
    </row>
    <row r="278" spans="1:11" x14ac:dyDescent="0.3">
      <c r="A278" s="4" t="s">
        <v>126</v>
      </c>
      <c r="B278" t="s">
        <v>165</v>
      </c>
      <c r="G278" s="51">
        <f>G248</f>
        <v>5</v>
      </c>
      <c r="H278" s="51">
        <f t="shared" ref="H278:K278" si="227">H248</f>
        <v>5.25</v>
      </c>
      <c r="I278" s="51">
        <f t="shared" si="227"/>
        <v>5.5125000000000002</v>
      </c>
      <c r="J278" s="51">
        <f t="shared" si="227"/>
        <v>5.7881250000000009</v>
      </c>
      <c r="K278" s="51">
        <f t="shared" si="227"/>
        <v>6.0775312499999998</v>
      </c>
    </row>
    <row r="279" spans="1:11" x14ac:dyDescent="0.3">
      <c r="A279" s="4" t="s">
        <v>126</v>
      </c>
      <c r="B279" s="77" t="s">
        <v>167</v>
      </c>
      <c r="F279" s="110"/>
      <c r="G279" s="110">
        <f>$L$32</f>
        <v>0.05</v>
      </c>
      <c r="H279" s="110">
        <f t="shared" ref="H279:K279" si="228">$L$32</f>
        <v>0.05</v>
      </c>
      <c r="I279" s="110">
        <f t="shared" si="228"/>
        <v>0.05</v>
      </c>
      <c r="J279" s="110">
        <f t="shared" si="228"/>
        <v>0.05</v>
      </c>
      <c r="K279" s="110">
        <f t="shared" si="228"/>
        <v>0.05</v>
      </c>
    </row>
    <row r="280" spans="1:11" x14ac:dyDescent="0.3">
      <c r="A280" s="4" t="s">
        <v>126</v>
      </c>
    </row>
    <row r="281" spans="1:11" x14ac:dyDescent="0.3">
      <c r="A281" s="4" t="s">
        <v>126</v>
      </c>
      <c r="B281" s="68" t="s">
        <v>116</v>
      </c>
      <c r="C281" s="69"/>
      <c r="D281" s="69"/>
      <c r="E281" s="69"/>
      <c r="F281" s="69"/>
      <c r="G281" s="71">
        <f ca="1">G263+G266+G269+G272+G275+G278</f>
        <v>212.39150789535611</v>
      </c>
      <c r="H281" s="71">
        <f t="shared" ref="H281:K281" ca="1" si="229">H263+H266+H269+H272+H275+H278</f>
        <v>209.69616616728376</v>
      </c>
      <c r="I281" s="71">
        <f t="shared" ca="1" si="229"/>
        <v>203.43028955385239</v>
      </c>
      <c r="J281" s="71">
        <f t="shared" ca="1" si="229"/>
        <v>191.87022004972803</v>
      </c>
      <c r="K281" s="72">
        <f t="shared" ca="1" si="229"/>
        <v>172.51018393021226</v>
      </c>
    </row>
    <row r="282" spans="1:11" x14ac:dyDescent="0.3">
      <c r="A282" s="4" t="s">
        <v>126</v>
      </c>
      <c r="B282" s="78" t="s">
        <v>117</v>
      </c>
      <c r="C282" s="74"/>
      <c r="D282" s="74"/>
      <c r="E282" s="74"/>
      <c r="F282" s="74"/>
      <c r="G282" s="133">
        <f ca="1">G281/AVERAGE(G256,G254)</f>
        <v>7.7601983589922333E-2</v>
      </c>
      <c r="H282" s="133">
        <f t="shared" ref="H282:K282" ca="1" si="230">H281/AVERAGE(H256,H254)</f>
        <v>7.7643429896615823E-2</v>
      </c>
      <c r="I282" s="133">
        <f t="shared" ca="1" si="230"/>
        <v>7.7809929824255983E-2</v>
      </c>
      <c r="J282" s="133">
        <f t="shared" ca="1" si="230"/>
        <v>7.7802987762754267E-2</v>
      </c>
      <c r="K282" s="134">
        <f t="shared" ca="1" si="230"/>
        <v>7.6321678748800401E-2</v>
      </c>
    </row>
    <row r="284" spans="1:11" x14ac:dyDescent="0.3">
      <c r="A284" s="4" t="s">
        <v>0</v>
      </c>
      <c r="B284" s="5" t="s">
        <v>118</v>
      </c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4.95" customHeight="1" x14ac:dyDescent="0.3"/>
    <row r="286" spans="1:11" x14ac:dyDescent="0.3">
      <c r="B286" t="s">
        <v>119</v>
      </c>
      <c r="K286" s="51">
        <f>K101</f>
        <v>685</v>
      </c>
    </row>
    <row r="287" spans="1:11" x14ac:dyDescent="0.3">
      <c r="B287" s="3" t="s">
        <v>25</v>
      </c>
      <c r="C287" s="3"/>
      <c r="D287" s="3"/>
      <c r="E287" s="3"/>
      <c r="F287" s="3"/>
      <c r="G287" s="3"/>
      <c r="H287" s="3"/>
      <c r="I287" s="3"/>
      <c r="J287" s="3"/>
      <c r="K287" s="114">
        <f>E24</f>
        <v>8.7567148178137728</v>
      </c>
    </row>
    <row r="288" spans="1:11" x14ac:dyDescent="0.3">
      <c r="B288" s="7" t="s">
        <v>20</v>
      </c>
      <c r="C288" s="7"/>
      <c r="D288" s="7"/>
      <c r="E288" s="7"/>
      <c r="F288" s="7"/>
      <c r="G288" s="7"/>
      <c r="H288" s="7"/>
      <c r="I288" s="7"/>
      <c r="J288" s="7"/>
      <c r="K288" s="96">
        <f>K286*K287</f>
        <v>5998.3496502024345</v>
      </c>
    </row>
    <row r="289" spans="1:11" x14ac:dyDescent="0.3">
      <c r="B289" t="s">
        <v>120</v>
      </c>
      <c r="K289" s="21">
        <f ca="1">K256-K203</f>
        <v>2021.7025215573401</v>
      </c>
    </row>
    <row r="290" spans="1:11" x14ac:dyDescent="0.3">
      <c r="B290" s="115" t="s">
        <v>121</v>
      </c>
      <c r="C290" s="116"/>
      <c r="D290" s="116"/>
      <c r="E290" s="116"/>
      <c r="F290" s="116"/>
      <c r="G290" s="116"/>
      <c r="H290" s="116"/>
      <c r="I290" s="116"/>
      <c r="J290" s="116"/>
      <c r="K290" s="117">
        <f ca="1">K288-K289</f>
        <v>3976.6471286450942</v>
      </c>
    </row>
    <row r="292" spans="1:11" x14ac:dyDescent="0.3">
      <c r="B292" t="s">
        <v>122</v>
      </c>
      <c r="K292" s="51">
        <f>D46</f>
        <v>1462.5100000000007</v>
      </c>
    </row>
    <row r="294" spans="1:11" x14ac:dyDescent="0.3">
      <c r="B294" s="68" t="s">
        <v>123</v>
      </c>
      <c r="C294" s="69"/>
      <c r="D294" s="69"/>
      <c r="E294" s="69"/>
      <c r="F294" s="69"/>
      <c r="G294" s="69"/>
      <c r="H294" s="69"/>
      <c r="I294" s="69"/>
      <c r="J294" s="69"/>
      <c r="K294" s="111">
        <f ca="1">K290/K292</f>
        <v>2.719056367918915</v>
      </c>
    </row>
    <row r="295" spans="1:11" x14ac:dyDescent="0.3">
      <c r="A295" s="4" t="s">
        <v>0</v>
      </c>
      <c r="B295" s="112" t="s">
        <v>124</v>
      </c>
      <c r="C295" s="74"/>
      <c r="D295" s="74"/>
      <c r="E295" s="74"/>
      <c r="F295" s="74"/>
      <c r="G295" s="74"/>
      <c r="H295" s="74"/>
      <c r="I295" s="74"/>
      <c r="J295" s="74"/>
      <c r="K295" s="113">
        <f ca="1">K294^(1/5)-1</f>
        <v>0.22147235483098537</v>
      </c>
    </row>
  </sheetData>
  <dataValidations count="2">
    <dataValidation type="list" allowBlank="1" showInputMessage="1" showErrorMessage="1" sqref="E6" xr:uid="{66739EFC-809F-4C33-9AFE-86427650DF57}">
      <formula1>"ON,OFF"</formula1>
    </dataValidation>
    <dataValidation type="list" allowBlank="1" showInputMessage="1" showErrorMessage="1" sqref="E7:E8" xr:uid="{71A12444-62F9-49E8-B51F-B2C690AB3ABE}">
      <formula1>"1,2"</formula1>
    </dataValidation>
  </dataValidations>
  <pageMargins left="0.7" right="0.7" top="0.75" bottom="0.75" header="0.3" footer="0.3"/>
  <ignoredErrors>
    <ignoredError sqref="F29:F31" evalError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531F-2658-495D-9460-CA708F56769D}">
  <dimension ref="A2:G32"/>
  <sheetViews>
    <sheetView showGridLines="0" tabSelected="1" topLeftCell="A3" zoomScale="130" zoomScaleNormal="130" workbookViewId="0"/>
  </sheetViews>
  <sheetFormatPr defaultColWidth="8.77734375" defaultRowHeight="14.4" x14ac:dyDescent="0.3"/>
  <cols>
    <col min="1" max="1" width="3.44140625" style="4" customWidth="1"/>
    <col min="2" max="2" width="36.44140625" bestFit="1" customWidth="1"/>
    <col min="3" max="5" width="15.77734375" customWidth="1"/>
  </cols>
  <sheetData>
    <row r="2" spans="1:5" s="3" customFormat="1" ht="21" x14ac:dyDescent="0.4">
      <c r="A2" s="1"/>
      <c r="B2" s="2" t="s">
        <v>38</v>
      </c>
    </row>
    <row r="3" spans="1:5" x14ac:dyDescent="0.3">
      <c r="B3" s="8"/>
    </row>
    <row r="4" spans="1:5" x14ac:dyDescent="0.3">
      <c r="A4" s="4" t="s">
        <v>0</v>
      </c>
      <c r="B4" s="22" t="s">
        <v>39</v>
      </c>
      <c r="C4" s="23"/>
      <c r="D4" s="23"/>
      <c r="E4" s="23"/>
    </row>
    <row r="5" spans="1:5" ht="4.95" customHeight="1" x14ac:dyDescent="0.3">
      <c r="B5" s="24"/>
      <c r="C5" s="25"/>
      <c r="D5" s="25"/>
      <c r="E5" s="25"/>
    </row>
    <row r="6" spans="1:5" x14ac:dyDescent="0.3">
      <c r="B6" s="26" t="s">
        <v>40</v>
      </c>
      <c r="E6" s="43">
        <f>LBO!K13</f>
        <v>24</v>
      </c>
    </row>
    <row r="7" spans="1:5" x14ac:dyDescent="0.3">
      <c r="B7" s="27" t="s">
        <v>41</v>
      </c>
      <c r="E7" s="13">
        <v>136.55564200000001</v>
      </c>
    </row>
    <row r="8" spans="1:5" x14ac:dyDescent="0.3">
      <c r="B8" s="26" t="s">
        <v>42</v>
      </c>
      <c r="E8" s="28">
        <f>E32</f>
        <v>7.4211999999999998</v>
      </c>
    </row>
    <row r="9" spans="1:5" x14ac:dyDescent="0.3">
      <c r="B9" s="26" t="s">
        <v>43</v>
      </c>
      <c r="E9" s="29">
        <f>SUMPRODUCT(D21:D30,E21:E30)</f>
        <v>129.351516</v>
      </c>
    </row>
    <row r="10" spans="1:5" x14ac:dyDescent="0.3">
      <c r="B10" s="26" t="s">
        <v>44</v>
      </c>
      <c r="E10" s="29">
        <f>E9/E6</f>
        <v>5.3896465000000005</v>
      </c>
    </row>
    <row r="11" spans="1:5" x14ac:dyDescent="0.3">
      <c r="B11" s="26" t="s">
        <v>45</v>
      </c>
      <c r="E11" s="29">
        <f>E8-E10</f>
        <v>2.0315534999999993</v>
      </c>
    </row>
    <row r="12" spans="1:5" x14ac:dyDescent="0.3">
      <c r="B12" s="26" t="s">
        <v>46</v>
      </c>
      <c r="E12" s="13">
        <v>1.7296</v>
      </c>
    </row>
    <row r="13" spans="1:5" x14ac:dyDescent="0.3">
      <c r="B13" s="26"/>
      <c r="E13" s="30"/>
    </row>
    <row r="14" spans="1:5" x14ac:dyDescent="0.3">
      <c r="B14" s="26" t="s">
        <v>47</v>
      </c>
      <c r="E14" s="13">
        <f>48.1/E6</f>
        <v>2.0041666666666669</v>
      </c>
    </row>
    <row r="15" spans="1:5" x14ac:dyDescent="0.3">
      <c r="B15" s="8"/>
      <c r="E15" s="30"/>
    </row>
    <row r="16" spans="1:5" x14ac:dyDescent="0.3">
      <c r="B16" s="31" t="s">
        <v>48</v>
      </c>
      <c r="D16" s="32"/>
      <c r="E16" s="33">
        <f>E7+E14</f>
        <v>138.55980866666667</v>
      </c>
    </row>
    <row r="17" spans="1:7" x14ac:dyDescent="0.3">
      <c r="B17" s="31"/>
      <c r="D17" s="32"/>
      <c r="E17" s="29"/>
    </row>
    <row r="18" spans="1:7" x14ac:dyDescent="0.3">
      <c r="A18" s="4" t="s">
        <v>0</v>
      </c>
      <c r="B18" s="22" t="s">
        <v>49</v>
      </c>
      <c r="C18" s="23"/>
      <c r="D18" s="23"/>
      <c r="E18" s="23"/>
    </row>
    <row r="19" spans="1:7" ht="4.95" customHeight="1" x14ac:dyDescent="0.3">
      <c r="B19" s="24"/>
      <c r="C19" s="25"/>
      <c r="D19" s="25"/>
      <c r="E19" s="25"/>
    </row>
    <row r="20" spans="1:7" x14ac:dyDescent="0.3">
      <c r="C20" s="15" t="s">
        <v>50</v>
      </c>
      <c r="D20" s="15" t="s">
        <v>51</v>
      </c>
      <c r="E20" s="15" t="s">
        <v>52</v>
      </c>
    </row>
    <row r="21" spans="1:7" x14ac:dyDescent="0.3">
      <c r="B21" s="34">
        <v>1</v>
      </c>
      <c r="C21" s="13">
        <v>7.4211999999999998</v>
      </c>
      <c r="D21" s="11">
        <v>17.43</v>
      </c>
      <c r="E21" s="35">
        <f>IF(D21&lt;$E$6,C21)</f>
        <v>7.4211999999999998</v>
      </c>
      <c r="G21" s="44"/>
    </row>
    <row r="22" spans="1:7" x14ac:dyDescent="0.3">
      <c r="B22" s="34">
        <f t="shared" ref="B22:B30" si="0">B21+1</f>
        <v>2</v>
      </c>
      <c r="C22" s="13"/>
      <c r="D22" s="13"/>
      <c r="E22" s="36">
        <f t="shared" ref="E22:E30" si="1">IF(D22&lt;$E$6,C22)</f>
        <v>0</v>
      </c>
    </row>
    <row r="23" spans="1:7" x14ac:dyDescent="0.3">
      <c r="B23" s="34">
        <f t="shared" si="0"/>
        <v>3</v>
      </c>
      <c r="C23" s="13"/>
      <c r="D23" s="13"/>
      <c r="E23" s="36">
        <f t="shared" si="1"/>
        <v>0</v>
      </c>
    </row>
    <row r="24" spans="1:7" x14ac:dyDescent="0.3">
      <c r="B24" s="34">
        <f t="shared" si="0"/>
        <v>4</v>
      </c>
      <c r="C24" s="13"/>
      <c r="D24" s="13"/>
      <c r="E24" s="36">
        <f t="shared" si="1"/>
        <v>0</v>
      </c>
    </row>
    <row r="25" spans="1:7" x14ac:dyDescent="0.3">
      <c r="B25" s="34">
        <f t="shared" si="0"/>
        <v>5</v>
      </c>
      <c r="C25" s="13"/>
      <c r="D25" s="13"/>
      <c r="E25" s="36">
        <f t="shared" si="1"/>
        <v>0</v>
      </c>
    </row>
    <row r="26" spans="1:7" x14ac:dyDescent="0.3">
      <c r="B26" s="34">
        <f t="shared" si="0"/>
        <v>6</v>
      </c>
      <c r="C26" s="13"/>
      <c r="D26" s="13"/>
      <c r="E26" s="36">
        <f t="shared" si="1"/>
        <v>0</v>
      </c>
    </row>
    <row r="27" spans="1:7" x14ac:dyDescent="0.3">
      <c r="B27" s="34">
        <f t="shared" si="0"/>
        <v>7</v>
      </c>
      <c r="C27" s="13"/>
      <c r="D27" s="13"/>
      <c r="E27" s="36">
        <f t="shared" si="1"/>
        <v>0</v>
      </c>
    </row>
    <row r="28" spans="1:7" x14ac:dyDescent="0.3">
      <c r="B28" s="34">
        <f t="shared" si="0"/>
        <v>8</v>
      </c>
      <c r="C28" s="13"/>
      <c r="D28" s="13"/>
      <c r="E28" s="36">
        <f t="shared" si="1"/>
        <v>0</v>
      </c>
    </row>
    <row r="29" spans="1:7" x14ac:dyDescent="0.3">
      <c r="B29" s="34">
        <f t="shared" si="0"/>
        <v>9</v>
      </c>
      <c r="C29" s="13"/>
      <c r="D29" s="13"/>
      <c r="E29" s="36">
        <f t="shared" si="1"/>
        <v>0</v>
      </c>
    </row>
    <row r="30" spans="1:7" x14ac:dyDescent="0.3">
      <c r="B30" s="34">
        <f t="shared" si="0"/>
        <v>10</v>
      </c>
      <c r="C30" s="13"/>
      <c r="D30" s="13"/>
      <c r="E30" s="36">
        <f t="shared" si="1"/>
        <v>0</v>
      </c>
    </row>
    <row r="31" spans="1:7" ht="4.95" customHeight="1" x14ac:dyDescent="0.3">
      <c r="B31" s="37"/>
      <c r="C31" s="38"/>
      <c r="D31" s="38"/>
      <c r="E31" s="39"/>
    </row>
    <row r="32" spans="1:7" x14ac:dyDescent="0.3">
      <c r="A32" s="4" t="s">
        <v>0</v>
      </c>
      <c r="B32" s="40" t="s">
        <v>37</v>
      </c>
      <c r="C32" s="41"/>
      <c r="D32" s="41"/>
      <c r="E32" s="42">
        <f>SUM(E21:E30)</f>
        <v>7.4211999999999998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LBO</vt:lpstr>
      <vt:lpstr>Shares</vt:lpstr>
      <vt:lpstr>CASE</vt:lpstr>
      <vt:lpstr>CIRC</vt:lpstr>
      <vt:lpstr>PIK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Aakash Kumar Shah</cp:lastModifiedBy>
  <dcterms:created xsi:type="dcterms:W3CDTF">2024-07-17T20:30:35Z</dcterms:created>
  <dcterms:modified xsi:type="dcterms:W3CDTF">2025-01-04T17:18:13Z</dcterms:modified>
</cp:coreProperties>
</file>