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60" windowWidth="20730" xWindow="-120" yWindow="-120"/>
  </bookViews>
  <sheets>
    <sheet name="Sheet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3">
    <numFmt formatCode="#,##0.0000" numFmtId="164"/>
    <numFmt formatCode="0.000" numFmtId="165"/>
    <numFmt formatCode="0.0000" numFmtId="166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rgb="FF3F3F76"/>
      <sz val="11"/>
      <u val="single"/>
      <scheme val="minor"/>
    </font>
    <font>
      <name val="Calibri"/>
      <family val="2"/>
      <b val="1"/>
      <color rgb="FF9C0006"/>
      <sz val="22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">
    <xf borderId="0" fillId="0" fontId="1" numFmtId="0"/>
    <xf borderId="0" fillId="2" fontId="2" numFmtId="0"/>
    <xf borderId="0" fillId="3" fontId="3" numFmtId="0"/>
    <xf borderId="0" fillId="4" fontId="4" numFmtId="0"/>
    <xf borderId="1" fillId="5" fontId="1" numFmtId="0"/>
    <xf borderId="0" fillId="6" fontId="1" numFmtId="0"/>
    <xf borderId="0" fillId="7" fontId="1" numFmtId="0"/>
    <xf borderId="0" fillId="8" fontId="1" numFmtId="0"/>
  </cellStyleXfs>
  <cellXfs count="77">
    <xf borderId="0" fillId="0" fontId="0" numFmtId="0" pivotButton="0" quotePrefix="0" xfId="0"/>
    <xf applyAlignment="1" borderId="0" fillId="0" fontId="0" numFmtId="49" pivotButton="0" quotePrefix="0" xfId="0">
      <alignment horizontal="center"/>
    </xf>
    <xf borderId="0" fillId="0" fontId="7" numFmtId="0" pivotButton="0" quotePrefix="0" xfId="0"/>
    <xf applyAlignment="1" borderId="1" fillId="5" fontId="6" numFmtId="0" pivotButton="0" quotePrefix="0" xfId="4">
      <alignment horizontal="left" vertical="center" wrapText="1"/>
    </xf>
    <xf applyAlignment="1" borderId="0" fillId="8" fontId="6" numFmtId="0" pivotButton="0" quotePrefix="0" xfId="7">
      <alignment horizontal="center" vertical="center" wrapText="1"/>
    </xf>
    <xf applyAlignment="1" borderId="1" fillId="5" fontId="8" numFmtId="49" pivotButton="0" quotePrefix="0" xfId="4">
      <alignment horizontal="left" wrapText="1"/>
    </xf>
    <xf applyAlignment="1" borderId="0" fillId="0" fontId="6" numFmtId="164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7" fontId="1" numFmtId="0" pivotButton="0" quotePrefix="0" xfId="6">
      <alignment horizontal="center" vertical="center"/>
    </xf>
    <xf applyAlignment="1" borderId="0" fillId="0" fontId="6" numFmtId="0" pivotButton="0" quotePrefix="0" xfId="0">
      <alignment horizontal="center" wrapText="1"/>
    </xf>
    <xf applyAlignment="1" borderId="0" fillId="0" fontId="0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3" fontId="9" numFmtId="49" pivotButton="0" quotePrefix="0" xfId="2">
      <alignment horizontal="center"/>
    </xf>
    <xf borderId="0" fillId="3" fontId="9" numFmtId="0" pivotButton="0" quotePrefix="0" xfId="2"/>
    <xf applyAlignment="1" borderId="1" fillId="3" fontId="9" numFmtId="0" pivotButton="0" quotePrefix="0" xfId="2">
      <alignment horizontal="left" vertical="center"/>
    </xf>
    <xf applyAlignment="1" borderId="0" fillId="3" fontId="9" numFmtId="0" pivotButton="0" quotePrefix="0" xfId="2">
      <alignment horizontal="center" vertical="center"/>
    </xf>
    <xf applyAlignment="1" borderId="1" fillId="5" fontId="5" numFmtId="49" pivotButton="0" quotePrefix="0" xfId="4">
      <alignment horizontal="left"/>
    </xf>
    <xf applyAlignment="1" borderId="0" fillId="3" fontId="9" numFmtId="0" pivotButton="0" quotePrefix="0" xfId="2">
      <alignment horizontal="left" vertical="center"/>
    </xf>
    <xf applyAlignment="1" borderId="0" fillId="3" fontId="9" numFmtId="164" pivotButton="0" quotePrefix="0" xfId="2">
      <alignment horizontal="center" vertical="center"/>
    </xf>
    <xf applyAlignment="1" borderId="0" fillId="3" fontId="9" numFmtId="0" pivotButton="0" quotePrefix="0" xfId="2">
      <alignment horizontal="center"/>
    </xf>
    <xf applyAlignment="1" borderId="0" fillId="2" fontId="2" numFmtId="49" pivotButton="0" quotePrefix="0" xfId="1">
      <alignment horizontal="center"/>
    </xf>
    <xf borderId="0" fillId="4" fontId="4" numFmtId="0" pivotButton="0" quotePrefix="0" xfId="3"/>
    <xf applyAlignment="1" borderId="1" fillId="5" fontId="0" numFmtId="0" pivotButton="0" quotePrefix="0" xfId="4">
      <alignment horizontal="left" vertical="center"/>
    </xf>
    <xf applyAlignment="1" borderId="0" fillId="0" fontId="0" numFmtId="0" pivotButton="0" quotePrefix="0" xfId="0">
      <alignment horizontal="center" vertical="center"/>
    </xf>
    <xf applyAlignment="1" borderId="0" fillId="2" fontId="2" numFmtId="164" pivotButton="0" quotePrefix="0" xfId="1">
      <alignment horizontal="center" vertical="center"/>
    </xf>
    <xf applyAlignment="1" borderId="0" fillId="2" fontId="2" numFmtId="4" pivotButton="0" quotePrefix="0" xfId="1">
      <alignment horizontal="center" vertical="center"/>
    </xf>
    <xf applyAlignment="1" borderId="0" fillId="7" fontId="1" numFmtId="4" pivotButton="0" quotePrefix="0" xfId="6">
      <alignment horizontal="center" vertical="center"/>
    </xf>
    <xf applyAlignment="1" borderId="0" fillId="0" fontId="0" numFmtId="165" pivotButton="0" quotePrefix="0" xfId="0">
      <alignment horizontal="center"/>
    </xf>
    <xf applyAlignment="1" borderId="0" fillId="0" fontId="0" numFmtId="4" pivotButton="0" quotePrefix="0" xfId="0">
      <alignment horizontal="center"/>
    </xf>
    <xf applyAlignment="1" borderId="0" fillId="0" fontId="0" numFmtId="10" pivotButton="0" quotePrefix="0" xfId="0">
      <alignment horizontal="center"/>
    </xf>
    <xf applyAlignment="1" borderId="0" fillId="0" fontId="0" numFmtId="4" pivotButton="0" quotePrefix="0" xfId="0">
      <alignment horizontal="center" vertical="center"/>
    </xf>
    <xf applyAlignment="1" borderId="0" fillId="0" fontId="0" numFmtId="166" pivotButton="0" quotePrefix="0" xfId="0">
      <alignment horizont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center" vertical="center"/>
    </xf>
    <xf applyAlignment="1" borderId="0" fillId="6" fontId="0" numFmtId="0" pivotButton="0" quotePrefix="0" xfId="5">
      <alignment horizontal="left" vertical="center"/>
    </xf>
    <xf applyAlignment="1" borderId="0" fillId="2" fontId="2" numFmtId="0" pivotButton="0" quotePrefix="0" xfId="1">
      <alignment horizontal="center" vertical="center"/>
    </xf>
    <xf applyAlignment="1" borderId="0" fillId="7" fontId="0" numFmtId="0" pivotButton="0" quotePrefix="0" xfId="6">
      <alignment horizontal="center" vertical="center"/>
    </xf>
    <xf applyAlignment="1" borderId="0" fillId="2" fontId="2" numFmtId="0" pivotButton="0" quotePrefix="0" xfId="1">
      <alignment horizontal="center"/>
    </xf>
    <xf applyAlignment="1" borderId="0" fillId="4" fontId="10" numFmtId="0" pivotButton="0" quotePrefix="0" xfId="3">
      <alignment horizontal="center" vertical="center"/>
    </xf>
    <xf borderId="0" fillId="2" fontId="2" numFmtId="0" pivotButton="0" quotePrefix="0" xfId="1"/>
    <xf applyAlignment="1" borderId="0" fillId="2" fontId="2" numFmtId="166" pivotButton="0" quotePrefix="0" xfId="1">
      <alignment horizontal="center"/>
    </xf>
    <xf applyAlignment="1" borderId="0" fillId="4" fontId="4" numFmtId="0" pivotButton="0" quotePrefix="0" xfId="3">
      <alignment horizontal="center" vertical="center"/>
    </xf>
    <xf applyAlignment="1" borderId="0" fillId="2" fontId="2" numFmtId="4" pivotButton="0" quotePrefix="0" xfId="1">
      <alignment horizontal="center"/>
    </xf>
    <xf applyAlignment="1" borderId="0" fillId="3" fontId="3" numFmtId="164" pivotButton="0" quotePrefix="0" xfId="2">
      <alignment horizontal="center" vertical="center"/>
    </xf>
    <xf borderId="0" fillId="2" fontId="2" numFmtId="49" pivotButton="0" quotePrefix="0" xfId="1"/>
    <xf applyAlignment="1" borderId="2" fillId="5" fontId="0" numFmtId="0" pivotButton="0" quotePrefix="0" xfId="4">
      <alignment horizontal="left" vertical="center"/>
    </xf>
    <xf applyAlignment="1" borderId="1" fillId="5" fontId="0" numFmtId="0" pivotButton="0" quotePrefix="0" xfId="4">
      <alignment horizontal="left"/>
    </xf>
    <xf applyAlignment="1" borderId="0" fillId="3" fontId="3" numFmtId="166" pivotButton="0" quotePrefix="0" xfId="2">
      <alignment horizontal="left"/>
    </xf>
    <xf applyAlignment="1" borderId="0" fillId="5" fontId="0" numFmtId="0" pivotButton="0" quotePrefix="0" xfId="4">
      <alignment horizontal="left" vertical="center"/>
    </xf>
    <xf applyAlignment="1" borderId="0" fillId="7" fontId="0" numFmtId="4" pivotButton="0" quotePrefix="0" xfId="6">
      <alignment horizontal="center" vertical="center"/>
    </xf>
    <xf borderId="0" fillId="0" fontId="6" numFmtId="0" pivotButton="0" quotePrefix="0" xfId="0"/>
    <xf applyAlignment="1" borderId="0" fillId="0" fontId="0" numFmtId="49" pivotButton="0" quotePrefix="0" xfId="0">
      <alignment horizontal="left"/>
    </xf>
    <xf applyAlignment="1" borderId="0" fillId="2" fontId="2" numFmtId="165" pivotButton="0" quotePrefix="0" xfId="1">
      <alignment horizontal="center"/>
    </xf>
    <xf applyAlignment="1" borderId="0" fillId="3" fontId="3" numFmtId="0" pivotButton="0" quotePrefix="0" xfId="2">
      <alignment horizontal="center"/>
    </xf>
    <xf borderId="0" fillId="3" fontId="3" numFmtId="0" pivotButton="0" quotePrefix="0" xfId="2"/>
    <xf borderId="0" fillId="6" fontId="0" numFmtId="0" pivotButton="0" quotePrefix="0" xfId="5"/>
    <xf applyAlignment="1" borderId="0" fillId="0" fontId="0" numFmtId="164" pivotButton="0" quotePrefix="0" xfId="0">
      <alignment horizontal="center"/>
    </xf>
    <xf borderId="0" fillId="0" fontId="0" numFmtId="4" pivotButton="0" quotePrefix="0" xfId="0"/>
    <xf applyAlignment="1" borderId="0" fillId="2" fontId="2" numFmtId="2" pivotButton="0" quotePrefix="0" xfId="1">
      <alignment horizontal="center" vertical="center"/>
    </xf>
    <xf applyAlignment="1" borderId="0" fillId="0" fontId="0" numFmtId="2" pivotButton="0" quotePrefix="0" xfId="0">
      <alignment horizontal="center" vertical="center"/>
    </xf>
    <xf borderId="0" fillId="6" fontId="1" numFmtId="0" pivotButton="0" quotePrefix="0" xfId="5"/>
    <xf applyAlignment="1" borderId="0" fillId="4" fontId="10" numFmtId="0" pivotButton="0" quotePrefix="0" xfId="3">
      <alignment horizontal="center"/>
    </xf>
    <xf applyAlignment="1" borderId="0" fillId="2" fontId="2" numFmtId="165" pivotButton="0" quotePrefix="0" xfId="1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2" fontId="10" numFmtId="164" pivotButton="0" quotePrefix="0" xfId="1">
      <alignment horizontal="center" vertical="center"/>
    </xf>
    <xf applyAlignment="1" borderId="0" fillId="3" fontId="3" numFmtId="49" pivotButton="0" quotePrefix="0" xfId="2">
      <alignment horizontal="center"/>
    </xf>
    <xf applyAlignment="1" borderId="1" fillId="5" fontId="0" numFmtId="49" pivotButton="0" quotePrefix="0" xfId="4">
      <alignment horizontal="left"/>
    </xf>
    <xf applyAlignment="1" borderId="1" fillId="6" fontId="1" numFmtId="0" pivotButton="0" quotePrefix="0" xfId="5">
      <alignment horizontal="left" vertical="center"/>
    </xf>
    <xf applyAlignment="1" borderId="0" fillId="6" fontId="1" numFmtId="0" pivotButton="0" quotePrefix="0" xfId="5">
      <alignment horizontal="left" vertical="center"/>
    </xf>
    <xf applyAlignment="1" borderId="1" fillId="3" fontId="3" numFmtId="0" pivotButton="0" quotePrefix="0" xfId="2">
      <alignment horizontal="left" vertical="center"/>
    </xf>
    <xf applyAlignment="1" borderId="1" fillId="3" fontId="3" numFmtId="49" pivotButton="0" quotePrefix="0" xfId="2">
      <alignment horizontal="left"/>
    </xf>
    <xf applyAlignment="1" borderId="0" fillId="8" fontId="1" numFmtId="0" pivotButton="0" quotePrefix="0" xfId="7">
      <alignment horizontal="center" vertical="center"/>
    </xf>
    <xf borderId="0" fillId="0" fontId="0" numFmtId="49" pivotButton="0" quotePrefix="0" xfId="0"/>
    <xf applyAlignment="1" borderId="0" fillId="6" fontId="0" numFmtId="49" pivotButton="0" quotePrefix="0" xfId="5">
      <alignment horizontal="left" vertical="center"/>
    </xf>
    <xf applyAlignment="1" borderId="0" fillId="0" fontId="0" numFmtId="49" pivotButton="0" quotePrefix="0" xfId="0">
      <alignment horizontal="center" vertical="center"/>
    </xf>
    <xf applyAlignment="1" borderId="0" fillId="6" fontId="1" numFmtId="49" pivotButton="0" quotePrefix="0" xfId="5">
      <alignment horizontal="left" vertical="center"/>
    </xf>
  </cellXfs>
  <cellStyles count="8">
    <cellStyle builtinId="0" name="Normal" xfId="0"/>
    <cellStyle builtinId="26" name="Good" xfId="1"/>
    <cellStyle builtinId="27" name="Bad" xfId="2"/>
    <cellStyle builtinId="28" name="Neutral" xfId="3"/>
    <cellStyle builtinId="10" name="Note" xfId="4"/>
    <cellStyle builtinId="42" name="20% - Accent4" xfId="5"/>
    <cellStyle builtinId="43" name="40% - Accent4" xfId="6"/>
    <cellStyle builtinId="46" name="20% - Accent5" xfId="7"/>
  </cellStyles>
  <dxfs count="2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471"/>
  <sheetViews>
    <sheetView tabSelected="1" topLeftCell="A437" workbookViewId="0">
      <selection activeCell="E452" sqref="E452"/>
    </sheetView>
  </sheetViews>
  <sheetFormatPr baseColWidth="8" defaultRowHeight="15"/>
  <cols>
    <col customWidth="1" max="1" min="1" style="1" width="13"/>
    <col customWidth="1" max="2" min="2" width="38.5703125"/>
    <col customWidth="1" max="3" min="3" style="22" width="11.5703125"/>
    <col customWidth="1" max="4" min="4" style="72" width="9.140625"/>
    <col customWidth="1" max="5" min="5" style="72" width="9.7109375"/>
    <col customWidth="1" max="6" min="6" style="16" width="9.7109375"/>
    <col customWidth="1" max="7" min="7" width="28.5703125"/>
    <col customWidth="1" max="8" min="8" style="1" width="16.5703125"/>
    <col customWidth="1" max="9" min="9" style="69" width="20"/>
    <col customWidth="1" max="10" min="10" style="34" width="8.28515625"/>
    <col customWidth="1" max="11" min="11" style="23" width="9.140625"/>
    <col customWidth="1" max="12" min="12" style="8" width="12.28515625"/>
    <col customWidth="1" max="13" min="13" style="34" width="9"/>
    <col customWidth="1" max="14" min="14" style="10" width="8"/>
    <col customWidth="1" max="15" min="15" style="10" width="9.140625"/>
    <col customWidth="1" max="16" min="16" style="10" width="8.7109375"/>
    <col customWidth="1" max="17" min="17" style="10" width="9.28515625"/>
    <col customWidth="1" max="19" min="18" style="10" width="9.140625"/>
    <col customWidth="1" max="20" min="20" style="11" width="9.140625"/>
  </cols>
  <sheetData>
    <row customHeight="1" ht="31.5" r="2">
      <c r="A2" s="1" t="inlineStr">
        <is>
          <t>Sysco Order #</t>
        </is>
      </c>
      <c r="B2" s="2" t="inlineStr">
        <is>
          <t>ORDER GUIDE SYSCO</t>
        </is>
      </c>
      <c r="C2" s="3" t="inlineStr">
        <is>
          <t>Sysco Size</t>
        </is>
      </c>
      <c r="D2" s="4" t="inlineStr">
        <is>
          <t>Sysco Price</t>
        </is>
      </c>
      <c r="E2" s="4" t="inlineStr">
        <is>
          <t>Cheney Price</t>
        </is>
      </c>
      <c r="F2" s="5" t="inlineStr">
        <is>
          <t>Cheny Size</t>
        </is>
      </c>
      <c r="G2" s="2" t="inlineStr">
        <is>
          <t>Cheney Descrip</t>
        </is>
      </c>
      <c r="H2" s="1" t="inlineStr">
        <is>
          <t>Cheney Order #</t>
        </is>
      </c>
      <c r="J2" s="6" t="inlineStr">
        <is>
          <t>SYS</t>
        </is>
      </c>
      <c r="K2" s="7" t="inlineStr">
        <is>
          <t>CHEN</t>
        </is>
      </c>
      <c r="M2" s="6" t="inlineStr">
        <is>
          <t>SYS</t>
        </is>
      </c>
      <c r="N2" s="9" t="inlineStr">
        <is>
          <t>CHEN</t>
        </is>
      </c>
    </row>
    <row customHeight="1" ht="28.5" r="3">
      <c r="A3" s="12" t="n"/>
      <c r="B3" s="13" t="inlineStr">
        <is>
          <t>DRY GOODS</t>
        </is>
      </c>
      <c r="C3" s="14" t="n"/>
      <c r="D3" s="15" t="n"/>
      <c r="E3" s="15" t="n"/>
      <c r="I3" s="17" t="n"/>
      <c r="J3" s="18" t="n"/>
      <c r="K3" s="15" t="n"/>
      <c r="L3" s="15" t="n"/>
      <c r="M3" s="18" t="n"/>
      <c r="N3" s="19" t="n"/>
      <c r="O3" s="19" t="n"/>
      <c r="P3" s="19" t="n"/>
      <c r="Q3" s="19" t="n"/>
      <c r="R3" s="19" t="n"/>
      <c r="S3" s="19" t="n"/>
      <c r="U3" t="inlineStr">
        <is>
          <t>.</t>
        </is>
      </c>
      <c r="V3" t="inlineStr">
        <is>
          <t>.</t>
        </is>
      </c>
    </row>
    <row r="4">
      <c r="A4" s="20" t="inlineStr">
        <is>
          <t>4518403</t>
        </is>
      </c>
      <c r="B4" s="21" t="inlineStr">
        <is>
          <t>Shortening Oil</t>
        </is>
      </c>
      <c r="C4" s="22" t="inlineStr">
        <is>
          <t>35LB</t>
        </is>
      </c>
      <c r="D4" s="23" t="inlineStr">
        <is>
          <t>19.86</t>
        </is>
      </c>
      <c r="E4" s="23" t="n">
        <v>19</v>
      </c>
      <c r="F4" s="16" t="inlineStr">
        <is>
          <t>35LB</t>
        </is>
      </c>
      <c r="G4" t="inlineStr">
        <is>
          <t>Shortening Oil</t>
        </is>
      </c>
      <c r="H4" s="1" t="inlineStr">
        <is>
          <t>00118033</t>
        </is>
      </c>
      <c r="I4" s="69" t="inlineStr">
        <is>
          <t>1 Container</t>
        </is>
      </c>
      <c r="J4" s="24">
        <f>D4</f>
        <v/>
      </c>
      <c r="K4" s="25">
        <f>E4</f>
        <v/>
      </c>
      <c r="L4" s="26" t="inlineStr">
        <is>
          <t>By Ounce</t>
        </is>
      </c>
      <c r="M4" s="24">
        <f>J4/560</f>
        <v/>
      </c>
      <c r="N4" s="27">
        <f>K4/560</f>
        <v/>
      </c>
      <c r="P4" s="28">
        <f>D4</f>
        <v/>
      </c>
      <c r="Q4" s="10">
        <f>E4</f>
        <v/>
      </c>
      <c r="R4" s="10">
        <f>P4-Q4</f>
        <v/>
      </c>
      <c r="S4" s="29">
        <f>R4/P4</f>
        <v/>
      </c>
    </row>
    <row r="5">
      <c r="A5" s="20" t="inlineStr">
        <is>
          <t>3355849</t>
        </is>
      </c>
      <c r="B5" s="21" t="inlineStr">
        <is>
          <t>Grill on Butter</t>
        </is>
      </c>
      <c r="C5" s="22" t="inlineStr">
        <is>
          <t>(3) 1 Gallon</t>
        </is>
      </c>
      <c r="E5" s="23" t="n"/>
      <c r="F5" s="16" t="inlineStr">
        <is>
          <t>(3) 1 gal</t>
        </is>
      </c>
      <c r="G5" t="inlineStr">
        <is>
          <t>Butter Oleo</t>
        </is>
      </c>
      <c r="H5" s="1" t="inlineStr">
        <is>
          <t>00116030</t>
        </is>
      </c>
      <c r="I5" s="69" t="inlineStr">
        <is>
          <t>By Gallon</t>
        </is>
      </c>
      <c r="J5" s="24">
        <f>E8/3</f>
        <v/>
      </c>
      <c r="K5" s="30">
        <f>E5/3</f>
        <v/>
      </c>
      <c r="L5" s="26" t="inlineStr">
        <is>
          <t>By Ounce</t>
        </is>
      </c>
      <c r="M5" s="24">
        <f>J5/128</f>
        <v/>
      </c>
      <c r="N5" s="31" t="n"/>
      <c r="P5" s="28">
        <f>E8</f>
        <v/>
      </c>
      <c r="Q5" s="10">
        <f>E5</f>
        <v/>
      </c>
      <c r="R5" s="10">
        <f>P5-Q5</f>
        <v/>
      </c>
      <c r="S5" s="29">
        <f>R5/P5</f>
        <v/>
      </c>
    </row>
    <row r="6">
      <c r="A6" s="10" t="n"/>
      <c r="C6" s="32" t="n"/>
      <c r="E6" s="23" t="n"/>
      <c r="F6" s="33" t="n"/>
      <c r="I6" s="32" t="n"/>
      <c r="L6" s="23" t="n"/>
      <c r="N6" s="28" t="n"/>
    </row>
    <row customHeight="1" ht="21" r="7">
      <c r="A7" s="10" t="n"/>
      <c r="B7" s="2" t="inlineStr">
        <is>
          <t>DRESSINGS</t>
        </is>
      </c>
      <c r="C7" s="32" t="n"/>
      <c r="E7" s="23" t="n"/>
      <c r="F7" s="33" t="n"/>
      <c r="I7" s="32" t="n"/>
      <c r="J7" s="23" t="n"/>
      <c r="L7" s="23" t="n"/>
      <c r="M7" s="23" t="n"/>
      <c r="N7" s="28" t="n"/>
    </row>
    <row r="8">
      <c r="A8" s="20" t="inlineStr">
        <is>
          <t>2202331</t>
        </is>
      </c>
      <c r="B8" s="21" t="inlineStr">
        <is>
          <t>Honey Lime Dressing</t>
        </is>
      </c>
      <c r="C8" s="22" t="inlineStr">
        <is>
          <t>(4) 1 Gallon</t>
        </is>
      </c>
      <c r="E8" s="23" t="n"/>
      <c r="F8" s="16" t="inlineStr">
        <is>
          <t>(4) 1gal</t>
        </is>
      </c>
      <c r="G8" t="inlineStr">
        <is>
          <t>Kens Honey Lime</t>
        </is>
      </c>
      <c r="H8" s="20" t="inlineStr">
        <is>
          <t>00076125</t>
        </is>
      </c>
      <c r="I8" s="35" t="inlineStr">
        <is>
          <t>1 Gallon</t>
        </is>
      </c>
      <c r="J8" s="24">
        <f>D8/4</f>
        <v/>
      </c>
      <c r="K8" s="36">
        <f>#REF!/4</f>
        <v/>
      </c>
      <c r="L8" s="37" t="inlineStr">
        <is>
          <t>By Ounce</t>
        </is>
      </c>
      <c r="M8" s="24">
        <f>J8/128</f>
        <v/>
      </c>
      <c r="N8" s="38">
        <f>K8/128</f>
        <v/>
      </c>
      <c r="P8" s="10">
        <f>J8*4</f>
        <v/>
      </c>
      <c r="Q8" s="10">
        <f>K8*4</f>
        <v/>
      </c>
      <c r="R8" s="10">
        <f>P8-Q8</f>
        <v/>
      </c>
      <c r="S8" s="29">
        <f>R8/P8</f>
        <v/>
      </c>
    </row>
    <row r="9">
      <c r="A9" s="20" t="inlineStr">
        <is>
          <t>4537654</t>
        </is>
      </c>
      <c r="B9" s="21" t="inlineStr">
        <is>
          <t>Caesar Dressing with EGG</t>
        </is>
      </c>
      <c r="C9" s="22" t="inlineStr">
        <is>
          <t>(4) 1 gallon</t>
        </is>
      </c>
      <c r="E9" s="23" t="n"/>
      <c r="F9" s="16" t="inlineStr">
        <is>
          <t>(4) 1 Gal</t>
        </is>
      </c>
      <c r="G9" t="inlineStr">
        <is>
          <t>Caesar Totally with Egg</t>
        </is>
      </c>
      <c r="H9" s="20" t="inlineStr">
        <is>
          <t>00076054</t>
        </is>
      </c>
      <c r="I9" s="69" t="inlineStr">
        <is>
          <t>1 Gallon</t>
        </is>
      </c>
      <c r="J9" s="24">
        <f>D9/4</f>
        <v/>
      </c>
      <c r="K9" s="36">
        <f>E9/4</f>
        <v/>
      </c>
      <c r="L9" s="39" t="inlineStr">
        <is>
          <t>By Ounce</t>
        </is>
      </c>
      <c r="M9" s="24">
        <f>J9/128</f>
        <v/>
      </c>
      <c r="N9" s="40">
        <f>K9/128</f>
        <v/>
      </c>
      <c r="P9" s="10">
        <f>J9*4</f>
        <v/>
      </c>
      <c r="Q9" s="10">
        <f>K9*4</f>
        <v/>
      </c>
      <c r="R9" s="10">
        <f>P9-Q9</f>
        <v/>
      </c>
      <c r="S9" s="29">
        <f>R9/P9</f>
        <v/>
      </c>
    </row>
    <row r="10">
      <c r="A10" s="20" t="inlineStr">
        <is>
          <t>4537611</t>
        </is>
      </c>
      <c r="B10" s="21" t="inlineStr">
        <is>
          <t xml:space="preserve">Ranch Dressing </t>
        </is>
      </c>
      <c r="C10" s="22" t="inlineStr">
        <is>
          <t>(4) 1 Gallon</t>
        </is>
      </c>
      <c r="E10" s="23" t="n"/>
      <c r="I10" s="35" t="inlineStr">
        <is>
          <t>1 Gallon</t>
        </is>
      </c>
      <c r="J10" s="24">
        <f>D10/4</f>
        <v/>
      </c>
      <c r="L10" s="8" t="inlineStr">
        <is>
          <t>By Ounce</t>
        </is>
      </c>
      <c r="M10" s="24">
        <f>J10/128</f>
        <v/>
      </c>
      <c r="R10" s="10">
        <f>P10-Q10</f>
        <v/>
      </c>
      <c r="S10" s="29">
        <f>R10/P10</f>
        <v/>
      </c>
    </row>
    <row r="11">
      <c r="A11" s="20" t="inlineStr">
        <is>
          <t>6475719</t>
        </is>
      </c>
      <c r="B11" s="21" t="inlineStr">
        <is>
          <t>Greek Feta Dressing</t>
        </is>
      </c>
      <c r="C11" s="22" t="inlineStr">
        <is>
          <t>(2) 1 Gallon</t>
        </is>
      </c>
      <c r="D11" t="inlineStr">
        <is>
          <t>42.51</t>
        </is>
      </c>
      <c r="E11" s="23" t="n"/>
      <c r="I11" s="35" t="inlineStr">
        <is>
          <t>By Gallon</t>
        </is>
      </c>
      <c r="J11" s="24">
        <f>D11/2</f>
        <v/>
      </c>
      <c r="L11" s="37" t="inlineStr">
        <is>
          <t>By Ounce</t>
        </is>
      </c>
      <c r="M11" s="24">
        <f>J11/128</f>
        <v/>
      </c>
      <c r="R11" s="10">
        <f>P11-Q11</f>
        <v/>
      </c>
      <c r="S11" s="29">
        <f>R11/P11</f>
        <v/>
      </c>
    </row>
    <row r="12">
      <c r="A12" s="20" t="inlineStr">
        <is>
          <t>4537797</t>
        </is>
      </c>
      <c r="B12" s="21" t="inlineStr">
        <is>
          <t>Creamy Italian Dressing</t>
        </is>
      </c>
      <c r="C12" s="22" t="inlineStr">
        <is>
          <t>(4) 1 Gallon</t>
        </is>
      </c>
      <c r="E12" s="23" t="n"/>
      <c r="F12" s="16" t="inlineStr">
        <is>
          <t>(4) 1 gal</t>
        </is>
      </c>
      <c r="H12" s="20" t="inlineStr">
        <is>
          <t>00076161</t>
        </is>
      </c>
      <c r="I12" s="69" t="inlineStr">
        <is>
          <t>By Gallon</t>
        </is>
      </c>
      <c r="J12" s="24">
        <f>D12/4</f>
        <v/>
      </c>
      <c r="K12" s="25">
        <f>E12/4</f>
        <v/>
      </c>
      <c r="L12" s="26" t="inlineStr">
        <is>
          <t>By Ounce</t>
        </is>
      </c>
      <c r="M12" s="24">
        <f>J12/128</f>
        <v/>
      </c>
      <c r="N12" s="41">
        <f>K12/128</f>
        <v/>
      </c>
      <c r="P12" s="10">
        <f>J12*4</f>
        <v/>
      </c>
      <c r="Q12" s="10">
        <f>K12*4</f>
        <v/>
      </c>
      <c r="R12" s="10">
        <f>P12-Q12</f>
        <v/>
      </c>
      <c r="S12" s="29">
        <f>R12/P12</f>
        <v/>
      </c>
    </row>
    <row r="13">
      <c r="A13" s="20" t="inlineStr">
        <is>
          <t>4582702</t>
        </is>
      </c>
      <c r="B13" s="21" t="inlineStr">
        <is>
          <t>Sweet Celery Coleslaw Dressing</t>
        </is>
      </c>
      <c r="C13" s="22" t="inlineStr">
        <is>
          <t>(4) 1 gallon</t>
        </is>
      </c>
      <c r="E13" s="23" t="n"/>
      <c r="H13" s="20" t="inlineStr">
        <is>
          <t>00076066</t>
        </is>
      </c>
      <c r="I13" s="35" t="inlineStr">
        <is>
          <t>By Gallon</t>
        </is>
      </c>
      <c r="J13" s="24">
        <f>D13/4</f>
        <v/>
      </c>
      <c r="K13" s="36">
        <f>E13/4</f>
        <v/>
      </c>
      <c r="L13" s="8" t="inlineStr">
        <is>
          <t>By Ounce</t>
        </is>
      </c>
      <c r="M13" s="24">
        <f>J13/128</f>
        <v/>
      </c>
      <c r="N13" s="10">
        <f>K13/128</f>
        <v/>
      </c>
      <c r="P13" s="10">
        <f>J13*4</f>
        <v/>
      </c>
      <c r="Q13" s="10">
        <f>K13*4</f>
        <v/>
      </c>
      <c r="R13" s="10">
        <f>P13-Q13</f>
        <v/>
      </c>
      <c r="S13" s="29">
        <f>R13/P13</f>
        <v/>
      </c>
    </row>
    <row r="14">
      <c r="A14" s="20" t="inlineStr">
        <is>
          <t>4096368</t>
        </is>
      </c>
      <c r="B14" s="21" t="inlineStr">
        <is>
          <t>Tar tar Hidden Cove</t>
        </is>
      </c>
      <c r="C14" s="22" t="inlineStr">
        <is>
          <t>(4) 1 Gal</t>
        </is>
      </c>
      <c r="E14" s="23" t="n"/>
      <c r="F14" s="16" t="inlineStr">
        <is>
          <t>(4) 1 Gal</t>
        </is>
      </c>
      <c r="G14" t="inlineStr">
        <is>
          <t>Sauce TarTar</t>
        </is>
      </c>
      <c r="H14" s="20" t="inlineStr">
        <is>
          <t>10082600</t>
        </is>
      </c>
      <c r="I14" s="69" t="inlineStr">
        <is>
          <t>By gallon</t>
        </is>
      </c>
      <c r="J14" s="24">
        <f>D14/4</f>
        <v/>
      </c>
      <c r="K14" s="25">
        <f>E14/4</f>
        <v/>
      </c>
      <c r="L14" s="26" t="inlineStr">
        <is>
          <t>By Ounce</t>
        </is>
      </c>
      <c r="M14" s="24">
        <f>J14/128</f>
        <v/>
      </c>
      <c r="N14" s="31">
        <f>K14/128</f>
        <v/>
      </c>
      <c r="P14" s="10">
        <f>J14*4</f>
        <v/>
      </c>
      <c r="Q14" s="10">
        <f>K14*4</f>
        <v/>
      </c>
      <c r="R14" s="10">
        <f>P14-Q14</f>
        <v/>
      </c>
      <c r="S14" s="29">
        <f>R14/P14</f>
        <v/>
      </c>
    </row>
    <row r="15">
      <c r="A15" s="20" t="inlineStr">
        <is>
          <t>4582849</t>
        </is>
      </c>
      <c r="B15" s="21" t="inlineStr">
        <is>
          <t xml:space="preserve">Honey Mustard Dressing Dip </t>
        </is>
      </c>
      <c r="C15" s="22" t="inlineStr">
        <is>
          <t>(4) 1 Gal</t>
        </is>
      </c>
      <c r="E15" s="23" t="n"/>
      <c r="F15" s="16" t="inlineStr">
        <is>
          <t>(4) 1 Gal</t>
        </is>
      </c>
      <c r="G15" t="inlineStr">
        <is>
          <t>Honey Dijon Mustard</t>
        </is>
      </c>
      <c r="H15" s="20" t="inlineStr">
        <is>
          <t>00076121</t>
        </is>
      </c>
      <c r="I15" s="69" t="inlineStr">
        <is>
          <t>By Gallon</t>
        </is>
      </c>
      <c r="J15" s="24">
        <f>D15/4</f>
        <v/>
      </c>
      <c r="K15" s="36">
        <f>E15/4</f>
        <v/>
      </c>
      <c r="L15" s="42" t="inlineStr">
        <is>
          <t>By Ounce</t>
        </is>
      </c>
      <c r="M15" s="24">
        <f>J15/128</f>
        <v/>
      </c>
      <c r="N15">
        <f>K15/128</f>
        <v/>
      </c>
      <c r="P15" s="10">
        <f>J15*4</f>
        <v/>
      </c>
      <c r="Q15" s="10">
        <f>K15*4</f>
        <v/>
      </c>
      <c r="R15" s="10">
        <f>P15-Q15</f>
        <v/>
      </c>
      <c r="S15" s="29">
        <f>R15/P15</f>
        <v/>
      </c>
    </row>
    <row r="16">
      <c r="A16" s="20" t="inlineStr">
        <is>
          <t>4084901</t>
        </is>
      </c>
      <c r="B16" s="21" t="inlineStr">
        <is>
          <t>Blue Cheese Dressing</t>
        </is>
      </c>
      <c r="C16" s="22" t="inlineStr">
        <is>
          <t>(4) 1 Gal</t>
        </is>
      </c>
      <c r="E16" s="23" t="n"/>
      <c r="F16" s="16" t="inlineStr">
        <is>
          <t>(4) 1 Gal</t>
        </is>
      </c>
      <c r="G16" t="inlineStr">
        <is>
          <t>Blue Cheese Chunky</t>
        </is>
      </c>
      <c r="H16" s="20" t="inlineStr">
        <is>
          <t>00076030</t>
        </is>
      </c>
      <c r="I16" s="35" t="inlineStr">
        <is>
          <t>1 Gallon</t>
        </is>
      </c>
      <c r="J16" s="24">
        <f>D16/4</f>
        <v/>
      </c>
      <c r="K16" s="36">
        <f>E16/4</f>
        <v/>
      </c>
      <c r="L16" s="37" t="inlineStr">
        <is>
          <t>By Ounce</t>
        </is>
      </c>
      <c r="M16" s="24">
        <f>J16/128</f>
        <v/>
      </c>
      <c r="N16" s="10">
        <f>K16/128</f>
        <v/>
      </c>
      <c r="P16" s="10">
        <f>J16*4</f>
        <v/>
      </c>
      <c r="Q16" s="10">
        <f>K16*4</f>
        <v/>
      </c>
      <c r="R16" s="10">
        <f>P16-Q16</f>
        <v/>
      </c>
      <c r="S16" s="29">
        <f>R16/P16</f>
        <v/>
      </c>
    </row>
    <row r="17">
      <c r="A17" s="20" t="inlineStr">
        <is>
          <t>4537971</t>
        </is>
      </c>
      <c r="B17" s="21" t="inlineStr">
        <is>
          <t>Thousand Island Chef Style Dressing</t>
        </is>
      </c>
      <c r="C17" s="22" t="inlineStr">
        <is>
          <t>(4) 1 Gal</t>
        </is>
      </c>
      <c r="E17" s="23" t="n"/>
      <c r="F17" s="16" t="inlineStr">
        <is>
          <t>(4) 1 Gal</t>
        </is>
      </c>
      <c r="G17" t="inlineStr">
        <is>
          <t>Thousand Island</t>
        </is>
      </c>
      <c r="H17" s="20" t="inlineStr">
        <is>
          <t>00076260</t>
        </is>
      </c>
      <c r="I17" s="35" t="inlineStr">
        <is>
          <t>1 Gallon</t>
        </is>
      </c>
      <c r="J17" s="24">
        <f>D17/4</f>
        <v/>
      </c>
      <c r="K17" s="36">
        <f>E17/4</f>
        <v/>
      </c>
      <c r="L17" s="37" t="inlineStr">
        <is>
          <t>By Ounce</t>
        </is>
      </c>
      <c r="M17" s="24">
        <f>J17/128</f>
        <v/>
      </c>
      <c r="N17" s="10">
        <f>K17/128</f>
        <v/>
      </c>
      <c r="P17" s="10">
        <f>J17*4</f>
        <v/>
      </c>
      <c r="Q17" s="10">
        <f>K17*4</f>
        <v/>
      </c>
      <c r="R17" s="10">
        <f>P17-Q17</f>
        <v/>
      </c>
      <c r="S17" s="29">
        <f>R17/P17</f>
        <v/>
      </c>
    </row>
    <row r="18">
      <c r="A18" s="20" t="inlineStr">
        <is>
          <t>4537803</t>
        </is>
      </c>
      <c r="B18" t="inlineStr">
        <is>
          <t xml:space="preserve">Buttermilk Herb Ranch </t>
        </is>
      </c>
      <c r="C18" s="22" t="inlineStr">
        <is>
          <t>4/1gallon</t>
        </is>
      </c>
      <c r="E18" s="23" t="n"/>
      <c r="F18" s="16" t="inlineStr">
        <is>
          <t>(4) 1gal</t>
        </is>
      </c>
      <c r="G18" t="inlineStr">
        <is>
          <t>Ranch herb Buttermilk</t>
        </is>
      </c>
      <c r="H18" s="20" t="inlineStr">
        <is>
          <t>00076045</t>
        </is>
      </c>
      <c r="I18" s="35" t="inlineStr">
        <is>
          <t>By Gallon</t>
        </is>
      </c>
      <c r="J18" s="24">
        <f>D18/4</f>
        <v/>
      </c>
      <c r="K18" s="36">
        <f>E18/4</f>
        <v/>
      </c>
      <c r="L18" s="37" t="inlineStr">
        <is>
          <t>By Ounce</t>
        </is>
      </c>
      <c r="M18" s="34">
        <f>J18/128</f>
        <v/>
      </c>
      <c r="N18" s="10">
        <f>K18/128</f>
        <v/>
      </c>
      <c r="P18" s="10">
        <f>J18*4</f>
        <v/>
      </c>
      <c r="Q18" s="10">
        <f>K18*4</f>
        <v/>
      </c>
      <c r="R18" s="10">
        <f>P18-Q18</f>
        <v/>
      </c>
      <c r="S18" s="29">
        <f>R18/P18</f>
        <v/>
      </c>
    </row>
    <row r="19">
      <c r="A19" s="20" t="inlineStr">
        <is>
          <t>4537894</t>
        </is>
      </c>
      <c r="B19" t="inlineStr">
        <is>
          <t xml:space="preserve">Balsamic Vinagrette Dressing </t>
        </is>
      </c>
      <c r="C19" s="22" t="inlineStr">
        <is>
          <t>(4) 1 Gal</t>
        </is>
      </c>
      <c r="E19" s="23" t="n"/>
      <c r="F19" s="16" t="inlineStr">
        <is>
          <t>(4) 1 Gal</t>
        </is>
      </c>
      <c r="G19" t="inlineStr">
        <is>
          <t>Balsamic Vinagrette</t>
        </is>
      </c>
      <c r="H19" s="20" t="inlineStr">
        <is>
          <t>00076278</t>
        </is>
      </c>
      <c r="I19" s="35" t="inlineStr">
        <is>
          <t>1 Gallon</t>
        </is>
      </c>
      <c r="J19" s="24">
        <f>D19/4</f>
        <v/>
      </c>
      <c r="K19" s="36">
        <f>E19/4</f>
        <v/>
      </c>
      <c r="L19" s="37" t="inlineStr">
        <is>
          <t>By Ounce</t>
        </is>
      </c>
      <c r="M19" s="24">
        <f>J19/128</f>
        <v/>
      </c>
      <c r="N19" s="38">
        <f>K19/128</f>
        <v/>
      </c>
      <c r="P19" s="10">
        <f>J19*4</f>
        <v/>
      </c>
      <c r="Q19" s="10">
        <f>K19*4</f>
        <v/>
      </c>
      <c r="R19" s="10">
        <f>P19-Q19</f>
        <v/>
      </c>
      <c r="S19" s="29">
        <f>R19/P19</f>
        <v/>
      </c>
    </row>
    <row r="20">
      <c r="B20" t="inlineStr">
        <is>
          <t>Kens Honey Dijon Mustard</t>
        </is>
      </c>
      <c r="C20" s="22" t="inlineStr">
        <is>
          <t>1 gallon</t>
        </is>
      </c>
      <c r="E20" s="23" t="n"/>
      <c r="I20" s="35" t="inlineStr">
        <is>
          <t>1 Gallon</t>
        </is>
      </c>
      <c r="L20" s="37" t="inlineStr">
        <is>
          <t>By Ounce</t>
        </is>
      </c>
      <c r="R20" s="10">
        <f>P20-Q20</f>
        <v/>
      </c>
      <c r="S20" s="29">
        <f>R20/P20</f>
        <v/>
      </c>
    </row>
    <row r="21">
      <c r="A21" s="1" t="n">
        <v>4538868</v>
      </c>
      <c r="B21" t="inlineStr">
        <is>
          <t>SYS IMP Dressing French Ventura (4) 1 gallon</t>
        </is>
      </c>
      <c r="E21" s="23" t="n"/>
      <c r="I21" s="35" t="inlineStr">
        <is>
          <t>1 Gallon</t>
        </is>
      </c>
      <c r="J21" s="34" t="n">
        <v>45.55</v>
      </c>
      <c r="L21" s="37" t="inlineStr">
        <is>
          <t>By Ounce</t>
        </is>
      </c>
      <c r="R21" s="10">
        <f>P21-Q21</f>
        <v/>
      </c>
      <c r="S21" s="29">
        <f>R21/P21</f>
        <v/>
      </c>
    </row>
    <row r="22">
      <c r="A22" s="10" t="n"/>
      <c r="C22" s="32" t="n"/>
      <c r="E22" s="23" t="n"/>
      <c r="F22" s="33" t="n"/>
      <c r="I22" s="32" t="n"/>
      <c r="L22" s="23" t="n"/>
    </row>
    <row customHeight="1" ht="21" r="23">
      <c r="B23" s="2" t="inlineStr">
        <is>
          <t>Spices and Seasonings</t>
        </is>
      </c>
      <c r="C23" s="32" t="n"/>
      <c r="E23" s="23" t="n"/>
      <c r="F23" s="33" t="n"/>
      <c r="I23" s="32" t="n"/>
      <c r="J23" s="23" t="n"/>
      <c r="L23" s="23" t="n"/>
      <c r="N23" s="28" t="n"/>
    </row>
    <row r="24">
      <c r="A24" s="20" t="inlineStr">
        <is>
          <t>7221833</t>
        </is>
      </c>
      <c r="B24" s="21" t="inlineStr">
        <is>
          <t xml:space="preserve">Sesame Seed Black </t>
        </is>
      </c>
      <c r="C24" s="22" t="inlineStr">
        <is>
          <t>(6) 18oz</t>
        </is>
      </c>
      <c r="E24" s="23" t="n"/>
      <c r="F24" s="16" t="inlineStr">
        <is>
          <t>(4) 20oz</t>
        </is>
      </c>
      <c r="G24" t="inlineStr">
        <is>
          <t>Sesame Seed Black</t>
        </is>
      </c>
      <c r="H24" s="20" t="inlineStr">
        <is>
          <t>00140246</t>
        </is>
      </c>
      <c r="I24" s="35" t="inlineStr">
        <is>
          <t>Per Ounce</t>
        </is>
      </c>
      <c r="J24" s="24">
        <f>D24/108</f>
        <v/>
      </c>
      <c r="K24" s="36">
        <f>E24/80</f>
        <v/>
      </c>
      <c r="L24" s="26" t="inlineStr">
        <is>
          <t>By Ounce</t>
        </is>
      </c>
      <c r="M24" s="24">
        <f>J24</f>
        <v/>
      </c>
      <c r="N24" s="43">
        <f>K24</f>
        <v/>
      </c>
      <c r="P24" s="10">
        <f>J24*108</f>
        <v/>
      </c>
      <c r="Q24" s="10">
        <f>K24*108</f>
        <v/>
      </c>
      <c r="R24" s="10">
        <f>P24-Q24</f>
        <v/>
      </c>
      <c r="S24" s="29">
        <f>R24/P24</f>
        <v/>
      </c>
    </row>
    <row r="25">
      <c r="A25" s="20" t="inlineStr">
        <is>
          <t>2473132</t>
        </is>
      </c>
      <c r="B25" t="inlineStr">
        <is>
          <t xml:space="preserve">Sesame See White </t>
        </is>
      </c>
      <c r="C25" s="22" t="inlineStr">
        <is>
          <t>(6)16oz</t>
        </is>
      </c>
      <c r="E25" s="23" t="n"/>
      <c r="F25" s="16" t="inlineStr">
        <is>
          <t>(6) 15oz</t>
        </is>
      </c>
      <c r="G25" t="inlineStr">
        <is>
          <t>Sesame Whole</t>
        </is>
      </c>
      <c r="H25" s="20" t="inlineStr">
        <is>
          <t>00140251</t>
        </is>
      </c>
      <c r="I25" s="35" t="inlineStr">
        <is>
          <t>Per Ounce</t>
        </is>
      </c>
      <c r="J25" s="44">
        <f>D25/16</f>
        <v/>
      </c>
      <c r="K25" s="36">
        <f>E25/90</f>
        <v/>
      </c>
      <c r="L25" s="26" t="inlineStr">
        <is>
          <t>By Ounce</t>
        </is>
      </c>
      <c r="M25" s="24">
        <f>J25</f>
        <v/>
      </c>
      <c r="N25" s="28">
        <f>K25</f>
        <v/>
      </c>
      <c r="P25" s="10">
        <f>J25*16</f>
        <v/>
      </c>
      <c r="Q25" s="10">
        <f>K25*16</f>
        <v/>
      </c>
      <c r="R25" s="10">
        <f>P25-Q25</f>
        <v/>
      </c>
      <c r="S25" s="29">
        <f>R25/P25</f>
        <v/>
      </c>
    </row>
    <row r="26">
      <c r="A26" s="20" t="inlineStr">
        <is>
          <t>5228424</t>
        </is>
      </c>
      <c r="B26" t="inlineStr">
        <is>
          <t>Cajun Seasoning</t>
        </is>
      </c>
      <c r="C26" s="22" t="inlineStr">
        <is>
          <t>(6) 18oz</t>
        </is>
      </c>
      <c r="E26" s="23" t="n"/>
      <c r="I26" s="35" t="inlineStr">
        <is>
          <t>1 18oz container</t>
        </is>
      </c>
      <c r="J26" s="24">
        <f>D26/6</f>
        <v/>
      </c>
      <c r="L26" s="26" t="inlineStr">
        <is>
          <t>By Ounce</t>
        </is>
      </c>
      <c r="M26" s="24">
        <f>J26/18</f>
        <v/>
      </c>
      <c r="N26" s="28" t="n"/>
      <c r="R26" s="10">
        <f>P26-Q26</f>
        <v/>
      </c>
      <c r="S26" s="29">
        <f>R26/P26</f>
        <v/>
      </c>
    </row>
    <row r="27">
      <c r="A27" s="20" t="inlineStr">
        <is>
          <t>9806456</t>
        </is>
      </c>
      <c r="B27" t="inlineStr">
        <is>
          <t>Garlic Salt</t>
        </is>
      </c>
      <c r="C27" s="22" t="inlineStr">
        <is>
          <t>(6) 41.25oz</t>
        </is>
      </c>
      <c r="E27" s="23" t="n"/>
      <c r="F27" s="16" t="inlineStr">
        <is>
          <t>(6) 30oz</t>
        </is>
      </c>
      <c r="G27" t="inlineStr">
        <is>
          <t>Garlic Salt</t>
        </is>
      </c>
      <c r="H27" s="20" t="inlineStr">
        <is>
          <t>00136052</t>
        </is>
      </c>
      <c r="I27" s="35" t="inlineStr">
        <is>
          <t>By Container</t>
        </is>
      </c>
      <c r="J27" s="24">
        <f>D27/6</f>
        <v/>
      </c>
      <c r="K27" s="36">
        <f>E27/6</f>
        <v/>
      </c>
      <c r="L27" s="37" t="inlineStr">
        <is>
          <t>By Ounce</t>
        </is>
      </c>
      <c r="M27" s="24">
        <f>J27/41.25</f>
        <v/>
      </c>
      <c r="N27" s="38">
        <f>K27/30</f>
        <v/>
      </c>
      <c r="P27" s="10">
        <f>M27*247.5</f>
        <v/>
      </c>
      <c r="Q27" s="10">
        <f>N27*247.5</f>
        <v/>
      </c>
      <c r="R27" s="10">
        <f>P27-Q27</f>
        <v/>
      </c>
      <c r="S27" s="29">
        <f>R27/P27</f>
        <v/>
      </c>
    </row>
    <row r="28">
      <c r="A28" s="20" t="inlineStr">
        <is>
          <t>4029761</t>
        </is>
      </c>
      <c r="B28" t="inlineStr">
        <is>
          <t xml:space="preserve">Blackened Seasoning </t>
        </is>
      </c>
      <c r="C28" s="22" t="inlineStr">
        <is>
          <t>23Oz</t>
        </is>
      </c>
      <c r="E28" s="23" t="n"/>
      <c r="F28" s="16" t="inlineStr">
        <is>
          <t>(4) 24oz</t>
        </is>
      </c>
      <c r="G28" t="inlineStr">
        <is>
          <t>Red Fish</t>
        </is>
      </c>
      <c r="H28" s="20" t="inlineStr">
        <is>
          <t>00142020</t>
        </is>
      </c>
      <c r="I28" s="35" t="inlineStr">
        <is>
          <t>1 Container</t>
        </is>
      </c>
      <c r="J28" s="24">
        <f>D28</f>
        <v/>
      </c>
      <c r="K28" s="23">
        <f>E28/4</f>
        <v/>
      </c>
      <c r="L28" s="26" t="inlineStr">
        <is>
          <t>By Ounce</t>
        </is>
      </c>
      <c r="M28" s="24">
        <f>J28/23</f>
        <v/>
      </c>
      <c r="N28" s="28">
        <f>E28/96</f>
        <v/>
      </c>
      <c r="P28" s="10">
        <f>M28*96</f>
        <v/>
      </c>
      <c r="Q28" s="10">
        <f>N28*96</f>
        <v/>
      </c>
      <c r="R28" s="10">
        <f>P28-Q28</f>
        <v/>
      </c>
      <c r="S28" s="29">
        <f>R28/P28</f>
        <v/>
      </c>
    </row>
    <row r="29">
      <c r="A29" s="20" t="inlineStr">
        <is>
          <t>9806480</t>
        </is>
      </c>
      <c r="B29" t="inlineStr">
        <is>
          <t xml:space="preserve">Spice Lemon Pepper </t>
        </is>
      </c>
      <c r="C29" s="22" t="inlineStr">
        <is>
          <t>(6) 28oz</t>
        </is>
      </c>
      <c r="E29" s="23" t="n"/>
      <c r="I29" s="35" t="inlineStr">
        <is>
          <t>1 28oz Container</t>
        </is>
      </c>
      <c r="J29" s="24">
        <f>D29/6</f>
        <v/>
      </c>
      <c r="L29" s="26" t="inlineStr">
        <is>
          <t>By Ounce</t>
        </is>
      </c>
      <c r="M29" s="24">
        <f>J29/28</f>
        <v/>
      </c>
      <c r="N29" s="28" t="n"/>
      <c r="R29" s="10">
        <f>P29-Q29</f>
        <v/>
      </c>
      <c r="S29" s="29">
        <f>R29/P29</f>
        <v/>
      </c>
    </row>
    <row r="30">
      <c r="A30" s="20" t="inlineStr">
        <is>
          <t>2926727</t>
        </is>
      </c>
      <c r="B30" t="inlineStr">
        <is>
          <t>Sugar Granulated Extra Fine Cane</t>
        </is>
      </c>
      <c r="C30" s="22" t="inlineStr">
        <is>
          <t>(10) 4LB</t>
        </is>
      </c>
      <c r="E30" s="23" t="n"/>
      <c r="F30" s="16" t="inlineStr">
        <is>
          <t>(24) 1#</t>
        </is>
      </c>
      <c r="G30" t="inlineStr">
        <is>
          <t>Granulated Sugar</t>
        </is>
      </c>
      <c r="H30" s="1" t="inlineStr">
        <is>
          <t>10020333</t>
        </is>
      </c>
      <c r="I30" s="35" t="inlineStr">
        <is>
          <t>By Lb</t>
        </is>
      </c>
      <c r="J30" s="24">
        <f>D30/40</f>
        <v/>
      </c>
      <c r="K30" s="36">
        <f>E30/24</f>
        <v/>
      </c>
      <c r="L30" s="37" t="inlineStr">
        <is>
          <t>By Ounce</t>
        </is>
      </c>
      <c r="M30" s="24">
        <f>J30/16</f>
        <v/>
      </c>
      <c r="P30" s="10">
        <f>J30*40</f>
        <v/>
      </c>
      <c r="Q30" s="10">
        <f>K30*40</f>
        <v/>
      </c>
      <c r="R30" s="10">
        <f>P30-Q30</f>
        <v/>
      </c>
      <c r="S30" s="29">
        <f>R30/P30</f>
        <v/>
      </c>
    </row>
    <row r="31">
      <c r="A31" s="20" t="inlineStr">
        <is>
          <t>1854694</t>
        </is>
      </c>
      <c r="B31" t="inlineStr">
        <is>
          <t xml:space="preserve">Brown Sugar </t>
        </is>
      </c>
      <c r="C31" s="22" t="inlineStr">
        <is>
          <t>25LB</t>
        </is>
      </c>
      <c r="E31" s="23" t="n"/>
      <c r="F31" s="16" t="inlineStr">
        <is>
          <t>(24) 1lb</t>
        </is>
      </c>
      <c r="G31" t="inlineStr">
        <is>
          <t>Dark Brown Sugar</t>
        </is>
      </c>
      <c r="H31" s="1" t="inlineStr">
        <is>
          <t>00018085</t>
        </is>
      </c>
      <c r="I31" s="35" t="inlineStr">
        <is>
          <t>By Lb</t>
        </is>
      </c>
      <c r="J31" s="24">
        <f>D31/25</f>
        <v/>
      </c>
      <c r="K31" s="23">
        <f>E31/24</f>
        <v/>
      </c>
      <c r="L31" s="37" t="inlineStr">
        <is>
          <t>By Ounce</t>
        </is>
      </c>
      <c r="M31" s="24">
        <f>J31/16</f>
        <v/>
      </c>
      <c r="N31" s="10">
        <f>K31/16</f>
        <v/>
      </c>
      <c r="P31" s="10">
        <f>J31*30</f>
        <v/>
      </c>
      <c r="Q31" s="10">
        <f>K31*30</f>
        <v/>
      </c>
      <c r="R31" s="10">
        <f>P31-Q31</f>
        <v/>
      </c>
      <c r="S31" s="29">
        <f>R31/P31</f>
        <v/>
      </c>
    </row>
    <row r="32">
      <c r="A32" s="20" t="inlineStr">
        <is>
          <t>3510817</t>
        </is>
      </c>
      <c r="B32" t="inlineStr">
        <is>
          <t>Taco Seasoning</t>
        </is>
      </c>
      <c r="C32" s="22" t="inlineStr">
        <is>
          <t>(6) 9oz</t>
        </is>
      </c>
      <c r="E32" s="23" t="n"/>
      <c r="F32" s="16" t="inlineStr">
        <is>
          <t>(6) 9oz</t>
        </is>
      </c>
      <c r="H32" s="1" t="inlineStr">
        <is>
          <t>00142087</t>
        </is>
      </c>
      <c r="I32" s="35" t="inlineStr">
        <is>
          <t>By Package</t>
        </is>
      </c>
      <c r="J32" s="24">
        <f>D32/6</f>
        <v/>
      </c>
      <c r="K32" s="23">
        <f>E32/6</f>
        <v/>
      </c>
      <c r="L32" s="37" t="inlineStr">
        <is>
          <t>By Ounce</t>
        </is>
      </c>
      <c r="M32" s="24">
        <f>J32/9</f>
        <v/>
      </c>
      <c r="N32" s="10">
        <f>E32/54</f>
        <v/>
      </c>
      <c r="P32" s="10">
        <f>M32*16</f>
        <v/>
      </c>
      <c r="Q32" s="10">
        <f>N32*16</f>
        <v/>
      </c>
      <c r="R32" s="10">
        <f>P32-Q32</f>
        <v/>
      </c>
      <c r="S32" s="29">
        <f>R32/P32</f>
        <v/>
      </c>
    </row>
    <row r="33">
      <c r="A33" s="20" t="inlineStr">
        <is>
          <t>6996490</t>
        </is>
      </c>
      <c r="B33" t="inlineStr">
        <is>
          <t>All Purpose Complete</t>
        </is>
      </c>
      <c r="C33" s="22" t="inlineStr">
        <is>
          <t>(4) 6lb</t>
        </is>
      </c>
      <c r="E33" s="23" t="n"/>
      <c r="I33" s="35" t="inlineStr">
        <is>
          <t>By Container</t>
        </is>
      </c>
      <c r="J33" s="24">
        <f>D33/4</f>
        <v/>
      </c>
      <c r="L33" s="37" t="inlineStr">
        <is>
          <t>By Ounce</t>
        </is>
      </c>
      <c r="M33" s="24">
        <f>J33/96</f>
        <v/>
      </c>
      <c r="R33" s="10">
        <f>P33-Q33</f>
        <v/>
      </c>
      <c r="S33" s="29">
        <f>R33/P33</f>
        <v/>
      </c>
    </row>
    <row r="34">
      <c r="A34" s="20" t="inlineStr">
        <is>
          <t>6160063</t>
        </is>
      </c>
      <c r="B34" t="inlineStr">
        <is>
          <t>Wasabi Powder 16oz</t>
        </is>
      </c>
      <c r="C34" s="22" t="inlineStr">
        <is>
          <t>16oz</t>
        </is>
      </c>
      <c r="E34" s="23" t="n"/>
      <c r="F34" s="16" t="inlineStr">
        <is>
          <t>(4) 1lb</t>
        </is>
      </c>
      <c r="G34" t="inlineStr">
        <is>
          <t>Wasabi</t>
        </is>
      </c>
      <c r="H34" s="20" t="inlineStr">
        <is>
          <t>00048140</t>
        </is>
      </c>
      <c r="I34" s="69" t="inlineStr">
        <is>
          <t>1 package</t>
        </is>
      </c>
      <c r="J34" s="24">
        <f>D34</f>
        <v/>
      </c>
      <c r="K34" s="30" t="n"/>
      <c r="L34" s="26" t="inlineStr">
        <is>
          <t>By Ounce</t>
        </is>
      </c>
      <c r="M34" s="24">
        <f>J34/16</f>
        <v/>
      </c>
      <c r="N34" s="41">
        <f>E34/64</f>
        <v/>
      </c>
      <c r="P34" s="10">
        <f>M34*16</f>
        <v/>
      </c>
      <c r="Q34" s="10">
        <f>N34*16</f>
        <v/>
      </c>
      <c r="R34" s="10">
        <f>P34-Q34</f>
        <v/>
      </c>
      <c r="S34" s="29">
        <f>R34/P34</f>
        <v/>
      </c>
    </row>
    <row r="35">
      <c r="A35" s="20" t="inlineStr">
        <is>
          <t>4006565</t>
        </is>
      </c>
      <c r="B35" t="inlineStr">
        <is>
          <t>Season Liquid Smoke Hickory (1)Gallon</t>
        </is>
      </c>
      <c r="C35" s="22" t="inlineStr">
        <is>
          <t>1 Gal</t>
        </is>
      </c>
      <c r="E35" s="23" t="n"/>
      <c r="F35" s="16" t="inlineStr">
        <is>
          <t>(4) 1 Gal</t>
        </is>
      </c>
      <c r="G35" t="inlineStr">
        <is>
          <t xml:space="preserve">Liquid Smoke </t>
        </is>
      </c>
      <c r="H35" s="1" t="inlineStr">
        <is>
          <t>00058054</t>
        </is>
      </c>
      <c r="I35" s="69" t="inlineStr">
        <is>
          <t>1 Gallon</t>
        </is>
      </c>
      <c r="J35" s="24">
        <f>D35</f>
        <v/>
      </c>
      <c r="K35" s="25">
        <f>E35/4</f>
        <v/>
      </c>
      <c r="L35" s="26" t="inlineStr">
        <is>
          <t>By Ounce</t>
        </is>
      </c>
      <c r="M35" s="24">
        <f>J35/128</f>
        <v/>
      </c>
      <c r="N35" s="31" t="n"/>
      <c r="P35" s="10">
        <f>D35*4</f>
        <v/>
      </c>
      <c r="Q35" s="10">
        <f>E35</f>
        <v/>
      </c>
      <c r="R35" s="10">
        <f>P35-Q35</f>
        <v/>
      </c>
      <c r="S35" s="29">
        <f>R35/P35</f>
        <v/>
      </c>
    </row>
    <row r="36">
      <c r="A36" s="45" t="inlineStr">
        <is>
          <t>0528729</t>
        </is>
      </c>
      <c r="B36" t="inlineStr">
        <is>
          <t>Seafood Seasoning</t>
        </is>
      </c>
      <c r="C36" s="46" t="inlineStr">
        <is>
          <t>(12) 1lb tin</t>
        </is>
      </c>
      <c r="E36" s="23" t="n"/>
      <c r="F36" s="47" t="inlineStr">
        <is>
          <t>(3) 7.5 lb</t>
        </is>
      </c>
      <c r="G36" t="inlineStr">
        <is>
          <t>Old Bay</t>
        </is>
      </c>
      <c r="H36" s="20" t="inlineStr">
        <is>
          <t>00142080</t>
        </is>
      </c>
      <c r="I36" s="69" t="inlineStr">
        <is>
          <t>1LB</t>
        </is>
      </c>
      <c r="J36" s="40">
        <f>D36/12</f>
        <v/>
      </c>
      <c r="L36" s="37" t="inlineStr">
        <is>
          <t>By OUnce</t>
        </is>
      </c>
      <c r="M36" s="40">
        <f>D36/16</f>
        <v/>
      </c>
      <c r="N36" s="48">
        <f>E36/360</f>
        <v/>
      </c>
      <c r="P36" s="10">
        <f>M36*192</f>
        <v/>
      </c>
      <c r="Q36" s="10">
        <f>N36*192</f>
        <v/>
      </c>
      <c r="R36" s="10">
        <f>P36-Q36</f>
        <v/>
      </c>
      <c r="S36" s="29">
        <f>R36/P36</f>
        <v/>
      </c>
    </row>
    <row r="37">
      <c r="A37" s="45" t="inlineStr">
        <is>
          <t>9869330</t>
        </is>
      </c>
      <c r="B37" t="inlineStr">
        <is>
          <t>Horseradish White Prepared</t>
        </is>
      </c>
      <c r="C37" s="49" t="inlineStr">
        <is>
          <t>8LB</t>
        </is>
      </c>
      <c r="E37" s="23" t="n"/>
      <c r="F37" s="47" t="n"/>
      <c r="I37" s="69" t="inlineStr">
        <is>
          <t>1LB</t>
        </is>
      </c>
      <c r="J37" s="40">
        <f>D37/8</f>
        <v/>
      </c>
      <c r="L37" s="37" t="inlineStr">
        <is>
          <t>By Ounce</t>
        </is>
      </c>
      <c r="M37" s="40">
        <f>J37/16</f>
        <v/>
      </c>
      <c r="R37" s="10">
        <f>P37-Q37</f>
        <v/>
      </c>
      <c r="S37" s="29">
        <f>R37/P37</f>
        <v/>
      </c>
    </row>
    <row r="38">
      <c r="A38" s="45" t="inlineStr">
        <is>
          <t>2645242</t>
        </is>
      </c>
      <c r="B38" t="inlineStr">
        <is>
          <t>Black Pepper Ground</t>
        </is>
      </c>
      <c r="C38" s="49" t="inlineStr">
        <is>
          <t>4LB</t>
        </is>
      </c>
      <c r="E38" s="23" t="n"/>
      <c r="F38" s="47" t="n"/>
      <c r="I38" s="69" t="inlineStr">
        <is>
          <t>1LB</t>
        </is>
      </c>
      <c r="J38" s="40">
        <f>D38/4</f>
        <v/>
      </c>
      <c r="L38" s="37" t="inlineStr">
        <is>
          <t>By Ounce</t>
        </is>
      </c>
      <c r="M38" s="40">
        <f>J38/16</f>
        <v/>
      </c>
      <c r="R38" s="10">
        <f>P38-Q38</f>
        <v/>
      </c>
      <c r="S38" s="29">
        <f>R38/P38</f>
        <v/>
      </c>
    </row>
    <row r="39">
      <c r="A39" s="45" t="inlineStr">
        <is>
          <t>6639553</t>
        </is>
      </c>
      <c r="B39" t="inlineStr">
        <is>
          <t>Montral Steak Seasoning</t>
        </is>
      </c>
      <c r="C39" s="49" t="inlineStr">
        <is>
          <t>(6) 29oz</t>
        </is>
      </c>
      <c r="E39" s="23" t="n"/>
      <c r="F39" s="47" t="n"/>
      <c r="I39" s="69" t="inlineStr">
        <is>
          <t>By Package</t>
        </is>
      </c>
      <c r="J39" s="40">
        <f>D39/6</f>
        <v/>
      </c>
      <c r="L39" s="37" t="inlineStr">
        <is>
          <t>By Ounce</t>
        </is>
      </c>
      <c r="M39" s="40">
        <f>J39/29</f>
        <v/>
      </c>
      <c r="R39" s="10">
        <f>P39-Q39</f>
        <v/>
      </c>
      <c r="S39" s="29">
        <f>R39/P39</f>
        <v/>
      </c>
    </row>
    <row r="40">
      <c r="A40" s="40" t="n">
        <v>4701140</v>
      </c>
      <c r="B40" t="inlineStr">
        <is>
          <t>Beef base</t>
        </is>
      </c>
      <c r="C40" s="49" t="inlineStr">
        <is>
          <t>(6) 1lb</t>
        </is>
      </c>
      <c r="E40" s="23" t="n"/>
      <c r="F40" s="47" t="inlineStr">
        <is>
          <t>(12) 1lb</t>
        </is>
      </c>
      <c r="G40" t="inlineStr">
        <is>
          <t>Beef Base</t>
        </is>
      </c>
      <c r="H40" s="20" t="inlineStr">
        <is>
          <t>00068120</t>
        </is>
      </c>
      <c r="I40" s="69" t="inlineStr">
        <is>
          <t>By LB</t>
        </is>
      </c>
      <c r="J40" s="40">
        <f>D40/6</f>
        <v/>
      </c>
      <c r="K40" s="40">
        <f>E40/12</f>
        <v/>
      </c>
      <c r="L40" s="37" t="inlineStr">
        <is>
          <t>By Ounce</t>
        </is>
      </c>
      <c r="M40">
        <f>J40/16</f>
        <v/>
      </c>
      <c r="N40">
        <f>K40/16</f>
        <v/>
      </c>
      <c r="P40" s="10">
        <f>12*J40</f>
        <v/>
      </c>
      <c r="Q40" s="10">
        <f>E40</f>
        <v/>
      </c>
      <c r="R40" s="10">
        <f>P40-Q40</f>
        <v/>
      </c>
      <c r="S40" s="29">
        <f>R40/P40</f>
        <v/>
      </c>
    </row>
    <row r="41">
      <c r="A41" s="45" t="inlineStr">
        <is>
          <t>4699542</t>
        </is>
      </c>
      <c r="B41" t="inlineStr">
        <is>
          <t>Chicken base</t>
        </is>
      </c>
      <c r="C41" s="49" t="inlineStr">
        <is>
          <t>(6) 1 LB</t>
        </is>
      </c>
      <c r="E41" s="23" t="n"/>
      <c r="F41" s="47" t="inlineStr">
        <is>
          <t>(6) 1LB</t>
        </is>
      </c>
      <c r="G41" t="inlineStr">
        <is>
          <t>Chicken Base</t>
        </is>
      </c>
      <c r="H41" s="20" t="inlineStr">
        <is>
          <t>10041483</t>
        </is>
      </c>
      <c r="I41" s="69" t="inlineStr">
        <is>
          <t>1LB</t>
        </is>
      </c>
      <c r="J41" s="40">
        <f>D41/6</f>
        <v/>
      </c>
      <c r="K41" s="40">
        <f>E41/6</f>
        <v/>
      </c>
      <c r="L41" s="37" t="inlineStr">
        <is>
          <t>By Ounce</t>
        </is>
      </c>
      <c r="M41" s="40">
        <f>J41/16</f>
        <v/>
      </c>
      <c r="N41">
        <f>K41/16</f>
        <v/>
      </c>
      <c r="P41" s="10">
        <f>J41*6</f>
        <v/>
      </c>
      <c r="Q41" s="10">
        <f>K41*6</f>
        <v/>
      </c>
      <c r="R41" s="10">
        <f>P41-Q41</f>
        <v/>
      </c>
      <c r="S41" s="29">
        <f>R41/P41</f>
        <v/>
      </c>
    </row>
    <row r="42">
      <c r="A42" s="20" t="inlineStr">
        <is>
          <t>4933925</t>
        </is>
      </c>
      <c r="B42" t="inlineStr">
        <is>
          <t xml:space="preserve">Mix Gravy Au Jus </t>
        </is>
      </c>
      <c r="C42" s="22" t="inlineStr">
        <is>
          <t>(12) 2.75oz</t>
        </is>
      </c>
      <c r="E42" s="23" t="n"/>
      <c r="F42" s="16" t="inlineStr">
        <is>
          <t>(8) 7oz</t>
        </is>
      </c>
      <c r="G42" t="inlineStr">
        <is>
          <t>Au Jus Mix</t>
        </is>
      </c>
      <c r="H42" s="20" t="inlineStr">
        <is>
          <t>000660055</t>
        </is>
      </c>
      <c r="I42" s="69" t="inlineStr">
        <is>
          <t>By Ounce</t>
        </is>
      </c>
      <c r="J42" s="24">
        <f>D42/33</f>
        <v/>
      </c>
      <c r="K42" s="43">
        <f>E42/56</f>
        <v/>
      </c>
      <c r="L42" s="26" t="inlineStr">
        <is>
          <t>By Ounce</t>
        </is>
      </c>
      <c r="M42" s="24">
        <f>D42/33</f>
        <v/>
      </c>
      <c r="N42" s="28">
        <f>E42/56</f>
        <v/>
      </c>
      <c r="P42" s="10">
        <f>M42*56</f>
        <v/>
      </c>
      <c r="Q42" s="10">
        <f>N42*56</f>
        <v/>
      </c>
      <c r="R42" s="10">
        <f>P42-Q42</f>
        <v/>
      </c>
      <c r="S42" s="29">
        <f>R42/P42</f>
        <v/>
      </c>
    </row>
    <row r="43">
      <c r="A43" s="20" t="inlineStr">
        <is>
          <t>8558215</t>
        </is>
      </c>
      <c r="B43" t="inlineStr">
        <is>
          <t>Brown Gravy Mix (6) 15Oz</t>
        </is>
      </c>
      <c r="C43" s="22" t="inlineStr">
        <is>
          <t>(6) 15oz</t>
        </is>
      </c>
      <c r="E43" s="23" t="n"/>
      <c r="I43" s="35" t="inlineStr">
        <is>
          <t>By Package</t>
        </is>
      </c>
      <c r="J43" s="24">
        <f>D43/6</f>
        <v/>
      </c>
      <c r="L43" s="8" t="inlineStr">
        <is>
          <t>By Ounce</t>
        </is>
      </c>
      <c r="M43" s="24">
        <f>J43/15</f>
        <v/>
      </c>
      <c r="R43" s="10">
        <f>P43-Q43</f>
        <v/>
      </c>
      <c r="S43" s="29">
        <f>R43/P43</f>
        <v/>
      </c>
    </row>
    <row r="44">
      <c r="A44" s="20" t="inlineStr">
        <is>
          <t>5229398</t>
        </is>
      </c>
      <c r="B44" t="inlineStr">
        <is>
          <t>Cayenne Pepper</t>
        </is>
      </c>
      <c r="C44" s="22" t="inlineStr">
        <is>
          <t>14 oz</t>
        </is>
      </c>
      <c r="E44" s="23" t="n"/>
      <c r="F44" s="16" t="inlineStr">
        <is>
          <t>(6) 13oz</t>
        </is>
      </c>
      <c r="I44" s="35" t="inlineStr">
        <is>
          <t>By Ounce</t>
        </is>
      </c>
      <c r="J44" s="24">
        <f>D44/14</f>
        <v/>
      </c>
      <c r="K44" s="23">
        <f>E44/78</f>
        <v/>
      </c>
      <c r="M44" s="24" t="n"/>
      <c r="P44" s="10">
        <f>J44*78</f>
        <v/>
      </c>
      <c r="Q44" s="10">
        <f>K44*78</f>
        <v/>
      </c>
      <c r="R44" s="10">
        <f>P44-Q44</f>
        <v/>
      </c>
      <c r="S44" s="29">
        <f>R44/P44</f>
        <v/>
      </c>
    </row>
    <row r="45">
      <c r="A45" s="20" t="n"/>
      <c r="B45" t="inlineStr">
        <is>
          <t>SALT Non KOSHER</t>
        </is>
      </c>
      <c r="E45" s="23" t="n"/>
      <c r="I45" s="35" t="n"/>
      <c r="J45" s="24" t="n"/>
      <c r="M45" s="24" t="n"/>
      <c r="S45" s="29" t="n"/>
    </row>
    <row r="46">
      <c r="A46" s="10" t="n"/>
      <c r="C46" s="32" t="n"/>
      <c r="E46" s="23" t="n"/>
      <c r="F46" s="33" t="n"/>
      <c r="I46" s="32" t="n"/>
      <c r="L46" s="23" t="n"/>
    </row>
    <row customHeight="1" ht="21" r="47">
      <c r="A47" s="10" t="n"/>
      <c r="B47" s="2" t="inlineStr">
        <is>
          <t>Sauces</t>
        </is>
      </c>
      <c r="C47" s="32" t="n"/>
      <c r="E47" s="23" t="n"/>
      <c r="F47" s="33" t="n"/>
      <c r="I47" s="32" t="n"/>
      <c r="L47" s="23" t="n"/>
    </row>
    <row r="48">
      <c r="A48" s="20" t="inlineStr">
        <is>
          <t>7620281</t>
        </is>
      </c>
      <c r="B48" t="inlineStr">
        <is>
          <t xml:space="preserve">Ketchup Squeeze Heinz Upside Down </t>
        </is>
      </c>
      <c r="C48" s="22" t="inlineStr">
        <is>
          <t>(16) 14oz</t>
        </is>
      </c>
      <c r="E48" s="23" t="n"/>
      <c r="F48" s="16" t="inlineStr">
        <is>
          <t>(16) 20oz</t>
        </is>
      </c>
      <c r="G48" t="inlineStr">
        <is>
          <t>Ketchup Aqueeze</t>
        </is>
      </c>
      <c r="H48" s="20" t="inlineStr">
        <is>
          <t>00054040</t>
        </is>
      </c>
      <c r="I48" s="69" t="inlineStr">
        <is>
          <t>By 1 Container</t>
        </is>
      </c>
      <c r="J48" s="24">
        <f>D48/16</f>
        <v/>
      </c>
      <c r="K48" s="25">
        <f>E48/16</f>
        <v/>
      </c>
      <c r="L48" s="26" t="inlineStr">
        <is>
          <t>By Ounce</t>
        </is>
      </c>
      <c r="M48" s="24">
        <f>J48/14</f>
        <v/>
      </c>
      <c r="N48" s="41">
        <f>K48/20</f>
        <v/>
      </c>
      <c r="P48" s="10">
        <f>J48*16</f>
        <v/>
      </c>
      <c r="Q48" s="10">
        <f>K48*16</f>
        <v/>
      </c>
      <c r="R48" s="10">
        <f>P48-Q48</f>
        <v/>
      </c>
      <c r="S48" s="29">
        <f>R48/P48</f>
        <v/>
      </c>
    </row>
    <row r="49">
      <c r="A49" s="20" t="inlineStr">
        <is>
          <t>6172118</t>
        </is>
      </c>
      <c r="B49" s="21" t="inlineStr">
        <is>
          <t>Ketchup Jug</t>
        </is>
      </c>
      <c r="C49" s="22" t="inlineStr">
        <is>
          <t>(6) 7lb 2oz</t>
        </is>
      </c>
      <c r="E49" s="23" t="n"/>
      <c r="F49" s="16" t="inlineStr">
        <is>
          <t>(6) 114oz</t>
        </is>
      </c>
      <c r="G49" t="inlineStr">
        <is>
          <t xml:space="preserve">Kethcup Jug </t>
        </is>
      </c>
      <c r="H49" s="20" t="inlineStr">
        <is>
          <t>00054068</t>
        </is>
      </c>
      <c r="I49" s="69" t="inlineStr">
        <is>
          <t>By 1 Container</t>
        </is>
      </c>
      <c r="J49" s="24">
        <f>D49/6</f>
        <v/>
      </c>
      <c r="K49" s="25">
        <f>E49/6</f>
        <v/>
      </c>
      <c r="L49" s="26" t="inlineStr">
        <is>
          <t>By Ounce</t>
        </is>
      </c>
      <c r="M49" s="24">
        <f>J49/114</f>
        <v/>
      </c>
      <c r="N49" s="41">
        <f>K49/114</f>
        <v/>
      </c>
      <c r="P49" s="10">
        <f>J49*6</f>
        <v/>
      </c>
      <c r="Q49" s="10">
        <f>K49*6</f>
        <v/>
      </c>
      <c r="R49" s="10">
        <f>P49-Q49</f>
        <v/>
      </c>
      <c r="S49" s="29">
        <f>R49/P49</f>
        <v/>
      </c>
    </row>
    <row r="50">
      <c r="B50" t="inlineStr">
        <is>
          <t xml:space="preserve">Ketchup Packet </t>
        </is>
      </c>
      <c r="C50" s="22" t="inlineStr">
        <is>
          <t>1,000pcs</t>
        </is>
      </c>
      <c r="E50" s="23" t="n"/>
      <c r="F50" s="16" t="inlineStr">
        <is>
          <t>500pcs</t>
        </is>
      </c>
      <c r="I50" s="69" t="inlineStr">
        <is>
          <t>Ketchup Packet (1000)</t>
        </is>
      </c>
      <c r="J50" s="24">
        <f>31/1000</f>
        <v/>
      </c>
      <c r="K50" s="30" t="n"/>
      <c r="L50" s="26" t="n"/>
      <c r="N50" s="28" t="n"/>
      <c r="R50" s="10">
        <f>P50-Q50</f>
        <v/>
      </c>
      <c r="S50" s="29">
        <f>R50/P50</f>
        <v/>
      </c>
    </row>
    <row r="51">
      <c r="A51" s="20" t="inlineStr">
        <is>
          <t>4002408</t>
        </is>
      </c>
      <c r="B51" t="inlineStr">
        <is>
          <t xml:space="preserve">Mayonaise </t>
        </is>
      </c>
      <c r="C51" s="22" t="inlineStr">
        <is>
          <t>28#</t>
        </is>
      </c>
      <c r="E51" s="23" t="n"/>
      <c r="F51" s="16" t="inlineStr">
        <is>
          <t>(4) 1Gal</t>
        </is>
      </c>
      <c r="H51" s="20" t="inlineStr">
        <is>
          <t>10082598</t>
        </is>
      </c>
      <c r="I51" s="69" t="inlineStr">
        <is>
          <t>By LB</t>
        </is>
      </c>
      <c r="J51" s="24">
        <f>D51/28</f>
        <v/>
      </c>
      <c r="K51" s="25">
        <f>E51/512*16</f>
        <v/>
      </c>
      <c r="L51" s="26" t="inlineStr">
        <is>
          <t>By Ounce</t>
        </is>
      </c>
      <c r="M51" s="24">
        <f>J51/16</f>
        <v/>
      </c>
      <c r="N51" s="31">
        <f>K51/16</f>
        <v/>
      </c>
      <c r="P51" s="10">
        <f>M51*512</f>
        <v/>
      </c>
      <c r="Q51" s="10">
        <f>N51*512</f>
        <v/>
      </c>
      <c r="R51" s="10">
        <f>P51-Q51</f>
        <v/>
      </c>
      <c r="S51" s="29">
        <f>R51/P51</f>
        <v/>
      </c>
    </row>
    <row r="52">
      <c r="B52" t="inlineStr">
        <is>
          <t>Mayonaiase  PKT Foil (500)</t>
        </is>
      </c>
      <c r="C52" s="22" t="n">
        <v>500</v>
      </c>
      <c r="E52" s="23" t="n"/>
      <c r="I52" s="69" t="inlineStr">
        <is>
          <t>Mayo Packet (1 pcs)</t>
        </is>
      </c>
      <c r="K52" s="30" t="n"/>
      <c r="L52" s="26" t="n"/>
      <c r="N52" s="31" t="n"/>
      <c r="R52" s="10">
        <f>P52-Q52</f>
        <v/>
      </c>
      <c r="S52" s="29">
        <f>R52/P52</f>
        <v/>
      </c>
    </row>
    <row r="53">
      <c r="A53" s="20" t="inlineStr">
        <is>
          <t>7524051</t>
        </is>
      </c>
      <c r="B53" t="inlineStr">
        <is>
          <t xml:space="preserve">Franks Sauce Pepper Cayenne </t>
        </is>
      </c>
      <c r="C53" s="22" t="inlineStr">
        <is>
          <t>(4) Gal</t>
        </is>
      </c>
      <c r="E53" s="23" t="n"/>
      <c r="I53" s="69" t="inlineStr">
        <is>
          <t>1 Gallon</t>
        </is>
      </c>
      <c r="J53" s="24">
        <f>D53/4</f>
        <v/>
      </c>
      <c r="K53" s="30" t="n"/>
      <c r="L53" s="26" t="inlineStr">
        <is>
          <t>By Ounce</t>
        </is>
      </c>
      <c r="M53" s="24">
        <f>J53/128</f>
        <v/>
      </c>
      <c r="N53" s="31" t="n"/>
      <c r="R53" s="10">
        <f>P53-Q53</f>
        <v/>
      </c>
      <c r="S53" s="29">
        <f>R53/P53</f>
        <v/>
      </c>
    </row>
    <row r="54">
      <c r="A54" s="20" t="inlineStr">
        <is>
          <t>5319342</t>
        </is>
      </c>
      <c r="B54" t="inlineStr">
        <is>
          <t>Franks Red Hot Original</t>
        </is>
      </c>
      <c r="C54" s="22" t="inlineStr">
        <is>
          <t>(4) 1 Gal</t>
        </is>
      </c>
      <c r="E54" s="23" t="n"/>
      <c r="F54" s="16" t="inlineStr">
        <is>
          <t>(4) 1 Gal</t>
        </is>
      </c>
      <c r="G54" t="inlineStr">
        <is>
          <t>Red Hot Extra Hot</t>
        </is>
      </c>
      <c r="H54" s="20" t="inlineStr">
        <is>
          <t>00056137</t>
        </is>
      </c>
      <c r="I54" s="35" t="inlineStr">
        <is>
          <t>1 gal</t>
        </is>
      </c>
      <c r="J54" s="24">
        <f>D54/4</f>
        <v/>
      </c>
      <c r="K54" s="30">
        <f>E54/4</f>
        <v/>
      </c>
      <c r="L54" s="26" t="inlineStr">
        <is>
          <t>By Ounce</t>
        </is>
      </c>
      <c r="M54" s="24">
        <f>J54/128</f>
        <v/>
      </c>
      <c r="N54" s="10">
        <f>K54/128</f>
        <v/>
      </c>
      <c r="P54" s="10">
        <f>D54</f>
        <v/>
      </c>
      <c r="Q54" s="10">
        <f>E54</f>
        <v/>
      </c>
      <c r="R54" s="10">
        <f>P54-Q54</f>
        <v/>
      </c>
      <c r="S54" s="29">
        <f>R54/P54</f>
        <v/>
      </c>
    </row>
    <row r="55">
      <c r="A55" s="20" t="inlineStr">
        <is>
          <t>3369388</t>
        </is>
      </c>
      <c r="B55" t="inlineStr">
        <is>
          <t xml:space="preserve">Sweet Baby Ray BBQ Sauce Original </t>
        </is>
      </c>
      <c r="C55" s="22" t="inlineStr">
        <is>
          <t>(4) 1 Gal</t>
        </is>
      </c>
      <c r="E55" s="23" t="n"/>
      <c r="F55" s="16" t="inlineStr">
        <is>
          <t>(4) 1 Gal</t>
        </is>
      </c>
      <c r="G55" t="inlineStr">
        <is>
          <t xml:space="preserve">Sweet Baby Ray BBQ </t>
        </is>
      </c>
      <c r="H55" s="20" t="inlineStr">
        <is>
          <t>10026249</t>
        </is>
      </c>
      <c r="I55" s="69" t="inlineStr">
        <is>
          <t>1 Gallon (128 Ounces)</t>
        </is>
      </c>
      <c r="J55" s="24">
        <f>D55/4</f>
        <v/>
      </c>
      <c r="K55" s="25">
        <f>E55/4</f>
        <v/>
      </c>
      <c r="L55" s="26" t="inlineStr">
        <is>
          <t>By Ounce</t>
        </is>
      </c>
      <c r="M55" s="24">
        <f>J55/128</f>
        <v/>
      </c>
      <c r="N55" s="41">
        <f>K55/128</f>
        <v/>
      </c>
      <c r="P55" s="10">
        <f>J55*4</f>
        <v/>
      </c>
      <c r="Q55" s="10">
        <f>K55*4</f>
        <v/>
      </c>
      <c r="R55" s="10">
        <f>P55-Q55</f>
        <v/>
      </c>
      <c r="S55" s="29">
        <f>R55/P55</f>
        <v/>
      </c>
    </row>
    <row r="56">
      <c r="A56" s="20" t="inlineStr">
        <is>
          <t>2451417</t>
        </is>
      </c>
      <c r="B56" t="inlineStr">
        <is>
          <t xml:space="preserve">Sauce Chili Hot Siracha </t>
        </is>
      </c>
      <c r="C56" s="22" t="inlineStr">
        <is>
          <t>(12) 28oz</t>
        </is>
      </c>
      <c r="E56" s="23" t="n">
        <v>7</v>
      </c>
      <c r="F56" s="16" t="inlineStr">
        <is>
          <t>(12) 28oz</t>
        </is>
      </c>
      <c r="G56" t="inlineStr">
        <is>
          <t>Siracha Hot Chili</t>
        </is>
      </c>
      <c r="H56" s="20" t="inlineStr">
        <is>
          <t>00054108</t>
        </is>
      </c>
      <c r="I56" s="35" t="inlineStr">
        <is>
          <t>By 28oz Packet</t>
        </is>
      </c>
      <c r="J56" s="24">
        <f>0.11292*28</f>
        <v/>
      </c>
      <c r="K56" s="36">
        <f>E56/12</f>
        <v/>
      </c>
      <c r="L56" s="37" t="inlineStr">
        <is>
          <t>By Ounce</t>
        </is>
      </c>
      <c r="M56" s="24">
        <f>J56/28</f>
        <v/>
      </c>
      <c r="N56" s="10">
        <f>K56/28</f>
        <v/>
      </c>
      <c r="P56" s="10">
        <f>J56*12</f>
        <v/>
      </c>
      <c r="Q56" s="10">
        <f>K56*12</f>
        <v/>
      </c>
      <c r="R56" s="10">
        <f>P56-Q56</f>
        <v/>
      </c>
      <c r="S56" s="29">
        <f>R56/P56</f>
        <v/>
      </c>
    </row>
    <row r="57">
      <c r="A57" s="20" t="inlineStr">
        <is>
          <t>8357818</t>
        </is>
      </c>
      <c r="B57" t="inlineStr">
        <is>
          <t>Franks Sauce Chili Sweet Red Hot</t>
        </is>
      </c>
      <c r="C57" s="22" t="inlineStr">
        <is>
          <t>(4) 1/2 Gallon</t>
        </is>
      </c>
      <c r="E57" s="23" t="n"/>
      <c r="F57" s="16" t="inlineStr">
        <is>
          <t>(4) 1/2 Gal</t>
        </is>
      </c>
      <c r="H57" s="20" t="inlineStr">
        <is>
          <t>10026712</t>
        </is>
      </c>
      <c r="I57" s="35" t="inlineStr">
        <is>
          <t>1/2 Gallon</t>
        </is>
      </c>
      <c r="J57" s="24">
        <f>D57/4</f>
        <v/>
      </c>
      <c r="K57" s="36">
        <f>E57/4</f>
        <v/>
      </c>
      <c r="L57" s="37" t="n"/>
      <c r="M57" s="24">
        <f>J57/64</f>
        <v/>
      </c>
      <c r="N57" s="10">
        <f>K56/128</f>
        <v/>
      </c>
      <c r="P57" s="10">
        <f>J57*4</f>
        <v/>
      </c>
      <c r="Q57" s="10">
        <f>K57*4</f>
        <v/>
      </c>
      <c r="R57" s="10">
        <f>P57-Q57</f>
        <v/>
      </c>
      <c r="S57" s="29">
        <f>R57/P57</f>
        <v/>
      </c>
    </row>
    <row r="58">
      <c r="B58" t="inlineStr">
        <is>
          <t>Chili Thai Sauce</t>
        </is>
      </c>
      <c r="C58" s="22" t="inlineStr">
        <is>
          <t>(12)32oz</t>
        </is>
      </c>
      <c r="E58" s="23" t="n"/>
      <c r="F58" s="16" t="inlineStr">
        <is>
          <t>(12) 32oz</t>
        </is>
      </c>
      <c r="G58" t="inlineStr">
        <is>
          <t>Chili Sweet Thai</t>
        </is>
      </c>
      <c r="H58" s="20" t="inlineStr">
        <is>
          <t>00048078</t>
        </is>
      </c>
      <c r="I58" s="35" t="inlineStr">
        <is>
          <t>By Container</t>
        </is>
      </c>
      <c r="K58" s="25">
        <f>E58/12</f>
        <v/>
      </c>
      <c r="L58" s="50" t="inlineStr">
        <is>
          <t>By Ounce</t>
        </is>
      </c>
      <c r="N58" s="31">
        <f>K58/32</f>
        <v/>
      </c>
      <c r="Q58" s="10">
        <f>N58*384</f>
        <v/>
      </c>
      <c r="R58" s="10">
        <f>P58-Q58</f>
        <v/>
      </c>
      <c r="S58" s="29">
        <f>R58/P58</f>
        <v/>
      </c>
    </row>
    <row r="59">
      <c r="A59" s="20" t="inlineStr">
        <is>
          <t>3369483</t>
        </is>
      </c>
      <c r="B59" t="inlineStr">
        <is>
          <t>Sweet Teriyaki</t>
        </is>
      </c>
      <c r="C59" s="22" t="inlineStr">
        <is>
          <t>(4) 1/2 Gal</t>
        </is>
      </c>
      <c r="E59" s="23" t="n"/>
      <c r="F59" s="16" t="inlineStr">
        <is>
          <t>(4) 1/2 Gal</t>
        </is>
      </c>
      <c r="G59" t="inlineStr">
        <is>
          <t>SWB Teriyaki Sauce</t>
        </is>
      </c>
      <c r="H59" s="20" t="inlineStr">
        <is>
          <t>10026250</t>
        </is>
      </c>
      <c r="I59" s="69" t="inlineStr">
        <is>
          <t>1/2 Gallon (64 ounces)</t>
        </is>
      </c>
      <c r="J59" s="24">
        <f>D59/4</f>
        <v/>
      </c>
      <c r="K59" s="25">
        <f>E59/4</f>
        <v/>
      </c>
      <c r="L59" s="26" t="inlineStr">
        <is>
          <t>By Ounce</t>
        </is>
      </c>
      <c r="M59" s="24">
        <f>J59/64</f>
        <v/>
      </c>
      <c r="N59" s="31">
        <f>K59/64</f>
        <v/>
      </c>
      <c r="P59" s="10">
        <f>J59*4</f>
        <v/>
      </c>
      <c r="Q59" s="10">
        <f>K59*4</f>
        <v/>
      </c>
      <c r="R59" s="10">
        <f>P59-Q59</f>
        <v/>
      </c>
      <c r="S59" s="29">
        <f>R59/P59</f>
        <v/>
      </c>
    </row>
    <row r="60">
      <c r="A60" s="20" t="inlineStr">
        <is>
          <t>3370386</t>
        </is>
      </c>
      <c r="B60" t="inlineStr">
        <is>
          <t>Mango Habenero Sauce Sweet baby Rays</t>
        </is>
      </c>
      <c r="C60" s="22" t="inlineStr">
        <is>
          <t>(4) 64oz</t>
        </is>
      </c>
      <c r="E60" s="23" t="n"/>
      <c r="F60" s="16" t="inlineStr">
        <is>
          <t>(4) 64oz</t>
        </is>
      </c>
      <c r="G60" t="inlineStr">
        <is>
          <t>Mango habanero</t>
        </is>
      </c>
      <c r="H60" s="20" t="inlineStr">
        <is>
          <t>10026253</t>
        </is>
      </c>
      <c r="I60" s="69" t="inlineStr">
        <is>
          <t>1/2 Gallon (64 ounces)</t>
        </is>
      </c>
      <c r="J60" s="24">
        <f>D60/4</f>
        <v/>
      </c>
      <c r="K60" s="25">
        <f>E60/4</f>
        <v/>
      </c>
      <c r="L60" s="26" t="inlineStr">
        <is>
          <t>By Ounce</t>
        </is>
      </c>
      <c r="M60" s="24">
        <f>J60/64</f>
        <v/>
      </c>
      <c r="N60" s="31">
        <f>K60/64</f>
        <v/>
      </c>
      <c r="P60" s="10">
        <f>J60*4</f>
        <v/>
      </c>
      <c r="Q60" s="10">
        <f>K60*4</f>
        <v/>
      </c>
      <c r="R60" s="10">
        <f>P60-Q60</f>
        <v/>
      </c>
      <c r="S60" s="29">
        <f>R60/P60</f>
        <v/>
      </c>
    </row>
    <row r="61">
      <c r="A61" s="20" t="inlineStr">
        <is>
          <t>4268506</t>
        </is>
      </c>
      <c r="B61" t="inlineStr">
        <is>
          <t>Cocktail Sauce Ready to use Extra Spicy</t>
        </is>
      </c>
      <c r="C61" s="22" t="inlineStr">
        <is>
          <t>(4) 1 Gal</t>
        </is>
      </c>
      <c r="E61" s="23" t="n"/>
      <c r="I61" s="69" t="inlineStr">
        <is>
          <t>1 Gallon (128 Ounces)</t>
        </is>
      </c>
      <c r="J61" s="24">
        <f>D61/4</f>
        <v/>
      </c>
      <c r="K61" s="30" t="n"/>
      <c r="L61" s="26" t="inlineStr">
        <is>
          <t>By Ounce</t>
        </is>
      </c>
      <c r="M61" s="24">
        <f>J61/128</f>
        <v/>
      </c>
      <c r="N61" s="31" t="n"/>
      <c r="R61" s="10">
        <f>P61-Q61</f>
        <v/>
      </c>
      <c r="S61" s="29">
        <f>R61/P61</f>
        <v/>
      </c>
    </row>
    <row r="62">
      <c r="A62" s="20" t="inlineStr">
        <is>
          <t>8381584</t>
        </is>
      </c>
      <c r="B62" t="inlineStr">
        <is>
          <t>Mojo Marinade</t>
        </is>
      </c>
      <c r="C62" s="22" t="inlineStr">
        <is>
          <t>(4) 1 Gal</t>
        </is>
      </c>
      <c r="E62" s="23" t="n"/>
      <c r="F62" s="16" t="inlineStr">
        <is>
          <t>(4) 1Gal</t>
        </is>
      </c>
      <c r="G62" t="inlineStr">
        <is>
          <t>Mojo Crillo</t>
        </is>
      </c>
      <c r="H62" s="20" t="inlineStr">
        <is>
          <t>00052200</t>
        </is>
      </c>
      <c r="I62" s="69" t="inlineStr">
        <is>
          <t>1 Gallon</t>
        </is>
      </c>
      <c r="J62" s="24">
        <f>D62/4</f>
        <v/>
      </c>
      <c r="K62" s="25">
        <f>E62/4</f>
        <v/>
      </c>
      <c r="L62" s="26" t="inlineStr">
        <is>
          <t>By Ounce</t>
        </is>
      </c>
      <c r="M62" s="24">
        <f>J62/128</f>
        <v/>
      </c>
      <c r="N62" s="31">
        <f>K62/128</f>
        <v/>
      </c>
      <c r="P62" s="10">
        <f>J62*4</f>
        <v/>
      </c>
      <c r="Q62" s="10">
        <f>K62*4</f>
        <v/>
      </c>
      <c r="R62" s="10">
        <f>P62-Q62</f>
        <v/>
      </c>
      <c r="S62" s="29">
        <f>R62/P62</f>
        <v/>
      </c>
    </row>
    <row r="63">
      <c r="A63" s="20" t="inlineStr">
        <is>
          <t>0651828</t>
        </is>
      </c>
      <c r="B63" t="inlineStr">
        <is>
          <t>Balsamic Glaze (6) 12.9oz</t>
        </is>
      </c>
      <c r="C63" s="22" t="inlineStr">
        <is>
          <t>(6) 12.9oz</t>
        </is>
      </c>
      <c r="E63" s="23" t="n"/>
      <c r="I63" s="35" t="inlineStr">
        <is>
          <t>By Container</t>
        </is>
      </c>
      <c r="J63" s="24">
        <f>D63/6</f>
        <v/>
      </c>
      <c r="L63" s="37" t="inlineStr">
        <is>
          <t>By Ounce</t>
        </is>
      </c>
      <c r="M63" s="24">
        <f>J63/12.9</f>
        <v/>
      </c>
      <c r="R63" s="10">
        <f>P63-Q63</f>
        <v/>
      </c>
      <c r="S63" s="29">
        <f>R63/P63</f>
        <v/>
      </c>
    </row>
    <row r="64">
      <c r="A64" s="40" t="n">
        <v>4186086</v>
      </c>
      <c r="B64" t="inlineStr">
        <is>
          <t>Syrup Pancake and Waffle</t>
        </is>
      </c>
      <c r="C64" s="46" t="inlineStr">
        <is>
          <t>(4) 1 Gal</t>
        </is>
      </c>
      <c r="E64" s="23" t="n"/>
      <c r="F64" s="47" t="n"/>
      <c r="I64" s="35" t="inlineStr">
        <is>
          <t>By Gallon</t>
        </is>
      </c>
      <c r="J64" s="40">
        <f>+D64/4</f>
        <v/>
      </c>
      <c r="L64" s="26" t="inlineStr">
        <is>
          <t>By Ounce</t>
        </is>
      </c>
      <c r="M64" s="40">
        <f>J64/128</f>
        <v/>
      </c>
      <c r="N64" s="31" t="n"/>
      <c r="R64" s="10">
        <f>P64-Q64</f>
        <v/>
      </c>
      <c r="S64" s="29">
        <f>R64/P64</f>
        <v/>
      </c>
    </row>
    <row r="65">
      <c r="A65" s="20" t="inlineStr">
        <is>
          <t>0387680</t>
        </is>
      </c>
      <c r="B65" t="inlineStr">
        <is>
          <t>Nacho Cheese</t>
        </is>
      </c>
      <c r="C65" s="22" t="inlineStr">
        <is>
          <t>(6)#10</t>
        </is>
      </c>
      <c r="E65" s="23" t="n"/>
      <c r="F65" s="16" t="inlineStr">
        <is>
          <t>(6) #10</t>
        </is>
      </c>
      <c r="I65" s="69" t="inlineStr">
        <is>
          <t xml:space="preserve">1 Can  </t>
        </is>
      </c>
      <c r="J65" s="24">
        <f>D65/6</f>
        <v/>
      </c>
      <c r="K65" s="25">
        <f>E65/6</f>
        <v/>
      </c>
      <c r="L65" s="26" t="inlineStr">
        <is>
          <t>By Ounce</t>
        </is>
      </c>
      <c r="M65" s="24">
        <f>J65/107</f>
        <v/>
      </c>
      <c r="N65" s="31">
        <f>K65/107</f>
        <v/>
      </c>
      <c r="P65" s="10">
        <f>J65*6</f>
        <v/>
      </c>
      <c r="Q65" s="10">
        <f>K65*6</f>
        <v/>
      </c>
      <c r="R65" s="10">
        <f>P65-Q65</f>
        <v/>
      </c>
      <c r="S65" s="29">
        <f>R65/P65</f>
        <v/>
      </c>
    </row>
    <row r="66">
      <c r="A66" s="20" t="inlineStr">
        <is>
          <t>5543137</t>
        </is>
      </c>
      <c r="B66" t="inlineStr">
        <is>
          <t>Cholula</t>
        </is>
      </c>
      <c r="C66" s="22" t="inlineStr">
        <is>
          <t>(12) 5oz</t>
        </is>
      </c>
      <c r="E66" s="23" t="n"/>
      <c r="I66" s="35" t="inlineStr">
        <is>
          <t>By Bottle</t>
        </is>
      </c>
      <c r="J66" s="24">
        <f>D66/12</f>
        <v/>
      </c>
      <c r="L66" s="37" t="inlineStr">
        <is>
          <t>By Ounce</t>
        </is>
      </c>
      <c r="M66" s="24">
        <f>J66/5</f>
        <v/>
      </c>
      <c r="R66" s="10">
        <f>P66-Q66</f>
        <v/>
      </c>
      <c r="S66" s="29">
        <f>R66/P66</f>
        <v/>
      </c>
    </row>
    <row r="67">
      <c r="A67" s="20" t="inlineStr">
        <is>
          <t>4897641</t>
        </is>
      </c>
      <c r="B67" t="inlineStr">
        <is>
          <t xml:space="preserve">Sauce Soy </t>
        </is>
      </c>
      <c r="C67" s="22" t="inlineStr">
        <is>
          <t>1/2 Gal</t>
        </is>
      </c>
      <c r="E67" s="23" t="n"/>
      <c r="F67" s="16" t="inlineStr">
        <is>
          <t>(4) 1Gal</t>
        </is>
      </c>
      <c r="G67" t="inlineStr">
        <is>
          <t>Soy Sauce</t>
        </is>
      </c>
      <c r="H67" s="1" t="inlineStr">
        <is>
          <t>00048050</t>
        </is>
      </c>
      <c r="I67" s="35" t="inlineStr">
        <is>
          <t>By Gallon</t>
        </is>
      </c>
      <c r="J67" s="24">
        <f>D67*2</f>
        <v/>
      </c>
      <c r="K67" s="36">
        <f>E67/4</f>
        <v/>
      </c>
      <c r="L67" s="37" t="inlineStr">
        <is>
          <t>By Ounce</t>
        </is>
      </c>
      <c r="M67" s="24">
        <f>J67/64</f>
        <v/>
      </c>
      <c r="P67" s="10">
        <f>D67*8</f>
        <v/>
      </c>
      <c r="Q67" s="10">
        <f>E67</f>
        <v/>
      </c>
      <c r="R67" s="10">
        <f>P67-Q67</f>
        <v/>
      </c>
      <c r="S67" s="29">
        <f>R67/P67</f>
        <v/>
      </c>
    </row>
    <row r="68">
      <c r="A68" s="10" t="n"/>
      <c r="C68" s="32" t="n"/>
      <c r="E68" s="23" t="n"/>
      <c r="F68" s="33" t="n"/>
      <c r="I68" s="32" t="n"/>
      <c r="L68" s="23" t="n"/>
    </row>
    <row customHeight="1" ht="21" r="69">
      <c r="A69" s="10" t="n"/>
      <c r="B69" s="2" t="inlineStr">
        <is>
          <t>Pastas</t>
        </is>
      </c>
      <c r="C69" s="32" t="n"/>
      <c r="E69" s="23" t="n"/>
      <c r="F69" s="33" t="n"/>
      <c r="I69" s="32" t="n"/>
      <c r="L69" s="23" t="n"/>
    </row>
    <row r="70">
      <c r="A70" s="38" t="n">
        <v>4560967</v>
      </c>
      <c r="B70" t="inlineStr">
        <is>
          <t>Penne Rigate Heavy Wall</t>
        </is>
      </c>
      <c r="C70" s="49" t="inlineStr">
        <is>
          <t>(2) 10lb</t>
        </is>
      </c>
      <c r="E70" s="23" t="n"/>
      <c r="F70" s="47" t="n"/>
      <c r="I70" s="69" t="inlineStr">
        <is>
          <t>By LB</t>
        </is>
      </c>
      <c r="J70" s="24">
        <f>D70/20</f>
        <v/>
      </c>
      <c r="L70" s="39" t="inlineStr">
        <is>
          <t>By Ounce</t>
        </is>
      </c>
      <c r="M70" s="24">
        <f>J70/16</f>
        <v/>
      </c>
      <c r="R70" s="10">
        <f>P70-Q70</f>
        <v/>
      </c>
      <c r="S70" s="29">
        <f>R70/P70</f>
        <v/>
      </c>
    </row>
    <row r="71">
      <c r="A71" s="20" t="inlineStr">
        <is>
          <t>4862983</t>
        </is>
      </c>
      <c r="B71" t="inlineStr">
        <is>
          <t xml:space="preserve">Spaghetti 10in </t>
        </is>
      </c>
      <c r="C71" s="22" t="inlineStr">
        <is>
          <t>(2) 10lb</t>
        </is>
      </c>
      <c r="E71" s="23" t="n"/>
      <c r="F71" s="16" t="inlineStr">
        <is>
          <t>(4) 5lb</t>
        </is>
      </c>
      <c r="G71" t="inlineStr">
        <is>
          <t>Spaghetti</t>
        </is>
      </c>
      <c r="H71" s="20" t="inlineStr">
        <is>
          <t>00108561</t>
        </is>
      </c>
      <c r="I71" s="69" t="inlineStr">
        <is>
          <t>By LB</t>
        </is>
      </c>
      <c r="J71" s="24">
        <f>D71/20</f>
        <v/>
      </c>
      <c r="K71" s="25">
        <f>E71/20</f>
        <v/>
      </c>
      <c r="L71" s="26" t="inlineStr">
        <is>
          <t>By Ounce</t>
        </is>
      </c>
      <c r="M71" s="24">
        <f>J71/16</f>
        <v/>
      </c>
      <c r="N71" s="31">
        <f>K71/16</f>
        <v/>
      </c>
      <c r="P71" s="10">
        <f>J71*20</f>
        <v/>
      </c>
      <c r="Q71" s="10">
        <f>K71*20</f>
        <v/>
      </c>
      <c r="R71" s="10">
        <f>P71-Q71</f>
        <v/>
      </c>
      <c r="S71" s="29">
        <f>R71/P71</f>
        <v/>
      </c>
    </row>
    <row r="72">
      <c r="A72" s="20" t="inlineStr">
        <is>
          <t>5016464</t>
        </is>
      </c>
      <c r="B72" t="inlineStr">
        <is>
          <t>Fettucini 10"</t>
        </is>
      </c>
      <c r="C72" s="22" t="inlineStr">
        <is>
          <t>(2) 10lb</t>
        </is>
      </c>
      <c r="E72" s="23" t="n"/>
      <c r="F72" s="16" t="inlineStr">
        <is>
          <t>(20) 1lb</t>
        </is>
      </c>
      <c r="G72" t="inlineStr">
        <is>
          <t>Fettucinii Italy</t>
        </is>
      </c>
      <c r="H72" s="20" t="inlineStr">
        <is>
          <t>00108174</t>
        </is>
      </c>
      <c r="I72" s="35" t="inlineStr">
        <is>
          <t>By LB</t>
        </is>
      </c>
      <c r="J72" s="24">
        <f>D72/20</f>
        <v/>
      </c>
      <c r="K72" s="36">
        <f>E72/20</f>
        <v/>
      </c>
      <c r="L72" s="8" t="inlineStr">
        <is>
          <t>By Ounce</t>
        </is>
      </c>
      <c r="M72" s="24">
        <f>J72/16</f>
        <v/>
      </c>
      <c r="N72" s="10">
        <f>K72/16</f>
        <v/>
      </c>
      <c r="P72" s="10">
        <f>J72*20</f>
        <v/>
      </c>
      <c r="Q72" s="10">
        <f>K72*20</f>
        <v/>
      </c>
      <c r="R72" s="10">
        <f>P72-Q72</f>
        <v/>
      </c>
      <c r="S72" s="29">
        <f>R72/P72</f>
        <v/>
      </c>
    </row>
    <row r="73">
      <c r="A73" s="20" t="inlineStr">
        <is>
          <t>2572788</t>
        </is>
      </c>
      <c r="B73" t="inlineStr">
        <is>
          <t>Rice Parboiled</t>
        </is>
      </c>
      <c r="C73" s="22" t="inlineStr">
        <is>
          <t>(1) 50lb</t>
        </is>
      </c>
      <c r="E73" s="23" t="n"/>
      <c r="I73" s="35" t="inlineStr">
        <is>
          <t>By LB</t>
        </is>
      </c>
      <c r="J73" s="24">
        <f>D73/50</f>
        <v/>
      </c>
      <c r="L73" s="8" t="inlineStr">
        <is>
          <t>By Ounce</t>
        </is>
      </c>
      <c r="M73" s="24">
        <f>J73/16</f>
        <v/>
      </c>
      <c r="R73" s="10">
        <f>P73-Q73</f>
        <v/>
      </c>
      <c r="S73" s="29">
        <f>R73/P73</f>
        <v/>
      </c>
    </row>
    <row r="74">
      <c r="A74" s="10" t="n"/>
      <c r="C74" s="32" t="n"/>
      <c r="E74" s="23" t="n"/>
      <c r="F74" s="33" t="n"/>
      <c r="I74" s="32" t="n"/>
      <c r="L74" s="23" t="n"/>
    </row>
    <row customHeight="1" ht="21" r="75">
      <c r="A75" s="10" t="n"/>
      <c r="B75" s="2" t="inlineStr">
        <is>
          <t xml:space="preserve">Bread Crumbs  </t>
        </is>
      </c>
      <c r="C75" s="32" t="n"/>
      <c r="E75" s="23" t="n"/>
      <c r="F75" s="33" t="n"/>
      <c r="I75" s="32" t="n"/>
      <c r="L75" s="23" t="n"/>
    </row>
    <row r="76">
      <c r="A76" s="20" t="inlineStr">
        <is>
          <t>5966116</t>
        </is>
      </c>
      <c r="B76" t="inlineStr">
        <is>
          <t xml:space="preserve">Bread Crumbs Japanese </t>
        </is>
      </c>
      <c r="C76" s="22" t="inlineStr">
        <is>
          <t>(1) 25lb</t>
        </is>
      </c>
      <c r="E76" s="23" t="n"/>
      <c r="I76" s="69" t="inlineStr">
        <is>
          <t>By Lb</t>
        </is>
      </c>
      <c r="J76" s="24">
        <f>D76/25</f>
        <v/>
      </c>
      <c r="K76" s="30" t="n"/>
      <c r="L76" s="26" t="inlineStr">
        <is>
          <t>By Ounce</t>
        </is>
      </c>
      <c r="M76" s="24">
        <f>J76/16</f>
        <v/>
      </c>
      <c r="N76" s="31" t="n"/>
      <c r="R76" s="10">
        <f>P76-Q76</f>
        <v/>
      </c>
      <c r="S76" s="29">
        <f>R76/P76</f>
        <v/>
      </c>
    </row>
    <row r="77">
      <c r="A77" s="20" t="inlineStr">
        <is>
          <t>8378111</t>
        </is>
      </c>
      <c r="B77" t="inlineStr">
        <is>
          <t>Flour All Purp H&amp;R BL EN MT (1) 50lb</t>
        </is>
      </c>
      <c r="C77" s="22" t="inlineStr">
        <is>
          <t>(1) 50lb</t>
        </is>
      </c>
      <c r="E77" s="23" t="n"/>
      <c r="F77" s="16" t="inlineStr">
        <is>
          <t>(1) 50lb</t>
        </is>
      </c>
      <c r="G77" t="inlineStr">
        <is>
          <t xml:space="preserve">All purpose Flour </t>
        </is>
      </c>
      <c r="H77" s="20" t="inlineStr">
        <is>
          <t>00126023</t>
        </is>
      </c>
      <c r="I77" s="69" t="inlineStr">
        <is>
          <t>By LB</t>
        </is>
      </c>
      <c r="J77" s="24">
        <f>D77/50</f>
        <v/>
      </c>
      <c r="K77" s="25">
        <f>E77/50</f>
        <v/>
      </c>
      <c r="L77" s="26" t="inlineStr">
        <is>
          <t>By Ounce</t>
        </is>
      </c>
      <c r="M77" s="24">
        <f>J77/16</f>
        <v/>
      </c>
      <c r="N77" s="41">
        <f>K77/16</f>
        <v/>
      </c>
      <c r="P77" s="10">
        <f>J77*50</f>
        <v/>
      </c>
      <c r="Q77" s="10">
        <f>K77*50</f>
        <v/>
      </c>
      <c r="R77" s="10">
        <f>P77-Q77</f>
        <v/>
      </c>
      <c r="S77" s="29">
        <f>R77/P77</f>
        <v/>
      </c>
    </row>
    <row r="78">
      <c r="C78" s="33" t="n"/>
      <c r="E78" s="23" t="n"/>
      <c r="F78" s="33" t="n"/>
      <c r="K78" s="30" t="n"/>
      <c r="N78" s="31" t="n"/>
      <c r="S78" s="29" t="n"/>
    </row>
    <row customHeight="1" ht="21" r="79">
      <c r="B79" s="2" t="inlineStr">
        <is>
          <t>Other Dry Goods</t>
        </is>
      </c>
      <c r="C79" s="33" t="n"/>
      <c r="E79" s="23" t="n"/>
      <c r="F79" s="33" t="n"/>
      <c r="K79" s="30" t="n"/>
      <c r="N79" s="31" t="n"/>
      <c r="S79" s="29" t="n"/>
    </row>
    <row r="80">
      <c r="A80" s="20" t="inlineStr">
        <is>
          <t>4268516</t>
        </is>
      </c>
      <c r="B80" t="inlineStr">
        <is>
          <t xml:space="preserve">Garlic Chopped in Oil Olive </t>
        </is>
      </c>
      <c r="C80" s="22" t="inlineStr">
        <is>
          <t>(6) 32oz</t>
        </is>
      </c>
      <c r="E80" s="23" t="n"/>
      <c r="F80" s="16" t="inlineStr">
        <is>
          <t>(4) 32oz</t>
        </is>
      </c>
      <c r="G80" t="inlineStr">
        <is>
          <t>Garlic Chopped in Oil</t>
        </is>
      </c>
      <c r="H80" s="20" t="inlineStr">
        <is>
          <t>00138024</t>
        </is>
      </c>
      <c r="I80" s="69" t="inlineStr">
        <is>
          <t>1 Container</t>
        </is>
      </c>
      <c r="J80" s="24">
        <f>D80/6</f>
        <v/>
      </c>
      <c r="K80" s="30">
        <f>E80/4</f>
        <v/>
      </c>
      <c r="L80" s="26" t="inlineStr">
        <is>
          <t>By Ounce</t>
        </is>
      </c>
      <c r="M80" s="24">
        <f>J80/32</f>
        <v/>
      </c>
      <c r="N80" s="31">
        <f>K80/32</f>
        <v/>
      </c>
      <c r="P80" s="10">
        <f>M80*192</f>
        <v/>
      </c>
      <c r="Q80" s="10">
        <f>N80*192</f>
        <v/>
      </c>
      <c r="R80" s="10">
        <f>P80-Q80</f>
        <v/>
      </c>
      <c r="S80" s="29">
        <f>R80/P80</f>
        <v/>
      </c>
    </row>
    <row r="81">
      <c r="A81" s="20" t="inlineStr">
        <is>
          <t>4477941</t>
        </is>
      </c>
      <c r="B81" t="inlineStr">
        <is>
          <t>Oil Olive Extra Viegin Olive Oil Bagin Box</t>
        </is>
      </c>
      <c r="C81" s="22" t="inlineStr">
        <is>
          <t>10LTR</t>
        </is>
      </c>
      <c r="E81" s="23" t="n"/>
      <c r="F81" s="16" t="inlineStr">
        <is>
          <t>(2) Gall</t>
        </is>
      </c>
      <c r="G81" t="inlineStr">
        <is>
          <t xml:space="preserve">Olive Oil </t>
        </is>
      </c>
      <c r="H81" s="20" t="inlineStr">
        <is>
          <t>00114047</t>
        </is>
      </c>
      <c r="J81" s="24">
        <f>D81/338</f>
        <v/>
      </c>
      <c r="K81" s="25">
        <f>E81/256</f>
        <v/>
      </c>
      <c r="L81" s="26" t="inlineStr">
        <is>
          <t>By OUnce</t>
        </is>
      </c>
      <c r="M81" s="24">
        <f>D81/338</f>
        <v/>
      </c>
      <c r="N81" s="31">
        <f>K81</f>
        <v/>
      </c>
      <c r="P81" s="10">
        <f>M81*256</f>
        <v/>
      </c>
      <c r="Q81" s="10">
        <f>N81*256</f>
        <v/>
      </c>
      <c r="R81" s="10">
        <f>P81-Q81</f>
        <v/>
      </c>
      <c r="S81" s="29">
        <f>R81/P81</f>
        <v/>
      </c>
    </row>
    <row r="82">
      <c r="A82" s="20" t="inlineStr">
        <is>
          <t>5844220</t>
        </is>
      </c>
      <c r="B82" t="inlineStr">
        <is>
          <t xml:space="preserve">Black Beans </t>
        </is>
      </c>
      <c r="C82" s="22" t="inlineStr">
        <is>
          <t>(6) #10</t>
        </is>
      </c>
      <c r="E82" s="23" t="n"/>
      <c r="I82" s="69" t="inlineStr">
        <is>
          <t>1 Can</t>
        </is>
      </c>
      <c r="J82" s="24">
        <f>D82/6</f>
        <v/>
      </c>
      <c r="K82" s="30" t="n"/>
      <c r="L82" s="26" t="inlineStr">
        <is>
          <t>By Ounce</t>
        </is>
      </c>
      <c r="M82" s="24">
        <f>J82/95</f>
        <v/>
      </c>
      <c r="N82" s="31" t="n"/>
      <c r="R82" s="10">
        <f>P82-Q82</f>
        <v/>
      </c>
      <c r="S82" s="29">
        <f>R82/P82</f>
        <v/>
      </c>
      <c r="T82" s="51" t="n"/>
    </row>
    <row r="83">
      <c r="A83" s="20" t="inlineStr">
        <is>
          <t>4008439</t>
        </is>
      </c>
      <c r="B83" t="inlineStr">
        <is>
          <t>Keebler Cracker</t>
        </is>
      </c>
      <c r="C83" s="22" t="n">
        <v>1000</v>
      </c>
      <c r="E83" s="23" t="n"/>
      <c r="F83" s="16" t="inlineStr">
        <is>
          <t>1,000</t>
        </is>
      </c>
      <c r="G83" t="inlineStr">
        <is>
          <t>Lance Cracker</t>
        </is>
      </c>
      <c r="H83" s="20" t="inlineStr">
        <is>
          <t>00044025</t>
        </is>
      </c>
      <c r="I83" s="69" t="inlineStr">
        <is>
          <t>By 1 pcs</t>
        </is>
      </c>
      <c r="J83" s="24">
        <f>D83/1000</f>
        <v/>
      </c>
      <c r="K83" s="30">
        <f>E83/1000</f>
        <v/>
      </c>
      <c r="L83" s="26" t="inlineStr">
        <is>
          <t>By Each</t>
        </is>
      </c>
      <c r="M83" s="24">
        <f>D83/1000</f>
        <v/>
      </c>
      <c r="N83" s="31">
        <f>K83</f>
        <v/>
      </c>
      <c r="P83" s="10">
        <f>D83</f>
        <v/>
      </c>
      <c r="Q83" s="10">
        <f>E83</f>
        <v/>
      </c>
      <c r="R83" s="10">
        <f>P83-Q83</f>
        <v/>
      </c>
      <c r="S83" s="29">
        <f>R83/P83</f>
        <v/>
      </c>
    </row>
    <row r="84">
      <c r="A84" s="20" t="inlineStr">
        <is>
          <t>4978965</t>
        </is>
      </c>
      <c r="B84" t="inlineStr">
        <is>
          <t xml:space="preserve">Sauce Marinara Premium California </t>
        </is>
      </c>
      <c r="C84" s="22" t="inlineStr">
        <is>
          <t>(6) #10 Cans</t>
        </is>
      </c>
      <c r="E84" s="23" t="n"/>
      <c r="F84" s="16" t="inlineStr">
        <is>
          <t>(6) #10</t>
        </is>
      </c>
      <c r="G84" t="inlineStr">
        <is>
          <t>Marianara Sauce</t>
        </is>
      </c>
      <c r="H84" s="20" t="inlineStr">
        <is>
          <t>00156103</t>
        </is>
      </c>
      <c r="I84" s="69" t="inlineStr">
        <is>
          <t>1 Can (104)</t>
        </is>
      </c>
      <c r="J84" s="24">
        <f>D84/6</f>
        <v/>
      </c>
      <c r="K84" s="36">
        <f>E84/6</f>
        <v/>
      </c>
      <c r="L84" s="26" t="inlineStr">
        <is>
          <t>By Ounce</t>
        </is>
      </c>
      <c r="M84" s="24">
        <f>J84/104</f>
        <v/>
      </c>
      <c r="N84" s="28">
        <f>K84/104</f>
        <v/>
      </c>
      <c r="P84" s="10">
        <f>J84*6</f>
        <v/>
      </c>
      <c r="Q84" s="10">
        <f>K84*6</f>
        <v/>
      </c>
      <c r="R84" s="10">
        <f>P84-Q84</f>
        <v/>
      </c>
      <c r="S84" s="29">
        <f>R84/P84</f>
        <v/>
      </c>
    </row>
    <row r="85">
      <c r="A85" s="20" t="inlineStr">
        <is>
          <t>0365124</t>
        </is>
      </c>
      <c r="B85" t="inlineStr">
        <is>
          <t>Honey 6/5#</t>
        </is>
      </c>
      <c r="C85" s="22" t="inlineStr">
        <is>
          <t>6/5#</t>
        </is>
      </c>
      <c r="E85" s="23" t="n"/>
      <c r="F85" s="16" t="inlineStr">
        <is>
          <t>(6) 5#</t>
        </is>
      </c>
      <c r="G85" t="inlineStr">
        <is>
          <t>Honey Busy Bee</t>
        </is>
      </c>
      <c r="H85" s="20" t="inlineStr">
        <is>
          <t>00104072</t>
        </is>
      </c>
      <c r="I85" s="35" t="inlineStr">
        <is>
          <t>By Container</t>
        </is>
      </c>
      <c r="J85" s="24">
        <f>D85/6</f>
        <v/>
      </c>
      <c r="K85" s="36">
        <f>E85/6</f>
        <v/>
      </c>
      <c r="L85" s="37" t="inlineStr">
        <is>
          <t>By Ounce</t>
        </is>
      </c>
      <c r="M85" s="24">
        <f>J85/80</f>
        <v/>
      </c>
      <c r="N85" s="10">
        <f>83/80</f>
        <v/>
      </c>
      <c r="P85" s="10">
        <f>J85*6</f>
        <v/>
      </c>
      <c r="Q85" s="10">
        <f>K85*6</f>
        <v/>
      </c>
      <c r="R85" s="10">
        <f>P85-Q85</f>
        <v/>
      </c>
      <c r="S85" s="29">
        <f>R85/P85</f>
        <v/>
      </c>
    </row>
    <row r="86">
      <c r="A86" s="20" t="inlineStr">
        <is>
          <t>7014096</t>
        </is>
      </c>
      <c r="B86" t="inlineStr">
        <is>
          <t>Root Beer (24) 12oz</t>
        </is>
      </c>
      <c r="C86" s="22" t="inlineStr">
        <is>
          <t>(24) 12oz</t>
        </is>
      </c>
      <c r="E86" s="23" t="n"/>
      <c r="F86" s="16" t="inlineStr">
        <is>
          <t>(24) 12 oz</t>
        </is>
      </c>
      <c r="G86" t="inlineStr">
        <is>
          <t>Root Beer</t>
        </is>
      </c>
      <c r="H86" s="20" t="inlineStr">
        <is>
          <t>10096578</t>
        </is>
      </c>
      <c r="I86" s="35" t="inlineStr">
        <is>
          <t>By Bottle</t>
        </is>
      </c>
      <c r="J86" s="24">
        <f>D86/24</f>
        <v/>
      </c>
      <c r="K86" s="36">
        <f>E86/24</f>
        <v/>
      </c>
      <c r="L86" s="37" t="inlineStr">
        <is>
          <t>By Ounce</t>
        </is>
      </c>
      <c r="M86" s="24">
        <f>J86/12</f>
        <v/>
      </c>
      <c r="P86" s="10">
        <f>D86</f>
        <v/>
      </c>
      <c r="Q86" s="10">
        <f>E86</f>
        <v/>
      </c>
      <c r="R86" s="10">
        <f>P86-Q86</f>
        <v/>
      </c>
      <c r="S86" s="29">
        <f>R86/P86</f>
        <v/>
      </c>
    </row>
    <row r="87">
      <c r="A87" s="20" t="inlineStr">
        <is>
          <t>5535687</t>
        </is>
      </c>
      <c r="B87" t="inlineStr">
        <is>
          <t xml:space="preserve">Capers </t>
        </is>
      </c>
      <c r="C87" s="22" t="inlineStr">
        <is>
          <t>(6) 32oz</t>
        </is>
      </c>
      <c r="E87" s="23" t="n"/>
      <c r="F87" s="16" t="inlineStr">
        <is>
          <t>(6) 32oz</t>
        </is>
      </c>
      <c r="G87" t="inlineStr">
        <is>
          <t>Capers</t>
        </is>
      </c>
      <c r="H87" s="20" t="inlineStr">
        <is>
          <t>00140056</t>
        </is>
      </c>
      <c r="I87" s="35" t="inlineStr">
        <is>
          <t>By Container</t>
        </is>
      </c>
      <c r="J87" s="24">
        <f>D87/6</f>
        <v/>
      </c>
      <c r="K87" s="36">
        <f>E87/6</f>
        <v/>
      </c>
      <c r="L87" s="37" t="inlineStr">
        <is>
          <t>By Ounce</t>
        </is>
      </c>
      <c r="M87" s="24">
        <f>J87/32</f>
        <v/>
      </c>
      <c r="P87" s="10">
        <f>J87*6</f>
        <v/>
      </c>
      <c r="Q87" s="10">
        <f>K87*6</f>
        <v/>
      </c>
      <c r="R87" s="10">
        <f>P87-Q87</f>
        <v/>
      </c>
      <c r="S87" s="29">
        <f>R87/P87</f>
        <v/>
      </c>
    </row>
    <row r="88">
      <c r="A88" s="20" t="inlineStr">
        <is>
          <t>7923796</t>
        </is>
      </c>
      <c r="B88" t="inlineStr">
        <is>
          <t>Croutons</t>
        </is>
      </c>
      <c r="C88" s="22" t="inlineStr">
        <is>
          <t>(5) 2LB</t>
        </is>
      </c>
      <c r="E88" s="23" t="n"/>
      <c r="I88" s="35" t="inlineStr">
        <is>
          <t>By LB</t>
        </is>
      </c>
      <c r="J88" s="24">
        <f>D88/10</f>
        <v/>
      </c>
      <c r="L88" s="37" t="inlineStr">
        <is>
          <t>By Ounce</t>
        </is>
      </c>
      <c r="M88" s="24">
        <f>J88/16</f>
        <v/>
      </c>
      <c r="R88" s="10">
        <f>P88-Q88</f>
        <v/>
      </c>
      <c r="S88" s="29">
        <f>R88/P88</f>
        <v/>
      </c>
    </row>
    <row r="89">
      <c r="A89" s="20" t="inlineStr">
        <is>
          <t>5083944</t>
        </is>
      </c>
      <c r="B89" t="inlineStr">
        <is>
          <t>Marichino Cherry</t>
        </is>
      </c>
      <c r="C89" s="22" t="inlineStr">
        <is>
          <t>1/2 Gal</t>
        </is>
      </c>
      <c r="E89" s="23" t="n"/>
      <c r="F89" s="16" t="inlineStr">
        <is>
          <t>(4) 1gal</t>
        </is>
      </c>
      <c r="H89" s="20" t="inlineStr">
        <is>
          <t>00088046</t>
        </is>
      </c>
      <c r="I89" s="35" t="inlineStr">
        <is>
          <t>By 1/2 Gal</t>
        </is>
      </c>
      <c r="J89" s="24">
        <f>D89</f>
        <v/>
      </c>
      <c r="K89" s="23">
        <f>E89/8</f>
        <v/>
      </c>
      <c r="L89" s="37" t="inlineStr">
        <is>
          <t>By Ounce</t>
        </is>
      </c>
      <c r="M89" s="24">
        <f>J89/64</f>
        <v/>
      </c>
      <c r="P89" s="10">
        <f>D89*8</f>
        <v/>
      </c>
      <c r="Q89" s="10">
        <f>E89</f>
        <v/>
      </c>
      <c r="R89" s="10">
        <f>P89-Q89</f>
        <v/>
      </c>
      <c r="S89" s="29">
        <f>R89/P89</f>
        <v/>
      </c>
    </row>
    <row r="90">
      <c r="A90" s="20" t="inlineStr">
        <is>
          <t>5429766</t>
        </is>
      </c>
      <c r="B90" t="inlineStr">
        <is>
          <t xml:space="preserve">Kalamata Olive </t>
        </is>
      </c>
      <c r="C90" s="22" t="inlineStr">
        <is>
          <t>4.4lbs</t>
        </is>
      </c>
      <c r="E90" s="23" t="n"/>
      <c r="I90" s="35" t="inlineStr">
        <is>
          <t>1 package</t>
        </is>
      </c>
      <c r="J90" s="24">
        <f>D90</f>
        <v/>
      </c>
      <c r="L90" s="37" t="inlineStr">
        <is>
          <t>By Ounce</t>
        </is>
      </c>
      <c r="M90" s="24">
        <f>J90/64.4</f>
        <v/>
      </c>
      <c r="R90" s="10">
        <f>P90-Q90</f>
        <v/>
      </c>
      <c r="S90" s="29">
        <f>R90/P90</f>
        <v/>
      </c>
    </row>
    <row r="91">
      <c r="A91" s="20" t="inlineStr">
        <is>
          <t>7063259</t>
        </is>
      </c>
      <c r="B91" t="inlineStr">
        <is>
          <t>Pickle Chips Dill Kosher</t>
        </is>
      </c>
      <c r="C91" s="22" t="inlineStr">
        <is>
          <t>5 Gal</t>
        </is>
      </c>
      <c r="E91" s="23" t="n"/>
      <c r="F91" s="16" t="inlineStr">
        <is>
          <t>5 Gallons</t>
        </is>
      </c>
      <c r="G91" t="inlineStr">
        <is>
          <t>Pickles</t>
        </is>
      </c>
      <c r="H91" s="20" t="inlineStr">
        <is>
          <t>124033</t>
        </is>
      </c>
      <c r="I91" s="35" t="inlineStr">
        <is>
          <t>1 Gallon</t>
        </is>
      </c>
      <c r="J91" s="24">
        <f>D91/5</f>
        <v/>
      </c>
      <c r="K91" s="23">
        <f>E91/5</f>
        <v/>
      </c>
      <c r="L91" s="37" t="inlineStr">
        <is>
          <t>By Ounce</t>
        </is>
      </c>
      <c r="M91" s="24">
        <f>J91/128</f>
        <v/>
      </c>
      <c r="P91" s="10">
        <f>D91</f>
        <v/>
      </c>
      <c r="Q91" s="10">
        <f>E91</f>
        <v/>
      </c>
      <c r="R91" s="10">
        <f>P91-Q91</f>
        <v/>
      </c>
      <c r="S91" s="29">
        <f>R91/P91</f>
        <v/>
      </c>
    </row>
    <row r="92">
      <c r="A92" s="20" t="inlineStr">
        <is>
          <t>4105979</t>
        </is>
      </c>
      <c r="B92" t="inlineStr">
        <is>
          <t xml:space="preserve">SYS SUP Pineapple Slice </t>
        </is>
      </c>
      <c r="C92" s="22" t="inlineStr">
        <is>
          <t>(6) #10 Cans</t>
        </is>
      </c>
      <c r="E92" s="23" t="n"/>
      <c r="F92" s="16" t="inlineStr">
        <is>
          <t>(6) #10</t>
        </is>
      </c>
      <c r="I92" s="35" t="inlineStr">
        <is>
          <t>By Can (107)</t>
        </is>
      </c>
      <c r="J92" s="24">
        <f>D92/6</f>
        <v/>
      </c>
      <c r="K92" s="36">
        <f>E92/6</f>
        <v/>
      </c>
      <c r="L92" s="37" t="inlineStr">
        <is>
          <t>By Ounce</t>
        </is>
      </c>
      <c r="M92" s="24">
        <f>J92/107</f>
        <v/>
      </c>
      <c r="N92" s="10">
        <f>K92/107</f>
        <v/>
      </c>
      <c r="P92" s="10">
        <f>D92</f>
        <v/>
      </c>
      <c r="Q92" s="10">
        <f>E92</f>
        <v/>
      </c>
      <c r="R92" s="10">
        <f>P92-Q92</f>
        <v/>
      </c>
      <c r="S92" s="29">
        <f>R92/P92</f>
        <v/>
      </c>
    </row>
    <row r="93">
      <c r="A93" s="20" t="inlineStr">
        <is>
          <t>8426330</t>
        </is>
      </c>
      <c r="B93" s="21" t="inlineStr">
        <is>
          <t xml:space="preserve">Pepper Jalapeno Slices </t>
        </is>
      </c>
      <c r="C93" s="22" t="inlineStr">
        <is>
          <t>1Gal</t>
        </is>
      </c>
      <c r="E93" s="23" t="n"/>
      <c r="F93" s="16" t="inlineStr">
        <is>
          <t>(4) 1gal</t>
        </is>
      </c>
      <c r="G93" t="inlineStr">
        <is>
          <t>Jalapenos</t>
        </is>
      </c>
      <c r="H93" s="20" t="inlineStr">
        <is>
          <t>00052078</t>
        </is>
      </c>
      <c r="I93" s="69" t="inlineStr">
        <is>
          <t>1 Gallon (128 Ounces)</t>
        </is>
      </c>
      <c r="J93" s="24">
        <f>D93</f>
        <v/>
      </c>
      <c r="K93" s="25">
        <f>E93/4</f>
        <v/>
      </c>
      <c r="L93" s="26" t="inlineStr">
        <is>
          <t>By Ounce</t>
        </is>
      </c>
      <c r="M93" s="24">
        <f>J93/128</f>
        <v/>
      </c>
      <c r="N93" s="31">
        <f>K93/128</f>
        <v/>
      </c>
      <c r="P93" s="10">
        <f>M93*512</f>
        <v/>
      </c>
      <c r="Q93" s="10">
        <f>N93*512</f>
        <v/>
      </c>
      <c r="R93" s="10">
        <f>P93-Q93</f>
        <v/>
      </c>
      <c r="S93" s="29">
        <f>R93/P93</f>
        <v/>
      </c>
    </row>
    <row r="94">
      <c r="A94" s="20" t="inlineStr">
        <is>
          <t>4498226</t>
        </is>
      </c>
      <c r="B94" t="inlineStr">
        <is>
          <t>Ginger Sliced Sushi Pickled</t>
        </is>
      </c>
      <c r="C94" s="22" t="inlineStr">
        <is>
          <t>(12) 1LB</t>
        </is>
      </c>
      <c r="E94" s="23" t="n"/>
      <c r="F94" s="16" t="inlineStr">
        <is>
          <t>(4) 5lb</t>
        </is>
      </c>
      <c r="G94" t="inlineStr">
        <is>
          <t>Ginger Sliced Pickled</t>
        </is>
      </c>
      <c r="H94" s="20" t="inlineStr">
        <is>
          <t>00476440</t>
        </is>
      </c>
      <c r="I94" s="35" t="inlineStr">
        <is>
          <t>By LB</t>
        </is>
      </c>
      <c r="J94" s="24">
        <f>D94/12</f>
        <v/>
      </c>
      <c r="K94" s="36">
        <f>E94/20</f>
        <v/>
      </c>
      <c r="L94" s="8" t="inlineStr">
        <is>
          <t>By Ounce</t>
        </is>
      </c>
      <c r="M94" s="24">
        <f>J94/16</f>
        <v/>
      </c>
      <c r="N94" s="10">
        <f>K94/16</f>
        <v/>
      </c>
      <c r="P94" s="10">
        <f>J94*20</f>
        <v/>
      </c>
      <c r="Q94" s="10">
        <f>K94*20</f>
        <v/>
      </c>
      <c r="R94" s="10">
        <f>P94-Q94</f>
        <v/>
      </c>
      <c r="S94" s="29">
        <f>R94/P94</f>
        <v/>
      </c>
    </row>
    <row r="95">
      <c r="A95" s="20" t="inlineStr">
        <is>
          <t>8969822</t>
        </is>
      </c>
      <c r="B95" t="inlineStr">
        <is>
          <t xml:space="preserve"> Pecan Pcs Lg glazed</t>
        </is>
      </c>
      <c r="C95" s="22" t="inlineStr">
        <is>
          <t>(1) 5LB</t>
        </is>
      </c>
      <c r="E95" s="23" t="n"/>
      <c r="I95" s="35" t="inlineStr">
        <is>
          <t>By LB</t>
        </is>
      </c>
      <c r="J95" s="24">
        <f>D95/5</f>
        <v/>
      </c>
      <c r="L95" s="8" t="inlineStr">
        <is>
          <t>By Ounce</t>
        </is>
      </c>
      <c r="M95" s="24">
        <f>J95/16</f>
        <v/>
      </c>
      <c r="R95" s="10">
        <f>P95-Q95</f>
        <v/>
      </c>
      <c r="S95" s="29">
        <f>R95/P95</f>
        <v/>
      </c>
    </row>
    <row r="96">
      <c r="A96" s="20" t="inlineStr">
        <is>
          <t>6889125</t>
        </is>
      </c>
      <c r="B96" t="inlineStr">
        <is>
          <t>Cranberry Dried Craisins</t>
        </is>
      </c>
      <c r="C96" s="22" t="inlineStr">
        <is>
          <t>(1) 10LB</t>
        </is>
      </c>
      <c r="E96" s="23" t="n"/>
      <c r="F96" s="16" t="inlineStr">
        <is>
          <t>(1) 10lb</t>
        </is>
      </c>
      <c r="H96" s="20" t="inlineStr">
        <is>
          <t>10079392</t>
        </is>
      </c>
      <c r="I96" s="35" t="inlineStr">
        <is>
          <t>By LB</t>
        </is>
      </c>
      <c r="J96" s="24">
        <f>D96/10</f>
        <v/>
      </c>
      <c r="K96" s="36">
        <f>E96/10</f>
        <v/>
      </c>
      <c r="L96" s="8" t="inlineStr">
        <is>
          <t>By Ounce</t>
        </is>
      </c>
      <c r="M96" s="24">
        <f>J96/16</f>
        <v/>
      </c>
      <c r="N96" s="10">
        <f>K96/16</f>
        <v/>
      </c>
      <c r="P96" s="10">
        <f>J96*10</f>
        <v/>
      </c>
      <c r="Q96" s="10">
        <f>K96*10</f>
        <v/>
      </c>
      <c r="R96" s="10">
        <f>P96-Q96</f>
        <v/>
      </c>
      <c r="S96" s="29">
        <f>R96/P96</f>
        <v/>
      </c>
    </row>
    <row r="97">
      <c r="A97" s="20" t="inlineStr">
        <is>
          <t>8576274</t>
        </is>
      </c>
      <c r="B97" s="21" t="inlineStr">
        <is>
          <t xml:space="preserve">PORTCLS Tuna White Albacore Chunk White </t>
        </is>
      </c>
      <c r="C97" s="22" t="inlineStr">
        <is>
          <t>(6) 66.5 oz</t>
        </is>
      </c>
      <c r="E97" s="23" t="n"/>
      <c r="F97" s="16" t="inlineStr">
        <is>
          <t>(6) 66.5oz</t>
        </is>
      </c>
      <c r="G97" t="inlineStr">
        <is>
          <t>White Tuna Albacore</t>
        </is>
      </c>
      <c r="H97" s="20" t="inlineStr">
        <is>
          <t>00084047</t>
        </is>
      </c>
      <c r="I97" s="35" t="inlineStr">
        <is>
          <t>1 Can</t>
        </is>
      </c>
      <c r="J97" s="24">
        <f>D97/6</f>
        <v/>
      </c>
      <c r="K97" s="23">
        <f>E97/6</f>
        <v/>
      </c>
      <c r="L97" s="37" t="inlineStr">
        <is>
          <t>By Ounce</t>
        </is>
      </c>
      <c r="M97" s="24">
        <f>D97/399</f>
        <v/>
      </c>
      <c r="N97" s="10">
        <f>E97/399</f>
        <v/>
      </c>
      <c r="P97" s="10">
        <f>D97</f>
        <v/>
      </c>
      <c r="Q97" s="10">
        <f>E97</f>
        <v/>
      </c>
      <c r="R97" s="10">
        <f>P97-Q97</f>
        <v/>
      </c>
      <c r="S97" s="29">
        <f>R97/P97</f>
        <v/>
      </c>
    </row>
    <row r="98">
      <c r="A98" s="20" t="inlineStr">
        <is>
          <t>5620620</t>
        </is>
      </c>
      <c r="B98" t="inlineStr">
        <is>
          <t xml:space="preserve">Sauerkraut Shredded </t>
        </is>
      </c>
      <c r="C98" s="22" t="inlineStr">
        <is>
          <t>(12) 2.5lb</t>
        </is>
      </c>
      <c r="E98" s="23" t="n"/>
      <c r="F98" s="16" t="inlineStr">
        <is>
          <t>(1) 2 Gal</t>
        </is>
      </c>
      <c r="G98" t="inlineStr">
        <is>
          <t>Sauerkraut Fresh Pack</t>
        </is>
      </c>
      <c r="I98" s="35" t="inlineStr">
        <is>
          <t>N/A</t>
        </is>
      </c>
      <c r="L98" s="37" t="inlineStr">
        <is>
          <t>By Ounce</t>
        </is>
      </c>
      <c r="M98" s="24">
        <f>D98/30/16</f>
        <v/>
      </c>
      <c r="N98" s="10">
        <f>E98/256</f>
        <v/>
      </c>
      <c r="P98" s="10">
        <f>M98*480</f>
        <v/>
      </c>
      <c r="Q98" s="10">
        <f>N98*480</f>
        <v/>
      </c>
      <c r="R98" s="10">
        <f>P98-Q98</f>
        <v/>
      </c>
      <c r="S98" s="29">
        <f>R98/P98</f>
        <v/>
      </c>
    </row>
    <row r="99">
      <c r="A99" s="20" t="inlineStr">
        <is>
          <t>1283874</t>
        </is>
      </c>
      <c r="B99" t="inlineStr">
        <is>
          <t>pepper Hot Sport</t>
        </is>
      </c>
      <c r="C99" s="22" t="inlineStr">
        <is>
          <t>(2) 1 Gal</t>
        </is>
      </c>
      <c r="E99" s="23" t="n"/>
      <c r="I99" s="35" t="inlineStr">
        <is>
          <t>1 Gal</t>
        </is>
      </c>
      <c r="J99" s="24">
        <f>D99/2</f>
        <v/>
      </c>
      <c r="L99" s="37" t="n"/>
      <c r="M99" s="24">
        <f>J99/128</f>
        <v/>
      </c>
      <c r="R99" s="10">
        <f>P99-Q99</f>
        <v/>
      </c>
      <c r="S99" s="29">
        <f>R99/P99</f>
        <v/>
      </c>
    </row>
    <row r="100">
      <c r="A100" s="1" t="inlineStr">
        <is>
          <t>9280371</t>
        </is>
      </c>
      <c r="B100" t="inlineStr">
        <is>
          <t>Carmlna Tomato Whole PLD San Marzano (6) 3kg)</t>
        </is>
      </c>
      <c r="E100" s="23" t="n"/>
      <c r="I100" s="35" t="inlineStr">
        <is>
          <t>??</t>
        </is>
      </c>
      <c r="L100" s="26" t="inlineStr">
        <is>
          <t>By Ounce</t>
        </is>
      </c>
      <c r="N100" s="28" t="n"/>
      <c r="R100" s="10">
        <f>P100-Q100</f>
        <v/>
      </c>
      <c r="S100" s="29">
        <f>R100/P100</f>
        <v/>
      </c>
    </row>
    <row r="101">
      <c r="A101" s="1" t="inlineStr">
        <is>
          <t>5875964</t>
        </is>
      </c>
      <c r="B101" t="inlineStr">
        <is>
          <t xml:space="preserve">SYS IMP Olive Queen STFD Pimnto </t>
        </is>
      </c>
      <c r="C101" s="22" t="inlineStr">
        <is>
          <t>(4) 1 Gal</t>
        </is>
      </c>
      <c r="E101" s="23" t="n"/>
      <c r="F101" s="16" t="inlineStr">
        <is>
          <t>(4) 1 Gal</t>
        </is>
      </c>
      <c r="G101" t="inlineStr">
        <is>
          <t>Olives Queen Stuffed</t>
        </is>
      </c>
      <c r="H101" s="20" t="inlineStr">
        <is>
          <t>00120034</t>
        </is>
      </c>
      <c r="I101" s="35" t="inlineStr">
        <is>
          <t>1 Gallon (128 Ounces)</t>
        </is>
      </c>
      <c r="J101" s="24">
        <f>D101/4</f>
        <v/>
      </c>
      <c r="K101" s="36">
        <f>E101/4</f>
        <v/>
      </c>
      <c r="L101" s="37" t="inlineStr">
        <is>
          <t>By Ounce</t>
        </is>
      </c>
      <c r="M101" s="34">
        <f>J101/128</f>
        <v/>
      </c>
      <c r="N101" s="10">
        <f>K101/128</f>
        <v/>
      </c>
      <c r="P101" s="10">
        <f>J101*4</f>
        <v/>
      </c>
      <c r="Q101" s="10">
        <f>K101*4</f>
        <v/>
      </c>
      <c r="R101" s="10">
        <f>P101-Q101</f>
        <v/>
      </c>
      <c r="S101" s="29">
        <f>R101/P101</f>
        <v/>
      </c>
    </row>
    <row r="102">
      <c r="A102" s="1" t="inlineStr">
        <is>
          <t>4522264</t>
        </is>
      </c>
      <c r="B102" t="inlineStr">
        <is>
          <t>BKRSCLS Coconut Shrd FCY (5) 2lb</t>
        </is>
      </c>
      <c r="E102" s="23" t="n"/>
      <c r="I102" s="35" t="inlineStr">
        <is>
          <t>1 Package</t>
        </is>
      </c>
      <c r="L102" s="37" t="inlineStr">
        <is>
          <t>By Ounce</t>
        </is>
      </c>
      <c r="R102" s="10">
        <f>P102-Q102</f>
        <v/>
      </c>
      <c r="S102" s="29">
        <f>R102/P102</f>
        <v/>
      </c>
    </row>
    <row r="103">
      <c r="A103" s="1" t="inlineStr">
        <is>
          <t>2645242</t>
        </is>
      </c>
      <c r="B103" t="inlineStr">
        <is>
          <t xml:space="preserve">IMP/MCC Spice Pepper Blk Shaker Grnd </t>
        </is>
      </c>
      <c r="C103" s="22" t="inlineStr">
        <is>
          <t>4lb</t>
        </is>
      </c>
      <c r="E103" s="23" t="n"/>
      <c r="I103" s="69" t="inlineStr">
        <is>
          <t>By LB</t>
        </is>
      </c>
      <c r="J103" s="24">
        <f>69.11/5</f>
        <v/>
      </c>
      <c r="K103" s="30" t="n"/>
      <c r="L103" s="26" t="inlineStr">
        <is>
          <t>By Ounce</t>
        </is>
      </c>
      <c r="N103" s="31" t="n"/>
      <c r="R103" s="10">
        <f>P103-Q103</f>
        <v/>
      </c>
      <c r="S103" s="29">
        <f>R103/P103</f>
        <v/>
      </c>
    </row>
    <row r="104">
      <c r="B104" t="inlineStr">
        <is>
          <t>Complete Seasoning 6/1.75#</t>
        </is>
      </c>
      <c r="C104" s="22" t="inlineStr">
        <is>
          <t>6lbs</t>
        </is>
      </c>
      <c r="E104" s="23" t="n"/>
      <c r="F104" s="16" t="inlineStr">
        <is>
          <t>(6) 1.75#</t>
        </is>
      </c>
      <c r="I104" s="35" t="inlineStr">
        <is>
          <t>By LB</t>
        </is>
      </c>
      <c r="J104" s="34">
        <f>D104/6</f>
        <v/>
      </c>
      <c r="K104" s="23">
        <f>E104/10.5</f>
        <v/>
      </c>
      <c r="L104" s="37" t="inlineStr">
        <is>
          <t>By Ounce</t>
        </is>
      </c>
      <c r="M104" s="34">
        <f>J104/16</f>
        <v/>
      </c>
      <c r="N104" s="10">
        <f>K104/16</f>
        <v/>
      </c>
      <c r="P104" s="10">
        <f>J104*6</f>
        <v/>
      </c>
      <c r="Q104" s="10">
        <f>K104*6</f>
        <v/>
      </c>
      <c r="R104" s="10">
        <f>P104-Q104</f>
        <v/>
      </c>
      <c r="S104" s="29">
        <f>R104/P104</f>
        <v/>
      </c>
    </row>
    <row r="105">
      <c r="B105" t="inlineStr">
        <is>
          <t>Grapefruit Juice 48 1ct</t>
        </is>
      </c>
      <c r="E105" s="23" t="n"/>
      <c r="I105" s="35" t="inlineStr">
        <is>
          <t>By Can</t>
        </is>
      </c>
      <c r="R105" s="10">
        <f>P105-Q105</f>
        <v/>
      </c>
      <c r="S105" s="29">
        <f>R105/P105</f>
        <v/>
      </c>
    </row>
    <row r="106">
      <c r="B106" t="inlineStr">
        <is>
          <t>Kosher Salt (12) 3lb</t>
        </is>
      </c>
      <c r="E106" s="23" t="n"/>
      <c r="F106" s="16" t="inlineStr">
        <is>
          <t>(12) 3lb</t>
        </is>
      </c>
      <c r="G106" t="inlineStr">
        <is>
          <t>Kosher Salt</t>
        </is>
      </c>
      <c r="H106" s="20" t="inlineStr">
        <is>
          <t>00136025</t>
        </is>
      </c>
      <c r="I106" s="35" t="inlineStr">
        <is>
          <t>By LB</t>
        </is>
      </c>
      <c r="L106" s="37" t="inlineStr">
        <is>
          <t>By Ounce</t>
        </is>
      </c>
      <c r="R106" s="10">
        <f>P106-Q106</f>
        <v/>
      </c>
      <c r="S106" s="29">
        <f>R106/P106</f>
        <v/>
      </c>
    </row>
    <row r="107">
      <c r="B107" t="inlineStr">
        <is>
          <t>Pineapple Juice</t>
        </is>
      </c>
      <c r="C107" s="22" t="inlineStr">
        <is>
          <t>48 6oz</t>
        </is>
      </c>
      <c r="E107" s="23" t="n"/>
      <c r="I107" s="35" t="n"/>
      <c r="L107" s="37" t="n"/>
      <c r="R107" s="10">
        <f>P107-Q107</f>
        <v/>
      </c>
      <c r="S107" s="29">
        <f>R107/P107</f>
        <v/>
      </c>
    </row>
    <row r="108">
      <c r="B108" t="inlineStr">
        <is>
          <t xml:space="preserve">Dressing Italian Herb </t>
        </is>
      </c>
      <c r="E108" s="23" t="n"/>
      <c r="I108" s="35" t="n"/>
      <c r="L108" s="37" t="n"/>
      <c r="R108" s="10">
        <f>P108-Q108</f>
        <v/>
      </c>
      <c r="S108" s="29">
        <f>R108/P108</f>
        <v/>
      </c>
    </row>
    <row r="109">
      <c r="B109" t="inlineStr">
        <is>
          <t>Garlic Powder (6) 14oz</t>
        </is>
      </c>
      <c r="E109" s="23" t="n"/>
      <c r="I109" s="35" t="n"/>
      <c r="L109" s="37" t="n"/>
      <c r="R109" s="10">
        <f>P109-Q109</f>
        <v/>
      </c>
      <c r="S109" s="29">
        <f>R109/P109</f>
        <v/>
      </c>
    </row>
    <row r="110">
      <c r="B110" t="inlineStr">
        <is>
          <t>Red Wine Vinegar</t>
        </is>
      </c>
      <c r="C110" s="22" t="inlineStr">
        <is>
          <t>1Gal</t>
        </is>
      </c>
      <c r="E110" s="23" t="n"/>
      <c r="F110" s="16" t="inlineStr">
        <is>
          <t>(4) 1 Gal</t>
        </is>
      </c>
      <c r="G110" t="inlineStr">
        <is>
          <t>Red Wine Vinegar</t>
        </is>
      </c>
      <c r="H110" s="20" t="inlineStr">
        <is>
          <t>00052765</t>
        </is>
      </c>
      <c r="I110" s="35" t="inlineStr">
        <is>
          <t>By Gal</t>
        </is>
      </c>
      <c r="K110" s="36">
        <f>E110/4</f>
        <v/>
      </c>
      <c r="L110" s="37" t="inlineStr">
        <is>
          <t>By Ounce</t>
        </is>
      </c>
      <c r="N110" s="10">
        <f>+K110/128</f>
        <v/>
      </c>
      <c r="Q110" s="10">
        <f>K110*4</f>
        <v/>
      </c>
      <c r="R110" s="10">
        <f>P110-Q110</f>
        <v/>
      </c>
      <c r="S110" s="29">
        <f>R110/P110</f>
        <v/>
      </c>
    </row>
    <row r="111">
      <c r="C111" s="32" t="n"/>
      <c r="E111" s="23" t="n"/>
      <c r="F111" s="52" t="n"/>
    </row>
    <row customHeight="1" ht="28.5" r="112">
      <c r="A112" s="12" t="n"/>
      <c r="B112" s="13" t="inlineStr">
        <is>
          <t>PRODUCE</t>
        </is>
      </c>
      <c r="C112" s="17" t="n"/>
      <c r="E112" s="23" t="n"/>
      <c r="I112" s="17" t="n"/>
      <c r="J112" s="18" t="n"/>
      <c r="K112" s="15" t="n"/>
      <c r="L112" s="15" t="n"/>
      <c r="M112" s="18" t="n"/>
      <c r="N112" s="19" t="n"/>
      <c r="O112" s="19" t="n"/>
      <c r="P112" s="19" t="n"/>
      <c r="Q112" s="19" t="n"/>
      <c r="R112" s="19" t="n"/>
      <c r="S112" s="19" t="n"/>
    </row>
    <row customHeight="1" ht="21" r="113">
      <c r="B113" s="2" t="inlineStr">
        <is>
          <t>VEGGIES</t>
        </is>
      </c>
      <c r="C113" s="33" t="n"/>
      <c r="E113" s="23" t="n"/>
      <c r="F113" s="33" t="n"/>
    </row>
    <row r="114">
      <c r="A114" s="20" t="inlineStr">
        <is>
          <t>1675859</t>
        </is>
      </c>
      <c r="B114" s="21" t="inlineStr">
        <is>
          <t xml:space="preserve">Broccoli Florets </t>
        </is>
      </c>
      <c r="C114" s="22" t="inlineStr">
        <is>
          <t>(4) 3LB</t>
        </is>
      </c>
      <c r="E114" s="23" t="n"/>
      <c r="F114" s="16" t="inlineStr">
        <is>
          <t>14 count</t>
        </is>
      </c>
      <c r="H114" s="20" t="inlineStr">
        <is>
          <t>00432110</t>
        </is>
      </c>
      <c r="I114" s="35" t="inlineStr">
        <is>
          <t>By LB</t>
        </is>
      </c>
      <c r="J114" s="24">
        <f>D114/12</f>
        <v/>
      </c>
      <c r="K114" s="30" t="n"/>
      <c r="L114" s="37" t="inlineStr">
        <is>
          <t>By Ounce</t>
        </is>
      </c>
      <c r="M114" s="24">
        <f>J114/16</f>
        <v/>
      </c>
      <c r="N114" s="27" t="n"/>
      <c r="R114" s="10">
        <f>P114-Q114</f>
        <v/>
      </c>
      <c r="S114" s="29">
        <f>R114/P114</f>
        <v/>
      </c>
    </row>
    <row r="115">
      <c r="A115" s="20" t="inlineStr">
        <is>
          <t>1864735</t>
        </is>
      </c>
      <c r="B115" s="21" t="inlineStr">
        <is>
          <t>Mushroom Sliced Fresh 10lb</t>
        </is>
      </c>
      <c r="C115" s="22" t="inlineStr">
        <is>
          <t>(1) 10LB</t>
        </is>
      </c>
      <c r="E115" s="23" t="n"/>
      <c r="F115" s="16" t="inlineStr">
        <is>
          <t>(2) 5#</t>
        </is>
      </c>
      <c r="G115" t="inlineStr">
        <is>
          <t>Mushroon Sliced</t>
        </is>
      </c>
      <c r="H115" s="20" t="inlineStr">
        <is>
          <t>00440060</t>
        </is>
      </c>
      <c r="I115" s="69" t="inlineStr">
        <is>
          <t>By LB</t>
        </is>
      </c>
      <c r="J115" s="24">
        <f>D115/10</f>
        <v/>
      </c>
      <c r="K115" s="25">
        <f>E115/10</f>
        <v/>
      </c>
      <c r="L115" s="8" t="inlineStr">
        <is>
          <t>BY OUNCE</t>
        </is>
      </c>
      <c r="M115" s="24">
        <f>J115/16</f>
        <v/>
      </c>
      <c r="N115" s="53">
        <f>K115/16</f>
        <v/>
      </c>
      <c r="P115" s="10">
        <f>J115*10</f>
        <v/>
      </c>
      <c r="Q115" s="10">
        <f>K115*10</f>
        <v/>
      </c>
      <c r="R115" s="10">
        <f>P115-Q115</f>
        <v/>
      </c>
      <c r="S115" s="29">
        <f>R115/P115</f>
        <v/>
      </c>
    </row>
    <row r="116">
      <c r="A116" s="20" t="inlineStr">
        <is>
          <t>1182229</t>
        </is>
      </c>
      <c r="B116" s="21" t="inlineStr">
        <is>
          <t>Mushroom Button</t>
        </is>
      </c>
      <c r="C116" s="22" t="inlineStr">
        <is>
          <t>(1) 10Lb</t>
        </is>
      </c>
      <c r="E116" s="23" t="n"/>
      <c r="F116" s="16" t="inlineStr">
        <is>
          <t>(1) 10lb</t>
        </is>
      </c>
      <c r="G116" t="inlineStr">
        <is>
          <t>Mushroom Buton</t>
        </is>
      </c>
      <c r="H116" s="20" t="inlineStr">
        <is>
          <t>00440040</t>
        </is>
      </c>
      <c r="I116" s="35" t="inlineStr">
        <is>
          <t>By LB</t>
        </is>
      </c>
      <c r="J116" s="24">
        <f>D116/10</f>
        <v/>
      </c>
      <c r="K116" s="25">
        <f>E116/10</f>
        <v/>
      </c>
      <c r="L116" s="37" t="inlineStr">
        <is>
          <t>By Ounce</t>
        </is>
      </c>
      <c r="M116" s="24">
        <f>J116/16</f>
        <v/>
      </c>
      <c r="N116" s="27">
        <f>K116/16</f>
        <v/>
      </c>
      <c r="P116" s="10">
        <f>J116*10</f>
        <v/>
      </c>
      <c r="Q116" s="10">
        <f>K116*10</f>
        <v/>
      </c>
      <c r="R116" s="10">
        <f>P116-Q116</f>
        <v/>
      </c>
      <c r="S116" s="29">
        <f>R116/P116</f>
        <v/>
      </c>
    </row>
    <row r="117">
      <c r="A117" s="20" t="inlineStr">
        <is>
          <t>4935623</t>
        </is>
      </c>
      <c r="B117" t="inlineStr">
        <is>
          <t>Tomato Bulk Utility 25lb</t>
        </is>
      </c>
      <c r="C117" s="22" t="inlineStr">
        <is>
          <t>25lb</t>
        </is>
      </c>
      <c r="E117" s="23" t="n"/>
      <c r="F117" s="16" t="inlineStr">
        <is>
          <t>25lb</t>
        </is>
      </c>
      <c r="H117" s="20" t="inlineStr">
        <is>
          <t>00466020</t>
        </is>
      </c>
      <c r="I117" s="69" t="inlineStr">
        <is>
          <t>By LB</t>
        </is>
      </c>
      <c r="J117" s="24">
        <f>D117/25</f>
        <v/>
      </c>
      <c r="K117" s="25">
        <f>E117/25</f>
        <v/>
      </c>
      <c r="L117" s="8" t="inlineStr">
        <is>
          <t>BY OUNCE</t>
        </is>
      </c>
      <c r="M117" s="24">
        <f>J117/16</f>
        <v/>
      </c>
      <c r="N117" s="27">
        <f>K117/16</f>
        <v/>
      </c>
      <c r="P117" s="10">
        <f>J117*25</f>
        <v/>
      </c>
      <c r="Q117" s="10">
        <f>K117*25</f>
        <v/>
      </c>
      <c r="R117" s="10">
        <f>P117-Q117</f>
        <v/>
      </c>
      <c r="S117" s="29">
        <f>R117/P117</f>
        <v/>
      </c>
    </row>
    <row r="118">
      <c r="A118" s="20" t="n"/>
      <c r="B118" s="21" t="inlineStr">
        <is>
          <t>Tomato 5x6 Vine Ripe</t>
        </is>
      </c>
      <c r="E118" s="23" t="n"/>
      <c r="F118" s="16" t="inlineStr">
        <is>
          <t>25lb</t>
        </is>
      </c>
      <c r="G118" t="inlineStr">
        <is>
          <t>Tomatoe Vine ripe 5x6</t>
        </is>
      </c>
      <c r="H118" s="20" t="inlineStr">
        <is>
          <t>00462040</t>
        </is>
      </c>
      <c r="I118" s="35" t="inlineStr">
        <is>
          <t>By LB</t>
        </is>
      </c>
      <c r="J118" s="24" t="n"/>
      <c r="K118" s="25">
        <f>E118/25</f>
        <v/>
      </c>
      <c r="M118" s="24" t="n"/>
      <c r="N118" s="27">
        <f>K118/16</f>
        <v/>
      </c>
      <c r="Q118" s="10">
        <f>K118*25</f>
        <v/>
      </c>
      <c r="R118" s="10">
        <f>P118-Q118</f>
        <v/>
      </c>
      <c r="S118" s="29">
        <f>R118/P118</f>
        <v/>
      </c>
    </row>
    <row r="119">
      <c r="A119" s="20" t="inlineStr">
        <is>
          <t>1008432</t>
        </is>
      </c>
      <c r="B119" s="21" t="inlineStr">
        <is>
          <t xml:space="preserve">Potato baking Idaho 80ct </t>
        </is>
      </c>
      <c r="C119" s="22" t="inlineStr">
        <is>
          <t>50lb</t>
        </is>
      </c>
      <c r="E119" s="23" t="n"/>
      <c r="F119" s="16" t="inlineStr">
        <is>
          <t>50lbs</t>
        </is>
      </c>
      <c r="H119" s="20" t="inlineStr">
        <is>
          <t>00450050</t>
        </is>
      </c>
      <c r="I119" s="35" t="inlineStr">
        <is>
          <t>BY LB</t>
        </is>
      </c>
      <c r="J119" s="24">
        <f>D119/50</f>
        <v/>
      </c>
      <c r="K119" s="36">
        <f>E119/50</f>
        <v/>
      </c>
      <c r="L119" s="37" t="inlineStr">
        <is>
          <t>By EACH</t>
        </is>
      </c>
      <c r="M119" s="24">
        <f>D119/80</f>
        <v/>
      </c>
      <c r="N119" s="10">
        <f>E119/80</f>
        <v/>
      </c>
      <c r="P119" s="10">
        <f>J119*50</f>
        <v/>
      </c>
      <c r="Q119" s="10">
        <f>K119*50</f>
        <v/>
      </c>
      <c r="R119" s="10">
        <f>P119-Q119</f>
        <v/>
      </c>
      <c r="S119" s="29">
        <f>R119/P119</f>
        <v/>
      </c>
    </row>
    <row r="120">
      <c r="A120" s="20" t="inlineStr">
        <is>
          <t>7350788</t>
        </is>
      </c>
      <c r="B120" t="inlineStr">
        <is>
          <t>Onion Green 2lb</t>
        </is>
      </c>
      <c r="C120" s="22" t="inlineStr">
        <is>
          <t>2lb</t>
        </is>
      </c>
      <c r="E120" s="23" t="n"/>
      <c r="F120" s="16" t="inlineStr">
        <is>
          <t>(4) 2lb</t>
        </is>
      </c>
      <c r="G120" t="inlineStr">
        <is>
          <t>Onions Green Scallion</t>
        </is>
      </c>
      <c r="H120" s="20" t="inlineStr">
        <is>
          <t>00444025</t>
        </is>
      </c>
      <c r="I120" s="69" t="inlineStr">
        <is>
          <t>By LB</t>
        </is>
      </c>
      <c r="J120" s="24">
        <f>D120/2</f>
        <v/>
      </c>
      <c r="K120" s="30" t="n"/>
      <c r="L120" s="37" t="inlineStr">
        <is>
          <t>By OUnce</t>
        </is>
      </c>
      <c r="M120" s="24">
        <f>J120/16</f>
        <v/>
      </c>
      <c r="N120" s="27" t="n"/>
      <c r="P120" s="10">
        <f>D120*8</f>
        <v/>
      </c>
      <c r="Q120" s="10">
        <f>E120*8</f>
        <v/>
      </c>
      <c r="R120" s="10">
        <f>P120-Q120</f>
        <v/>
      </c>
      <c r="S120" s="29">
        <f>R120/P120</f>
        <v/>
      </c>
    </row>
    <row r="121">
      <c r="A121" s="20" t="inlineStr">
        <is>
          <t>8908485</t>
        </is>
      </c>
      <c r="B121" s="21" t="inlineStr">
        <is>
          <t>Onion Yellow 50lb</t>
        </is>
      </c>
      <c r="C121" s="22" t="inlineStr">
        <is>
          <t>50#</t>
        </is>
      </c>
      <c r="E121" s="23" t="n"/>
      <c r="F121" s="16" t="inlineStr">
        <is>
          <t>50#</t>
        </is>
      </c>
      <c r="H121" s="20" t="inlineStr">
        <is>
          <t>00440630</t>
        </is>
      </c>
      <c r="I121" s="69" t="inlineStr">
        <is>
          <t>By LB</t>
        </is>
      </c>
      <c r="J121" s="24">
        <f>D121/50</f>
        <v/>
      </c>
      <c r="K121" s="25">
        <f>E121/50</f>
        <v/>
      </c>
      <c r="L121" s="8" t="inlineStr">
        <is>
          <t>BY OUNCE</t>
        </is>
      </c>
      <c r="M121" s="24">
        <f>J121/16</f>
        <v/>
      </c>
      <c r="N121" s="27">
        <f>K121/16</f>
        <v/>
      </c>
      <c r="P121">
        <f>J121*50</f>
        <v/>
      </c>
      <c r="Q121">
        <f>K121*50</f>
        <v/>
      </c>
      <c r="R121" s="10">
        <f>P121-Q121</f>
        <v/>
      </c>
      <c r="S121" s="29">
        <f>R121/P121</f>
        <v/>
      </c>
    </row>
    <row r="122">
      <c r="A122" s="20" t="inlineStr">
        <is>
          <t>1094721</t>
        </is>
      </c>
      <c r="B122" t="inlineStr">
        <is>
          <t>Onion Yellow Jumbo Fresh</t>
        </is>
      </c>
      <c r="C122" s="22" t="inlineStr">
        <is>
          <t>50#</t>
        </is>
      </c>
      <c r="E122" s="23" t="n"/>
      <c r="I122" s="35" t="inlineStr">
        <is>
          <t>By LB</t>
        </is>
      </c>
      <c r="J122" s="24">
        <f>D122/50</f>
        <v/>
      </c>
      <c r="K122" s="30" t="n"/>
      <c r="L122" s="37" t="inlineStr">
        <is>
          <t>By OUnce</t>
        </is>
      </c>
      <c r="M122" s="24">
        <f>J122/16</f>
        <v/>
      </c>
      <c r="N122" s="27" t="n"/>
      <c r="O122" s="55" t="n"/>
      <c r="P122" s="54" t="n"/>
      <c r="Q122" s="54" t="n"/>
      <c r="R122" s="10">
        <f>P122-Q122</f>
        <v/>
      </c>
      <c r="S122" s="29">
        <f>R122/P122</f>
        <v/>
      </c>
    </row>
    <row r="123">
      <c r="A123" s="20" t="inlineStr">
        <is>
          <t>1094663</t>
        </is>
      </c>
      <c r="B123" s="21" t="inlineStr">
        <is>
          <t>Onion red Jumbo 25lb</t>
        </is>
      </c>
      <c r="C123" s="22" t="inlineStr">
        <is>
          <t>25#</t>
        </is>
      </c>
      <c r="E123" s="23" t="n"/>
      <c r="F123" s="16" t="inlineStr">
        <is>
          <t>25#</t>
        </is>
      </c>
      <c r="G123" t="inlineStr">
        <is>
          <t>Red Onion 25lb</t>
        </is>
      </c>
      <c r="H123" s="20" t="inlineStr">
        <is>
          <t>0045010</t>
        </is>
      </c>
      <c r="I123" s="69" t="inlineStr">
        <is>
          <t>By LB</t>
        </is>
      </c>
      <c r="J123" s="24">
        <f>D123/25</f>
        <v/>
      </c>
      <c r="K123" s="25">
        <f>E123/25</f>
        <v/>
      </c>
      <c r="L123" s="8" t="inlineStr">
        <is>
          <t>BY OUNCE</t>
        </is>
      </c>
      <c r="M123" s="24">
        <f>J123/16</f>
        <v/>
      </c>
      <c r="N123" s="27">
        <f>K123/16</f>
        <v/>
      </c>
      <c r="P123" s="10">
        <f>J123*25</f>
        <v/>
      </c>
      <c r="Q123" s="10">
        <f>K123*25</f>
        <v/>
      </c>
      <c r="R123" s="10">
        <f>P123-Q123</f>
        <v/>
      </c>
      <c r="S123" s="29">
        <f>R123/P123</f>
        <v/>
      </c>
    </row>
    <row r="124">
      <c r="A124" s="20" t="inlineStr">
        <is>
          <t>4614863</t>
        </is>
      </c>
      <c r="B124" s="21" t="inlineStr">
        <is>
          <t>Cucumber Select</t>
        </is>
      </c>
      <c r="C124" s="22" t="inlineStr">
        <is>
          <t>50lbs</t>
        </is>
      </c>
      <c r="E124" s="23" t="n"/>
      <c r="F124" s="16" t="inlineStr">
        <is>
          <t>50lbs</t>
        </is>
      </c>
      <c r="G124" t="inlineStr">
        <is>
          <t>Cucumber 50lb</t>
        </is>
      </c>
      <c r="H124" s="20" t="inlineStr">
        <is>
          <t>00432380</t>
        </is>
      </c>
      <c r="I124" s="35" t="inlineStr">
        <is>
          <t>BY LB</t>
        </is>
      </c>
      <c r="J124" s="24">
        <f>D124/50</f>
        <v/>
      </c>
      <c r="K124" s="36">
        <f>E124/50</f>
        <v/>
      </c>
      <c r="M124" s="34">
        <f>J124/16</f>
        <v/>
      </c>
      <c r="N124" s="10">
        <f>K124/16</f>
        <v/>
      </c>
      <c r="P124" s="10">
        <f>J124*50</f>
        <v/>
      </c>
      <c r="Q124" s="10">
        <f>K124*50</f>
        <v/>
      </c>
      <c r="R124" s="10">
        <f>P124-Q124</f>
        <v/>
      </c>
      <c r="S124" s="29">
        <f>R124/P124</f>
        <v/>
      </c>
    </row>
    <row r="125">
      <c r="A125" s="20" t="inlineStr">
        <is>
          <t>4418752</t>
        </is>
      </c>
      <c r="B125" s="21" t="inlineStr">
        <is>
          <t>Asparagus 11lb</t>
        </is>
      </c>
      <c r="C125" s="22" t="inlineStr">
        <is>
          <t>11lb</t>
        </is>
      </c>
      <c r="E125" s="23" t="n"/>
      <c r="F125" s="16" t="inlineStr">
        <is>
          <t>11lb</t>
        </is>
      </c>
      <c r="G125" t="inlineStr">
        <is>
          <t>Asparagus Standard Size</t>
        </is>
      </c>
      <c r="H125" s="20" t="inlineStr">
        <is>
          <t>00432060</t>
        </is>
      </c>
      <c r="I125" s="35" t="inlineStr">
        <is>
          <t>By Lb</t>
        </is>
      </c>
      <c r="J125" s="24">
        <f>D125/11</f>
        <v/>
      </c>
      <c r="K125" s="23">
        <f>E125/11</f>
        <v/>
      </c>
      <c r="L125" s="37" t="n"/>
      <c r="M125" s="34">
        <f>J125/16</f>
        <v/>
      </c>
      <c r="N125" s="10">
        <f>K125/16</f>
        <v/>
      </c>
      <c r="P125" s="10">
        <f>J125*11</f>
        <v/>
      </c>
      <c r="Q125" s="10">
        <f>K125*11</f>
        <v/>
      </c>
      <c r="R125" s="10">
        <f>P125-Q125</f>
        <v/>
      </c>
      <c r="S125" s="29">
        <f>R125/P125</f>
        <v/>
      </c>
    </row>
    <row r="126">
      <c r="A126" s="20" t="inlineStr">
        <is>
          <t>1120625</t>
        </is>
      </c>
      <c r="B126" s="21" t="inlineStr">
        <is>
          <t>Celery Fresh (1) 24ct</t>
        </is>
      </c>
      <c r="C126" s="22" t="inlineStr">
        <is>
          <t>24ct</t>
        </is>
      </c>
      <c r="E126" s="23" t="n"/>
      <c r="F126" s="16" t="inlineStr">
        <is>
          <t>24ct</t>
        </is>
      </c>
      <c r="G126" t="inlineStr">
        <is>
          <t>Celery</t>
        </is>
      </c>
      <c r="H126" s="20" t="inlineStr">
        <is>
          <t>00432320</t>
        </is>
      </c>
      <c r="I126" s="35" t="inlineStr">
        <is>
          <t>By Each</t>
        </is>
      </c>
      <c r="J126" s="24">
        <f>D126/24</f>
        <v/>
      </c>
      <c r="K126" s="23">
        <f>E126/24</f>
        <v/>
      </c>
      <c r="P126" s="10">
        <f>J126*24</f>
        <v/>
      </c>
      <c r="Q126" s="10">
        <f>K126*24</f>
        <v/>
      </c>
      <c r="R126" s="10">
        <f>P126-Q126</f>
        <v/>
      </c>
      <c r="S126" s="29">
        <f>R126/P126</f>
        <v/>
      </c>
    </row>
    <row r="127">
      <c r="A127" s="20" t="inlineStr">
        <is>
          <t>1167261</t>
        </is>
      </c>
      <c r="B127" s="21" t="inlineStr">
        <is>
          <t>Carrots Jumbo Fresh</t>
        </is>
      </c>
      <c r="C127" s="22" t="inlineStr">
        <is>
          <t>50lb</t>
        </is>
      </c>
      <c r="E127" s="23" t="n"/>
      <c r="F127" s="16" t="inlineStr">
        <is>
          <t>25lb</t>
        </is>
      </c>
      <c r="G127" t="inlineStr">
        <is>
          <t>Carrots</t>
        </is>
      </c>
      <c r="H127" s="20" t="inlineStr">
        <is>
          <t>00432225</t>
        </is>
      </c>
      <c r="I127" s="35" t="inlineStr">
        <is>
          <t>By LB</t>
        </is>
      </c>
      <c r="J127" s="24">
        <f>D127/50</f>
        <v/>
      </c>
      <c r="K127" s="23">
        <f>E127/16</f>
        <v/>
      </c>
      <c r="M127" s="34">
        <f>J127/16</f>
        <v/>
      </c>
      <c r="N127" s="10">
        <f>K127/16</f>
        <v/>
      </c>
      <c r="P127" s="10">
        <f>J127*50</f>
        <v/>
      </c>
      <c r="Q127" s="10">
        <f>K127*50</f>
        <v/>
      </c>
      <c r="R127" s="10">
        <f>P127-Q127</f>
        <v/>
      </c>
      <c r="S127" s="29">
        <f>R127/P127</f>
        <v/>
      </c>
    </row>
    <row r="128">
      <c r="A128" s="20" t="inlineStr">
        <is>
          <t>0755898</t>
        </is>
      </c>
      <c r="B128" t="inlineStr">
        <is>
          <t>Habanero</t>
        </is>
      </c>
      <c r="C128" s="22" t="inlineStr">
        <is>
          <t>8lb</t>
        </is>
      </c>
      <c r="E128" s="23" t="n"/>
      <c r="F128" s="16" t="inlineStr">
        <is>
          <t>1lb</t>
        </is>
      </c>
      <c r="G128" t="inlineStr">
        <is>
          <t>Habanero</t>
        </is>
      </c>
      <c r="H128" s="20" t="inlineStr">
        <is>
          <t>00448425</t>
        </is>
      </c>
      <c r="I128" s="35" t="inlineStr">
        <is>
          <t>By LB</t>
        </is>
      </c>
      <c r="J128" s="24">
        <f>D128/8</f>
        <v/>
      </c>
      <c r="K128" s="36">
        <f>E128/1</f>
        <v/>
      </c>
      <c r="L128" s="37" t="n"/>
      <c r="M128" s="24">
        <f>J128/16</f>
        <v/>
      </c>
      <c r="N128" s="10">
        <f>K128/16</f>
        <v/>
      </c>
      <c r="P128" s="10">
        <f>J128*1</f>
        <v/>
      </c>
      <c r="Q128" s="10">
        <f>K128*1</f>
        <v/>
      </c>
      <c r="R128" s="10">
        <f>P128-Q128</f>
        <v/>
      </c>
      <c r="S128" s="29">
        <f>R128/P128</f>
        <v/>
      </c>
    </row>
    <row r="129">
      <c r="A129" s="20" t="inlineStr">
        <is>
          <t>4615704</t>
        </is>
      </c>
      <c r="B129" t="inlineStr">
        <is>
          <t>Red Bell Pepper</t>
        </is>
      </c>
      <c r="C129" s="22" t="inlineStr">
        <is>
          <t>1.19 Bushel</t>
        </is>
      </c>
      <c r="E129" s="23" t="n"/>
      <c r="I129" s="35" t="inlineStr">
        <is>
          <t>By Bushell</t>
        </is>
      </c>
      <c r="J129" s="24">
        <f>D129/1.9</f>
        <v/>
      </c>
      <c r="L129" s="37" t="n"/>
      <c r="R129" s="10">
        <f>P129-Q129</f>
        <v/>
      </c>
      <c r="S129" s="29">
        <f>R129/P129</f>
        <v/>
      </c>
    </row>
    <row r="130">
      <c r="A130" s="20" t="inlineStr">
        <is>
          <t>1243724</t>
        </is>
      </c>
      <c r="B130" t="inlineStr">
        <is>
          <t>Cauliflower Cello Wrapped Fresh</t>
        </is>
      </c>
      <c r="C130" s="22" t="inlineStr">
        <is>
          <t>12pcs</t>
        </is>
      </c>
      <c r="E130" s="23" t="n"/>
      <c r="F130" s="16" t="inlineStr">
        <is>
          <t>(12) 2lb</t>
        </is>
      </c>
      <c r="G130" t="inlineStr">
        <is>
          <t xml:space="preserve">Cauligflower </t>
        </is>
      </c>
      <c r="H130" s="20" t="inlineStr">
        <is>
          <t>00264103</t>
        </is>
      </c>
      <c r="I130" s="35" t="inlineStr">
        <is>
          <t>By Each</t>
        </is>
      </c>
      <c r="J130" s="24">
        <f>D130/12</f>
        <v/>
      </c>
      <c r="K130" s="36">
        <f>E130/12</f>
        <v/>
      </c>
      <c r="L130" s="37" t="n"/>
      <c r="P130" s="10">
        <f>D130</f>
        <v/>
      </c>
      <c r="Q130" s="10">
        <f>E130</f>
        <v/>
      </c>
      <c r="R130" s="10">
        <f>P130-Q130</f>
        <v/>
      </c>
      <c r="S130" s="29">
        <f>R130/P130</f>
        <v/>
      </c>
    </row>
    <row r="131">
      <c r="C131" s="33" t="n"/>
      <c r="E131" s="23" t="n"/>
      <c r="F131" s="33" t="n"/>
      <c r="N131" s="27" t="n"/>
    </row>
    <row customHeight="1" ht="21" r="132">
      <c r="B132" s="2" t="inlineStr">
        <is>
          <t>LETTUCES</t>
        </is>
      </c>
      <c r="C132" s="33" t="n"/>
      <c r="E132" s="23" t="n"/>
      <c r="F132" s="33" t="n"/>
      <c r="N132" s="27" t="n"/>
    </row>
    <row r="133">
      <c r="A133" s="40" t="n">
        <v>1675925</v>
      </c>
      <c r="B133" t="inlineStr">
        <is>
          <t>Spinach Clipped Fresh</t>
        </is>
      </c>
      <c r="C133" s="49" t="inlineStr">
        <is>
          <t>2.5LB</t>
        </is>
      </c>
      <c r="E133" s="23" t="n"/>
      <c r="F133" s="47" t="inlineStr">
        <is>
          <t>4lbs</t>
        </is>
      </c>
      <c r="H133" s="20" t="inlineStr">
        <is>
          <t>00438010</t>
        </is>
      </c>
      <c r="I133" s="35" t="inlineStr">
        <is>
          <t>By LB</t>
        </is>
      </c>
      <c r="J133" s="40">
        <f>D133/2.5</f>
        <v/>
      </c>
      <c r="K133" s="40">
        <f>E133/4</f>
        <v/>
      </c>
      <c r="L133" s="37" t="inlineStr">
        <is>
          <t>By Ounce</t>
        </is>
      </c>
      <c r="M133" s="40">
        <f>J133/16</f>
        <v/>
      </c>
      <c r="N133" s="27">
        <f>K133/16</f>
        <v/>
      </c>
      <c r="P133" s="10">
        <f>J133*4</f>
        <v/>
      </c>
      <c r="Q133" s="10">
        <f>K133*4</f>
        <v/>
      </c>
      <c r="R133" s="10">
        <f>P133-Q133</f>
        <v/>
      </c>
      <c r="S133" s="29">
        <f>R133/P133</f>
        <v/>
      </c>
    </row>
    <row r="134">
      <c r="A134" s="20" t="inlineStr">
        <is>
          <t>7021678</t>
        </is>
      </c>
      <c r="B134" t="inlineStr">
        <is>
          <t>Chopped Romaine</t>
        </is>
      </c>
      <c r="C134" s="22" t="inlineStr">
        <is>
          <t>(6) 2lb</t>
        </is>
      </c>
      <c r="E134" s="23" t="n"/>
      <c r="F134" s="16" t="inlineStr">
        <is>
          <t>(6) 2#</t>
        </is>
      </c>
      <c r="G134" t="inlineStr">
        <is>
          <t>Romaine Chopped</t>
        </is>
      </c>
      <c r="H134" s="20" t="inlineStr">
        <is>
          <t>00436420</t>
        </is>
      </c>
      <c r="I134" s="69" t="inlineStr">
        <is>
          <t>By LB</t>
        </is>
      </c>
      <c r="J134" s="24">
        <f>D134/12</f>
        <v/>
      </c>
      <c r="K134" s="25">
        <f>E134/12</f>
        <v/>
      </c>
      <c r="L134" s="8" t="inlineStr">
        <is>
          <t>By Ounce</t>
        </is>
      </c>
      <c r="M134" s="34">
        <f>J134/16</f>
        <v/>
      </c>
      <c r="N134" s="27">
        <f>K134/16</f>
        <v/>
      </c>
      <c r="P134">
        <f>M134*192</f>
        <v/>
      </c>
      <c r="Q134">
        <f>N134*192</f>
        <v/>
      </c>
      <c r="R134" s="10">
        <f>P134-Q134</f>
        <v/>
      </c>
      <c r="S134" s="29">
        <f>R134/P134</f>
        <v/>
      </c>
    </row>
    <row r="135">
      <c r="A135" s="20" t="inlineStr">
        <is>
          <t>1132050</t>
        </is>
      </c>
      <c r="B135" t="inlineStr">
        <is>
          <t xml:space="preserve"> Lettuce Fresh Arcadn </t>
        </is>
      </c>
      <c r="C135" s="22" t="inlineStr">
        <is>
          <t>(1) 3LB</t>
        </is>
      </c>
      <c r="E135" s="23" t="n"/>
      <c r="F135" s="16" t="inlineStr">
        <is>
          <t>(1) 3lbs</t>
        </is>
      </c>
      <c r="G135" t="inlineStr">
        <is>
          <t>Lettuce Arcadia Blend</t>
        </is>
      </c>
      <c r="H135" s="20" t="inlineStr">
        <is>
          <t>10005514</t>
        </is>
      </c>
      <c r="I135" s="69" t="inlineStr">
        <is>
          <t>By LB</t>
        </is>
      </c>
      <c r="J135" s="24">
        <f>D135/3</f>
        <v/>
      </c>
      <c r="K135" s="25">
        <f>E135/3</f>
        <v/>
      </c>
      <c r="L135" s="8" t="inlineStr">
        <is>
          <t>BY OUNCE</t>
        </is>
      </c>
      <c r="M135" s="24">
        <f>J135/16</f>
        <v/>
      </c>
      <c r="N135" s="27">
        <f>K135/16</f>
        <v/>
      </c>
      <c r="P135" s="10">
        <f>J135*3</f>
        <v/>
      </c>
      <c r="Q135" s="10">
        <f>K135*3</f>
        <v/>
      </c>
      <c r="R135" s="10">
        <f>P135-Q135</f>
        <v/>
      </c>
      <c r="S135" s="29">
        <f>R135/P135</f>
        <v/>
      </c>
    </row>
    <row r="136">
      <c r="A136" s="20" t="inlineStr">
        <is>
          <t>1675610</t>
        </is>
      </c>
      <c r="B136" t="inlineStr">
        <is>
          <t xml:space="preserve">Lettuce Iceberg Trimmed Fresh </t>
        </is>
      </c>
      <c r="C136" s="22" t="inlineStr">
        <is>
          <t>24ct</t>
        </is>
      </c>
      <c r="E136" s="23" t="n"/>
      <c r="F136" s="16" t="inlineStr">
        <is>
          <t>24ct</t>
        </is>
      </c>
      <c r="G136" t="inlineStr">
        <is>
          <t>Iceburg Liner</t>
        </is>
      </c>
      <c r="H136" s="20" t="inlineStr">
        <is>
          <t>00436210</t>
        </is>
      </c>
      <c r="I136" s="69" t="inlineStr">
        <is>
          <t>By Each</t>
        </is>
      </c>
      <c r="J136" s="24">
        <f>D136/24</f>
        <v/>
      </c>
      <c r="K136" s="25">
        <f>E136/24</f>
        <v/>
      </c>
      <c r="N136" s="27" t="n"/>
      <c r="P136" s="10">
        <f>J136*24</f>
        <v/>
      </c>
      <c r="Q136" s="10">
        <f>K136*24</f>
        <v/>
      </c>
      <c r="R136" s="10">
        <f>P136-Q136</f>
        <v/>
      </c>
      <c r="S136" s="29">
        <f>R136/P136</f>
        <v/>
      </c>
    </row>
    <row r="137">
      <c r="A137" s="20" t="inlineStr">
        <is>
          <t>3629433</t>
        </is>
      </c>
      <c r="B137" t="inlineStr">
        <is>
          <t>Spring Mix</t>
        </is>
      </c>
      <c r="C137" s="22" t="inlineStr">
        <is>
          <t>3LB</t>
        </is>
      </c>
      <c r="E137" s="23" t="n"/>
      <c r="F137" s="16" t="inlineStr">
        <is>
          <t>3LB</t>
        </is>
      </c>
      <c r="G137" t="inlineStr">
        <is>
          <t>Spring Mix</t>
        </is>
      </c>
      <c r="H137" s="20" t="inlineStr">
        <is>
          <t>00437090</t>
        </is>
      </c>
      <c r="I137" s="35" t="inlineStr">
        <is>
          <t>By LB</t>
        </is>
      </c>
      <c r="J137" s="24">
        <f>D137/3</f>
        <v/>
      </c>
      <c r="K137" s="30">
        <f>E137/3</f>
        <v/>
      </c>
      <c r="M137" s="34">
        <f>J137/16</f>
        <v/>
      </c>
      <c r="N137" s="27">
        <f>K137/16</f>
        <v/>
      </c>
      <c r="P137" s="10">
        <f>J137*3</f>
        <v/>
      </c>
      <c r="Q137" s="10">
        <f>K137*3</f>
        <v/>
      </c>
      <c r="R137" s="10">
        <f>P137-Q137</f>
        <v/>
      </c>
      <c r="S137" s="29">
        <f>R137/P137</f>
        <v/>
      </c>
    </row>
    <row r="138">
      <c r="A138" s="20" t="inlineStr">
        <is>
          <t>1675909</t>
        </is>
      </c>
      <c r="B138" s="21" t="inlineStr">
        <is>
          <t>Lettuce Green Leaf Fresh</t>
        </is>
      </c>
      <c r="C138" s="22" t="inlineStr">
        <is>
          <t>(4) 6ct</t>
        </is>
      </c>
      <c r="E138" s="23" t="n"/>
      <c r="F138" s="16" t="inlineStr">
        <is>
          <t>(4) 6ct</t>
        </is>
      </c>
      <c r="G138" t="inlineStr">
        <is>
          <t>Lettuce Green Leaf</t>
        </is>
      </c>
      <c r="H138" s="20" t="inlineStr">
        <is>
          <t>00436042</t>
        </is>
      </c>
      <c r="I138" s="35" t="inlineStr">
        <is>
          <t>By Each</t>
        </is>
      </c>
      <c r="J138" s="24">
        <f>D138/24</f>
        <v/>
      </c>
      <c r="K138" s="36">
        <f>E138/24</f>
        <v/>
      </c>
      <c r="P138" s="10">
        <f>J138*24</f>
        <v/>
      </c>
      <c r="Q138" s="10">
        <f>K138*24</f>
        <v/>
      </c>
      <c r="R138" s="10">
        <f>P138-Q138</f>
        <v/>
      </c>
      <c r="S138" s="29">
        <f>R138/P138</f>
        <v/>
      </c>
    </row>
    <row r="139">
      <c r="A139" s="20" t="inlineStr">
        <is>
          <t>7630551</t>
        </is>
      </c>
      <c r="B139" s="21" t="inlineStr">
        <is>
          <t xml:space="preserve">Cabbage Green Shrd W/Bag </t>
        </is>
      </c>
      <c r="C139" s="22" t="inlineStr">
        <is>
          <t>(4) 5lb</t>
        </is>
      </c>
      <c r="E139" s="23" t="n"/>
      <c r="F139" s="16" t="inlineStr">
        <is>
          <t>(4) 5lb</t>
        </is>
      </c>
      <c r="G139" t="inlineStr">
        <is>
          <t>Cabbage Shred Slaw Mix</t>
        </is>
      </c>
      <c r="H139" s="20" t="inlineStr">
        <is>
          <t>00478021</t>
        </is>
      </c>
      <c r="I139" s="69" t="inlineStr">
        <is>
          <t>By LB</t>
        </is>
      </c>
      <c r="J139" s="24">
        <f>D139/20</f>
        <v/>
      </c>
      <c r="K139" s="25">
        <f>E139/20</f>
        <v/>
      </c>
      <c r="L139" s="8" t="inlineStr">
        <is>
          <t>BY OUNCE</t>
        </is>
      </c>
      <c r="M139" s="24">
        <f>J139/16</f>
        <v/>
      </c>
      <c r="N139" s="10">
        <f>K139/16</f>
        <v/>
      </c>
      <c r="P139" s="10">
        <f>J139*20</f>
        <v/>
      </c>
      <c r="Q139" s="10">
        <f>K139*20</f>
        <v/>
      </c>
      <c r="R139" s="10">
        <f>P139-Q139</f>
        <v/>
      </c>
      <c r="S139" s="29">
        <f>R139/P139</f>
        <v/>
      </c>
    </row>
    <row r="140">
      <c r="A140" s="55" t="n">
        <v>1723816</v>
      </c>
      <c r="B140" s="21" t="inlineStr">
        <is>
          <t>Romaine Fresh With Liner</t>
        </is>
      </c>
      <c r="C140" s="49" t="inlineStr">
        <is>
          <t>(1) 24CT</t>
        </is>
      </c>
      <c r="E140" s="23" t="n"/>
      <c r="F140" s="47" t="inlineStr">
        <is>
          <t>(4) 6ct</t>
        </is>
      </c>
      <c r="G140" t="inlineStr">
        <is>
          <t>Lettuce Romaine Liner</t>
        </is>
      </c>
      <c r="H140" s="20" t="inlineStr">
        <is>
          <t>00436400</t>
        </is>
      </c>
      <c r="I140" s="56" t="inlineStr">
        <is>
          <t>By Each</t>
        </is>
      </c>
      <c r="J140" s="40">
        <f>D140/24</f>
        <v/>
      </c>
      <c r="K140" s="40">
        <f>E140/24</f>
        <v/>
      </c>
      <c r="L140" s="21" t="inlineStr">
        <is>
          <t>By Each</t>
        </is>
      </c>
      <c r="N140" s="27" t="n"/>
      <c r="P140">
        <f>J140*24</f>
        <v/>
      </c>
      <c r="Q140">
        <f>K140*24</f>
        <v/>
      </c>
      <c r="R140" s="10">
        <f>P140-Q140</f>
        <v/>
      </c>
      <c r="S140" s="29">
        <f>R140/P140</f>
        <v/>
      </c>
    </row>
    <row r="141">
      <c r="C141" s="33" t="n"/>
      <c r="E141" s="23" t="n"/>
      <c r="F141" s="33" t="n"/>
      <c r="N141" s="27" t="n"/>
    </row>
    <row customHeight="1" ht="21" r="142">
      <c r="B142" s="2" t="inlineStr">
        <is>
          <t>FRUIT</t>
        </is>
      </c>
      <c r="C142" s="33" t="n"/>
      <c r="E142" s="23" t="n"/>
      <c r="F142" s="33" t="n"/>
      <c r="N142" s="27" t="n"/>
    </row>
    <row r="143">
      <c r="A143" s="20" t="inlineStr">
        <is>
          <t>7412604</t>
        </is>
      </c>
      <c r="B143" t="inlineStr">
        <is>
          <t>Oranges 5lbs</t>
        </is>
      </c>
      <c r="C143" s="22" t="inlineStr">
        <is>
          <t>(1) 12CT</t>
        </is>
      </c>
      <c r="E143" s="23" t="n"/>
      <c r="I143" s="35" t="inlineStr">
        <is>
          <t>By Each</t>
        </is>
      </c>
      <c r="J143" s="24">
        <f>D143/12</f>
        <v/>
      </c>
      <c r="R143" s="10">
        <f>P143-Q143</f>
        <v/>
      </c>
      <c r="S143" s="29">
        <f>R143/P143</f>
        <v/>
      </c>
    </row>
    <row r="144">
      <c r="A144" s="20" t="inlineStr">
        <is>
          <t>7410608</t>
        </is>
      </c>
      <c r="B144" t="inlineStr">
        <is>
          <t>Apples Red Delicious</t>
        </is>
      </c>
      <c r="C144" s="22" t="inlineStr">
        <is>
          <t>(1) 12CT</t>
        </is>
      </c>
      <c r="E144" s="23" t="n"/>
      <c r="I144" s="35" t="inlineStr">
        <is>
          <t>By Each</t>
        </is>
      </c>
      <c r="J144" s="24">
        <f>D144/12</f>
        <v/>
      </c>
      <c r="R144" s="10">
        <f>P144-Q144</f>
        <v/>
      </c>
      <c r="S144" s="29">
        <f>R144/P144</f>
        <v/>
      </c>
    </row>
    <row r="145">
      <c r="A145" s="20" t="inlineStr">
        <is>
          <t>4679276</t>
        </is>
      </c>
      <c r="B145" t="inlineStr">
        <is>
          <t>Hass Avocado</t>
        </is>
      </c>
      <c r="C145" s="22" t="inlineStr">
        <is>
          <t>(1) 60CT</t>
        </is>
      </c>
      <c r="E145" s="23" t="n"/>
      <c r="F145" s="16" t="inlineStr">
        <is>
          <t>60-70 ct</t>
        </is>
      </c>
      <c r="G145" t="inlineStr">
        <is>
          <t>Haas Avacado 60-70ct</t>
        </is>
      </c>
      <c r="H145" s="20" t="inlineStr">
        <is>
          <t>00425055</t>
        </is>
      </c>
      <c r="I145" s="35" t="inlineStr">
        <is>
          <t>By Each</t>
        </is>
      </c>
      <c r="J145" s="24">
        <f>D145/60</f>
        <v/>
      </c>
      <c r="K145" s="36">
        <f>E145/65</f>
        <v/>
      </c>
      <c r="P145" s="10">
        <f>J145*60</f>
        <v/>
      </c>
      <c r="Q145" s="10">
        <f>K145*65</f>
        <v/>
      </c>
      <c r="R145" s="10">
        <f>P145-Q145</f>
        <v/>
      </c>
      <c r="S145" s="29">
        <f>R145/P145</f>
        <v/>
      </c>
    </row>
    <row r="146">
      <c r="A146" s="20" t="inlineStr">
        <is>
          <t>2252070</t>
        </is>
      </c>
      <c r="B146" t="inlineStr">
        <is>
          <t>Lemon Fresh</t>
        </is>
      </c>
      <c r="C146" s="22" t="inlineStr">
        <is>
          <t>200ct</t>
        </is>
      </c>
      <c r="E146" s="23" t="n"/>
      <c r="F146" s="16" t="inlineStr">
        <is>
          <t>200ct</t>
        </is>
      </c>
      <c r="G146" t="inlineStr">
        <is>
          <t xml:space="preserve">Lemons </t>
        </is>
      </c>
      <c r="H146" s="20" t="inlineStr">
        <is>
          <t>00413030</t>
        </is>
      </c>
      <c r="I146" s="35" t="inlineStr">
        <is>
          <t>By Each</t>
        </is>
      </c>
      <c r="J146" s="24">
        <f>D146/200</f>
        <v/>
      </c>
      <c r="K146" s="23">
        <f>E146/200</f>
        <v/>
      </c>
      <c r="L146" s="37" t="inlineStr">
        <is>
          <t>By Each</t>
        </is>
      </c>
      <c r="M146" s="24">
        <f>J146</f>
        <v/>
      </c>
      <c r="N146" s="10">
        <f>K146</f>
        <v/>
      </c>
      <c r="P146" s="10">
        <f>M146*200</f>
        <v/>
      </c>
      <c r="Q146" s="10">
        <f>N146*200</f>
        <v/>
      </c>
      <c r="R146" s="10">
        <f>P146-Q146</f>
        <v/>
      </c>
      <c r="S146" s="29">
        <f>R146/P146</f>
        <v/>
      </c>
    </row>
    <row r="147">
      <c r="A147" s="20" t="inlineStr">
        <is>
          <t>1048313</t>
        </is>
      </c>
      <c r="B147" s="21" t="inlineStr">
        <is>
          <t>Lime (200ct)</t>
        </is>
      </c>
      <c r="C147" s="22" t="inlineStr">
        <is>
          <t>200ct</t>
        </is>
      </c>
      <c r="E147" s="23" t="n"/>
      <c r="F147" s="16" t="inlineStr">
        <is>
          <t>200ct</t>
        </is>
      </c>
      <c r="G147" t="inlineStr">
        <is>
          <t>Limes</t>
        </is>
      </c>
      <c r="H147" s="20" t="inlineStr">
        <is>
          <t>00414625</t>
        </is>
      </c>
      <c r="I147" s="69" t="inlineStr">
        <is>
          <t>By Each</t>
        </is>
      </c>
      <c r="J147" s="24">
        <f>D147/200</f>
        <v/>
      </c>
      <c r="K147" s="30">
        <f>E147/200</f>
        <v/>
      </c>
      <c r="L147" s="8" t="inlineStr">
        <is>
          <t>By Each</t>
        </is>
      </c>
      <c r="M147" s="34">
        <f>J147</f>
        <v/>
      </c>
      <c r="N147" s="27">
        <f>K147</f>
        <v/>
      </c>
      <c r="P147" s="10">
        <f>M147*200</f>
        <v/>
      </c>
      <c r="Q147" s="10">
        <f>N147*200</f>
        <v/>
      </c>
      <c r="R147" s="10">
        <f>P147-Q147</f>
        <v/>
      </c>
      <c r="S147" s="29">
        <f>R147/P147</f>
        <v/>
      </c>
    </row>
    <row r="148">
      <c r="C148" s="33" t="n"/>
      <c r="E148" s="23" t="n"/>
      <c r="F148" s="33" t="n"/>
      <c r="N148" s="27" t="n"/>
    </row>
    <row customHeight="1" ht="21" r="149">
      <c r="B149" s="2" t="inlineStr">
        <is>
          <t>HERBS</t>
        </is>
      </c>
      <c r="C149" s="33" t="n"/>
      <c r="E149" s="23" t="n"/>
      <c r="F149" s="33" t="n"/>
      <c r="N149" s="27" t="n"/>
    </row>
    <row r="150">
      <c r="A150" s="20" t="inlineStr">
        <is>
          <t>2004547</t>
        </is>
      </c>
      <c r="B150" t="inlineStr">
        <is>
          <t xml:space="preserve">Fresh Basil </t>
        </is>
      </c>
      <c r="C150" s="22" t="inlineStr">
        <is>
          <t>1lb</t>
        </is>
      </c>
      <c r="E150" s="23" t="n"/>
      <c r="F150" s="16" t="inlineStr">
        <is>
          <t>1lb</t>
        </is>
      </c>
      <c r="G150" t="inlineStr">
        <is>
          <t>Basil</t>
        </is>
      </c>
      <c r="H150" s="20" t="inlineStr">
        <is>
          <t>00468080</t>
        </is>
      </c>
      <c r="I150" s="69" t="inlineStr">
        <is>
          <t>By LB</t>
        </is>
      </c>
      <c r="J150" s="24">
        <f>D150</f>
        <v/>
      </c>
      <c r="K150" s="25">
        <f>E150</f>
        <v/>
      </c>
      <c r="L150" s="8" t="inlineStr">
        <is>
          <t>BY OUNCE</t>
        </is>
      </c>
      <c r="M150" s="24">
        <f>J150/16</f>
        <v/>
      </c>
      <c r="N150" s="53">
        <f>K150/16</f>
        <v/>
      </c>
      <c r="P150" s="57">
        <f>M150*16</f>
        <v/>
      </c>
      <c r="Q150" s="28">
        <f>N150*16</f>
        <v/>
      </c>
      <c r="R150" s="10">
        <f>P150-Q150</f>
        <v/>
      </c>
      <c r="S150" s="29">
        <f>R150/P150</f>
        <v/>
      </c>
    </row>
    <row r="151">
      <c r="A151" s="20" t="inlineStr">
        <is>
          <t>2219095</t>
        </is>
      </c>
      <c r="B151" t="inlineStr">
        <is>
          <t xml:space="preserve">Cilantro </t>
        </is>
      </c>
      <c r="C151" s="22" t="inlineStr">
        <is>
          <t>1lb</t>
        </is>
      </c>
      <c r="E151" s="23" t="n"/>
      <c r="F151" s="16" t="inlineStr">
        <is>
          <t>1LB</t>
        </is>
      </c>
      <c r="G151" t="inlineStr">
        <is>
          <t>Cilantro</t>
        </is>
      </c>
      <c r="H151" s="20" t="inlineStr">
        <is>
          <t>00468248</t>
        </is>
      </c>
      <c r="I151" s="69" t="inlineStr">
        <is>
          <t>By LB</t>
        </is>
      </c>
      <c r="J151" s="24">
        <f>D151</f>
        <v/>
      </c>
      <c r="K151" s="25">
        <f>E151</f>
        <v/>
      </c>
      <c r="L151" s="8" t="inlineStr">
        <is>
          <t>BY OUNCE</t>
        </is>
      </c>
      <c r="M151" s="24">
        <f>J151/16</f>
        <v/>
      </c>
      <c r="N151" s="27">
        <f>K151/16</f>
        <v/>
      </c>
      <c r="P151" s="10">
        <f>J151*1</f>
        <v/>
      </c>
      <c r="Q151" s="10">
        <f>K151*1</f>
        <v/>
      </c>
      <c r="R151" s="10">
        <f>P151-Q151</f>
        <v/>
      </c>
      <c r="S151" s="29">
        <f>R151/P151</f>
        <v/>
      </c>
    </row>
    <row r="152">
      <c r="A152" s="20" t="inlineStr">
        <is>
          <t>2004844</t>
        </is>
      </c>
      <c r="B152" t="inlineStr">
        <is>
          <t>Rosemary</t>
        </is>
      </c>
      <c r="C152" s="22" t="inlineStr">
        <is>
          <t>1Lb</t>
        </is>
      </c>
      <c r="E152" s="23" t="n"/>
      <c r="F152" s="16" t="inlineStr">
        <is>
          <t>1lb</t>
        </is>
      </c>
      <c r="G152" t="inlineStr">
        <is>
          <t>Rosemary</t>
        </is>
      </c>
      <c r="H152" s="20" t="inlineStr">
        <is>
          <t>00468500</t>
        </is>
      </c>
      <c r="I152" s="35" t="inlineStr">
        <is>
          <t>By LB</t>
        </is>
      </c>
      <c r="J152" s="24">
        <f>D152</f>
        <v/>
      </c>
      <c r="K152" s="25">
        <f>E152</f>
        <v/>
      </c>
      <c r="L152" s="37" t="inlineStr">
        <is>
          <t>BY OUNCE</t>
        </is>
      </c>
      <c r="M152" s="24">
        <f>J152/16</f>
        <v/>
      </c>
      <c r="N152" s="27">
        <f>K152/16</f>
        <v/>
      </c>
      <c r="P152" s="10">
        <f>M152*16</f>
        <v/>
      </c>
      <c r="Q152" s="10">
        <f>N152*16</f>
        <v/>
      </c>
      <c r="R152" s="10">
        <f>P152-Q152</f>
        <v/>
      </c>
      <c r="S152" s="29">
        <f>R152/P152</f>
        <v/>
      </c>
    </row>
    <row r="153">
      <c r="A153" s="20" t="inlineStr">
        <is>
          <t>2037125</t>
        </is>
      </c>
      <c r="B153" t="inlineStr">
        <is>
          <t>Mint</t>
        </is>
      </c>
      <c r="C153" s="22" t="inlineStr">
        <is>
          <t>1LB</t>
        </is>
      </c>
      <c r="E153" s="23" t="n"/>
      <c r="F153" s="16" t="inlineStr">
        <is>
          <t>1lb</t>
        </is>
      </c>
      <c r="G153" t="inlineStr">
        <is>
          <t>Mint</t>
        </is>
      </c>
      <c r="H153" s="20" t="inlineStr">
        <is>
          <t>00468360</t>
        </is>
      </c>
      <c r="I153" s="35" t="inlineStr">
        <is>
          <t>By LB</t>
        </is>
      </c>
      <c r="J153" s="24">
        <f>D153</f>
        <v/>
      </c>
      <c r="K153" s="25">
        <f>E153</f>
        <v/>
      </c>
      <c r="L153" s="37" t="inlineStr">
        <is>
          <t>BY OUNCE</t>
        </is>
      </c>
      <c r="M153" s="24">
        <f>J153/16</f>
        <v/>
      </c>
      <c r="N153" s="27">
        <f>E153/16</f>
        <v/>
      </c>
      <c r="P153" s="10">
        <f>M153*16</f>
        <v/>
      </c>
      <c r="Q153" s="10">
        <f>N153*16</f>
        <v/>
      </c>
      <c r="R153" s="10">
        <f>P153-Q153</f>
        <v/>
      </c>
      <c r="S153" s="29">
        <f>R153/P153</f>
        <v/>
      </c>
    </row>
    <row r="154">
      <c r="A154" s="20" t="inlineStr">
        <is>
          <t>2005296</t>
        </is>
      </c>
      <c r="B154" t="inlineStr">
        <is>
          <t>Thyme</t>
        </is>
      </c>
      <c r="C154" s="22" t="inlineStr">
        <is>
          <t>1LB</t>
        </is>
      </c>
      <c r="E154" s="23" t="n"/>
      <c r="F154" s="16" t="inlineStr">
        <is>
          <t>1lb</t>
        </is>
      </c>
      <c r="G154" t="inlineStr">
        <is>
          <t>Thyme</t>
        </is>
      </c>
      <c r="H154" s="20" t="inlineStr">
        <is>
          <t>00468650</t>
        </is>
      </c>
      <c r="I154" s="35" t="inlineStr">
        <is>
          <t>ByLB</t>
        </is>
      </c>
      <c r="J154" s="24">
        <f>D154</f>
        <v/>
      </c>
      <c r="K154" s="25">
        <f>E154</f>
        <v/>
      </c>
      <c r="L154" s="37" t="inlineStr">
        <is>
          <t>By Ounce</t>
        </is>
      </c>
      <c r="M154" s="24">
        <f>J154/16</f>
        <v/>
      </c>
      <c r="N154" s="27">
        <f>K154/16</f>
        <v/>
      </c>
      <c r="P154" s="10">
        <f>M154*16</f>
        <v/>
      </c>
      <c r="Q154" s="10">
        <f>N154*16</f>
        <v/>
      </c>
      <c r="R154" s="10">
        <f>P154-Q154</f>
        <v/>
      </c>
      <c r="S154" s="29">
        <f>R154/P154</f>
        <v/>
      </c>
    </row>
    <row r="155">
      <c r="A155" s="20" t="inlineStr">
        <is>
          <t>7410723</t>
        </is>
      </c>
      <c r="B155" t="inlineStr">
        <is>
          <t>Parsley</t>
        </is>
      </c>
      <c r="C155" s="22" t="inlineStr">
        <is>
          <t>12CT</t>
        </is>
      </c>
      <c r="E155" s="23" t="n"/>
      <c r="I155" s="35" t="inlineStr">
        <is>
          <t>By Each</t>
        </is>
      </c>
      <c r="J155" s="24">
        <f>D155/12</f>
        <v/>
      </c>
      <c r="K155" s="30" t="n"/>
      <c r="L155" s="37" t="n"/>
      <c r="N155" s="27" t="n"/>
      <c r="R155" s="10">
        <f>P155-Q155</f>
        <v/>
      </c>
      <c r="S155" s="29">
        <f>R155/P155</f>
        <v/>
      </c>
    </row>
    <row r="156">
      <c r="C156" s="33" t="n"/>
      <c r="E156" s="23" t="n"/>
      <c r="F156" s="33" t="n"/>
      <c r="N156" s="27" t="n"/>
    </row>
    <row r="157">
      <c r="A157" s="1" t="inlineStr">
        <is>
          <t>7150972</t>
        </is>
      </c>
      <c r="B157" t="inlineStr">
        <is>
          <t>Packer Broccoli Floret Fresh (6) 3lb</t>
        </is>
      </c>
      <c r="C157" s="22" t="inlineStr">
        <is>
          <t>12/2#</t>
        </is>
      </c>
      <c r="E157" s="23" t="n"/>
      <c r="I157" s="69" t="inlineStr">
        <is>
          <t>By LB</t>
        </is>
      </c>
      <c r="J157" s="34">
        <f>38.89/18</f>
        <v/>
      </c>
      <c r="K157" s="30" t="n"/>
      <c r="L157" s="8" t="inlineStr">
        <is>
          <t>BY OUNCE</t>
        </is>
      </c>
      <c r="N157" s="27" t="n"/>
      <c r="R157" s="10">
        <f>P157-Q157</f>
        <v/>
      </c>
      <c r="S157" s="29">
        <f>R157/P157</f>
        <v/>
      </c>
    </row>
    <row r="158">
      <c r="A158" s="1" t="inlineStr">
        <is>
          <t>4615555</t>
        </is>
      </c>
      <c r="B158" t="inlineStr">
        <is>
          <t>PaCKER Pepper Bell Green Chopper</t>
        </is>
      </c>
      <c r="C158" s="22" t="inlineStr">
        <is>
          <t>25lb</t>
        </is>
      </c>
      <c r="E158" s="23" t="n"/>
      <c r="I158" s="35" t="inlineStr">
        <is>
          <t>By LB</t>
        </is>
      </c>
      <c r="J158" s="34">
        <f>33.01/25</f>
        <v/>
      </c>
      <c r="L158" s="37" t="inlineStr">
        <is>
          <t>BY OUNCE</t>
        </is>
      </c>
      <c r="R158" s="10">
        <f>P158-Q158</f>
        <v/>
      </c>
      <c r="S158" s="29">
        <f>R158/P158</f>
        <v/>
      </c>
    </row>
    <row r="159">
      <c r="A159" s="1" t="inlineStr">
        <is>
          <t>4615704</t>
        </is>
      </c>
      <c r="B159" t="inlineStr">
        <is>
          <t>Packer Red Bell Pepper</t>
        </is>
      </c>
      <c r="E159" s="23" t="n"/>
      <c r="I159" s="35" t="n"/>
      <c r="L159" s="37" t="n"/>
      <c r="R159" s="10">
        <f>P159-Q159</f>
        <v/>
      </c>
      <c r="S159" s="29">
        <f>R159/P159</f>
        <v/>
      </c>
    </row>
    <row r="160">
      <c r="A160" s="1" t="inlineStr">
        <is>
          <t>1185156</t>
        </is>
      </c>
      <c r="B160" t="inlineStr">
        <is>
          <t>Jalepeno Fresh 5lb</t>
        </is>
      </c>
      <c r="E160" s="23" t="n"/>
      <c r="F160" s="16" t="inlineStr">
        <is>
          <t>1lb</t>
        </is>
      </c>
      <c r="G160" t="inlineStr">
        <is>
          <t>Jalapeno</t>
        </is>
      </c>
      <c r="H160" s="1" t="inlineStr">
        <is>
          <t>00448435</t>
        </is>
      </c>
      <c r="I160" s="35" t="inlineStr">
        <is>
          <t>By LB</t>
        </is>
      </c>
      <c r="J160" s="34">
        <f>12/5</f>
        <v/>
      </c>
      <c r="K160" s="23">
        <f>E160</f>
        <v/>
      </c>
      <c r="L160" s="37" t="inlineStr">
        <is>
          <t>By Ounce</t>
        </is>
      </c>
      <c r="M160" s="34">
        <f>J160/16</f>
        <v/>
      </c>
      <c r="N160" s="10">
        <f>K160/16</f>
        <v/>
      </c>
      <c r="P160" s="10">
        <f>J160*5</f>
        <v/>
      </c>
      <c r="Q160" s="10">
        <f>K160*5</f>
        <v/>
      </c>
      <c r="R160" s="10">
        <f>P160-Q160</f>
        <v/>
      </c>
      <c r="S160" s="29">
        <f>R160/P160</f>
        <v/>
      </c>
    </row>
    <row r="161">
      <c r="B161" t="inlineStr">
        <is>
          <t>Hummus</t>
        </is>
      </c>
      <c r="E161" s="23" t="n"/>
      <c r="R161" s="10">
        <f>P161-Q161</f>
        <v/>
      </c>
      <c r="S161" s="29">
        <f>R161/P161</f>
        <v/>
      </c>
    </row>
    <row r="162">
      <c r="C162" s="32" t="n"/>
      <c r="E162" s="23" t="n"/>
      <c r="F162" s="52" t="n"/>
      <c r="I162" s="32" t="n"/>
      <c r="L162" s="23" t="n"/>
    </row>
    <row customHeight="1" ht="28.5" r="163">
      <c r="A163" s="12" t="n"/>
      <c r="B163" s="13" t="inlineStr">
        <is>
          <t>Poultry</t>
        </is>
      </c>
      <c r="C163" s="17" t="n"/>
      <c r="E163" s="23" t="n"/>
      <c r="I163" s="17" t="n"/>
      <c r="J163" s="18" t="n"/>
      <c r="K163" s="15" t="n"/>
      <c r="L163" s="15" t="n"/>
      <c r="M163" s="18" t="n"/>
      <c r="N163" s="19" t="n"/>
      <c r="O163" s="19" t="n"/>
      <c r="P163" s="19" t="n"/>
      <c r="Q163" s="19" t="n"/>
      <c r="R163" s="19" t="n"/>
      <c r="S163" s="19" t="n"/>
    </row>
    <row customHeight="1" ht="21" r="164">
      <c r="B164" s="2" t="inlineStr">
        <is>
          <t>Chicken Wings</t>
        </is>
      </c>
      <c r="C164" s="33" t="n"/>
      <c r="E164" s="23" t="n"/>
      <c r="F164" s="33" t="n"/>
      <c r="N164" s="27" t="n"/>
    </row>
    <row r="165">
      <c r="A165" s="20" t="inlineStr">
        <is>
          <t>9556481</t>
        </is>
      </c>
      <c r="B165" s="21" t="inlineStr">
        <is>
          <t>Chicken Wing Large</t>
        </is>
      </c>
      <c r="C165" s="22" t="inlineStr">
        <is>
          <t>(4) 10lb</t>
        </is>
      </c>
      <c r="E165" s="23" t="n"/>
      <c r="F165" s="16" t="inlineStr">
        <is>
          <t>(4) 10lb</t>
        </is>
      </c>
      <c r="G165" t="inlineStr">
        <is>
          <t>Chicken Wing Cut Jumbo</t>
        </is>
      </c>
      <c r="H165" s="20" t="inlineStr">
        <is>
          <t>00227061</t>
        </is>
      </c>
      <c r="I165" s="69" t="inlineStr">
        <is>
          <t>BY LB</t>
        </is>
      </c>
      <c r="J165" s="24">
        <f>D165/40</f>
        <v/>
      </c>
      <c r="K165" s="36">
        <f>E165</f>
        <v/>
      </c>
      <c r="L165" s="8" t="inlineStr">
        <is>
          <t>BY OUNCE</t>
        </is>
      </c>
      <c r="M165" s="34">
        <f>J165/16</f>
        <v/>
      </c>
      <c r="N165" s="27">
        <f>K165/16</f>
        <v/>
      </c>
      <c r="P165" s="10">
        <f>J165*40</f>
        <v/>
      </c>
      <c r="Q165" s="10">
        <f>K165*40</f>
        <v/>
      </c>
      <c r="R165" s="10">
        <f>P165-Q165</f>
        <v/>
      </c>
      <c r="S165" s="29">
        <f>R165/P165</f>
        <v/>
      </c>
      <c r="U165" s="58" t="n"/>
    </row>
    <row r="166">
      <c r="A166" s="20" t="inlineStr">
        <is>
          <t>6344790</t>
        </is>
      </c>
      <c r="B166" s="21" t="inlineStr">
        <is>
          <t>Chicken Wing Jumbo</t>
        </is>
      </c>
      <c r="C166" s="22" t="inlineStr">
        <is>
          <t>(4) 10lb</t>
        </is>
      </c>
      <c r="E166" s="23" t="n"/>
      <c r="I166" s="69" t="inlineStr">
        <is>
          <t>By LB</t>
        </is>
      </c>
      <c r="J166" s="24">
        <f>D166/40</f>
        <v/>
      </c>
      <c r="L166" s="8" t="inlineStr">
        <is>
          <t>By OUnce</t>
        </is>
      </c>
      <c r="M166" s="34">
        <f>J166/16</f>
        <v/>
      </c>
      <c r="N166" s="27" t="n"/>
      <c r="P166" s="10">
        <f>J166*40</f>
        <v/>
      </c>
      <c r="R166" s="10">
        <f>P166-Q166</f>
        <v/>
      </c>
      <c r="S166" s="29">
        <f>R166/P166</f>
        <v/>
      </c>
      <c r="U166" s="58" t="n"/>
    </row>
    <row r="167">
      <c r="A167" s="20" t="inlineStr">
        <is>
          <t>4132494</t>
        </is>
      </c>
      <c r="B167" s="21" t="inlineStr">
        <is>
          <t>Chicken Wings Large 7-10</t>
        </is>
      </c>
      <c r="C167" s="22" t="inlineStr">
        <is>
          <t>(4) 10lb</t>
        </is>
      </c>
      <c r="E167" s="23" t="n"/>
      <c r="J167" s="24" t="n"/>
      <c r="N167" s="27" t="n"/>
      <c r="S167" s="29" t="n"/>
      <c r="U167" s="58" t="n"/>
    </row>
    <row r="168">
      <c r="A168" s="20" t="inlineStr">
        <is>
          <t>4132494</t>
        </is>
      </c>
      <c r="B168" s="21" t="inlineStr">
        <is>
          <t>Chicken Wind 1st and 2nd Joint Large</t>
        </is>
      </c>
      <c r="C168" s="22" t="inlineStr">
        <is>
          <t>(4) 10lb</t>
        </is>
      </c>
      <c r="E168" s="23" t="n"/>
      <c r="I168" s="69" t="inlineStr">
        <is>
          <t>By LB</t>
        </is>
      </c>
      <c r="J168" s="24">
        <f>D168/40</f>
        <v/>
      </c>
      <c r="N168" s="27" t="n"/>
      <c r="R168" s="10">
        <f>P168-Q168</f>
        <v/>
      </c>
      <c r="S168" s="29">
        <f>R168/P168</f>
        <v/>
      </c>
    </row>
    <row r="169">
      <c r="C169" s="33" t="n"/>
      <c r="E169" s="23" t="n"/>
      <c r="F169" s="33" t="n"/>
      <c r="N169" s="27" t="n"/>
    </row>
    <row customHeight="1" ht="21" r="170">
      <c r="B170" s="2" t="inlineStr">
        <is>
          <t>Chicken Breast</t>
        </is>
      </c>
      <c r="C170" s="33" t="n"/>
      <c r="E170" s="23" t="n"/>
      <c r="F170" s="33" t="n"/>
      <c r="N170" s="27" t="n"/>
    </row>
    <row r="171">
      <c r="A171" s="20" t="inlineStr">
        <is>
          <t>7203474</t>
        </is>
      </c>
      <c r="B171" s="21" t="inlineStr">
        <is>
          <t xml:space="preserve">Chicken Breast RDM Jumbo 10oz and up </t>
        </is>
      </c>
      <c r="C171" s="22" t="inlineStr">
        <is>
          <t>(4) 10lb</t>
        </is>
      </c>
      <c r="E171" s="23" t="n"/>
      <c r="F171" s="16" t="inlineStr">
        <is>
          <t>(4) 10LB</t>
        </is>
      </c>
      <c r="G171" t="inlineStr">
        <is>
          <t>Chicken Breast</t>
        </is>
      </c>
      <c r="H171" s="20" t="inlineStr">
        <is>
          <t>10092961</t>
        </is>
      </c>
      <c r="I171" s="69" t="inlineStr">
        <is>
          <t>By LB</t>
        </is>
      </c>
      <c r="J171" s="24">
        <f>D171/40</f>
        <v/>
      </c>
      <c r="K171" s="36">
        <f>E171</f>
        <v/>
      </c>
      <c r="L171" s="8" t="inlineStr">
        <is>
          <t>BY OUNCE</t>
        </is>
      </c>
      <c r="M171" s="34">
        <f>J171/16</f>
        <v/>
      </c>
      <c r="N171" s="27">
        <f>K171/16</f>
        <v/>
      </c>
      <c r="P171" s="10">
        <f>J171*40</f>
        <v/>
      </c>
      <c r="Q171" s="10">
        <f>K171*40</f>
        <v/>
      </c>
      <c r="R171" s="10">
        <f>P171-Q171</f>
        <v/>
      </c>
      <c r="S171" s="29">
        <f>R171/P171</f>
        <v/>
      </c>
    </row>
    <row r="172">
      <c r="C172" s="33" t="n"/>
      <c r="E172" s="23" t="n"/>
      <c r="F172" s="33" t="n"/>
      <c r="N172" s="27" t="n"/>
    </row>
    <row customHeight="1" ht="21" r="173">
      <c r="B173" s="2" t="inlineStr">
        <is>
          <t>Chicken Tenders</t>
        </is>
      </c>
      <c r="C173" s="33" t="n"/>
      <c r="E173" s="23" t="n"/>
      <c r="F173" s="33" t="n"/>
      <c r="N173" s="27" t="n"/>
    </row>
    <row r="174">
      <c r="A174" s="20" t="inlineStr">
        <is>
          <t>7667363</t>
        </is>
      </c>
      <c r="B174" s="21" t="inlineStr">
        <is>
          <t>Chicken Breast Tender Jumbo</t>
        </is>
      </c>
      <c r="C174" s="22" t="inlineStr">
        <is>
          <t>(4) 10lb</t>
        </is>
      </c>
      <c r="E174" s="23" t="n"/>
      <c r="F174" s="16" t="inlineStr">
        <is>
          <t>(4) 10lb</t>
        </is>
      </c>
      <c r="G174" t="inlineStr">
        <is>
          <t>CHIX Tender Jumbo Clipped CVP</t>
        </is>
      </c>
      <c r="H174" s="20" t="inlineStr">
        <is>
          <t>00227059</t>
        </is>
      </c>
      <c r="I174" s="69" t="inlineStr">
        <is>
          <t>BY LB</t>
        </is>
      </c>
      <c r="J174" s="24">
        <f>D174/40</f>
        <v/>
      </c>
      <c r="K174" s="36">
        <f>E174</f>
        <v/>
      </c>
      <c r="L174" s="8" t="inlineStr">
        <is>
          <t>BY OUNCE</t>
        </is>
      </c>
      <c r="M174" s="34">
        <f>J174/16</f>
        <v/>
      </c>
      <c r="N174" s="27">
        <f>K174/16</f>
        <v/>
      </c>
      <c r="P174" s="10">
        <f>J174*40</f>
        <v/>
      </c>
      <c r="Q174" s="10">
        <f>K174*40</f>
        <v/>
      </c>
      <c r="R174" s="10">
        <f>P174-Q174</f>
        <v/>
      </c>
      <c r="S174" s="29">
        <f>R174/P174</f>
        <v/>
      </c>
    </row>
    <row r="175">
      <c r="A175" s="20" t="inlineStr">
        <is>
          <t>6251908</t>
        </is>
      </c>
      <c r="B175" s="21" t="inlineStr">
        <is>
          <t>Chicken Breast Tender 1.5-2oz</t>
        </is>
      </c>
      <c r="C175" s="22" t="inlineStr">
        <is>
          <t>(4) 10lb</t>
        </is>
      </c>
      <c r="E175" s="23" t="n"/>
      <c r="I175" s="69" t="inlineStr">
        <is>
          <t>By LB</t>
        </is>
      </c>
      <c r="J175" s="24">
        <f>D175/40</f>
        <v/>
      </c>
      <c r="N175" s="27" t="n"/>
      <c r="R175" s="10">
        <f>P175-Q175</f>
        <v/>
      </c>
      <c r="S175" s="29">
        <f>R175/P175</f>
        <v/>
      </c>
    </row>
    <row r="176">
      <c r="C176" s="32" t="n"/>
      <c r="E176" s="23" t="n"/>
      <c r="F176" s="52" t="n"/>
      <c r="I176" s="32" t="n"/>
      <c r="L176" s="23" t="n"/>
    </row>
    <row customHeight="1" ht="28.5" r="177">
      <c r="A177" s="12" t="n"/>
      <c r="B177" s="13" t="inlineStr">
        <is>
          <t>DAIRY</t>
        </is>
      </c>
      <c r="C177" s="17" t="n"/>
      <c r="E177" s="23" t="n"/>
      <c r="I177" s="17" t="n"/>
      <c r="J177" s="18" t="n"/>
      <c r="K177" s="15" t="n"/>
      <c r="L177" s="15" t="n"/>
      <c r="M177" s="18" t="n"/>
      <c r="N177" s="13" t="n"/>
      <c r="O177" s="13" t="n"/>
      <c r="P177" s="19" t="n"/>
      <c r="Q177" s="19" t="n"/>
      <c r="R177" s="19" t="n"/>
      <c r="S177" s="19" t="n"/>
    </row>
    <row r="178">
      <c r="A178" s="20" t="inlineStr">
        <is>
          <t>4851414</t>
        </is>
      </c>
      <c r="B178" s="21" t="inlineStr">
        <is>
          <t xml:space="preserve">Buttermilk </t>
        </is>
      </c>
      <c r="C178" s="22" t="inlineStr">
        <is>
          <t>(9) 64oz</t>
        </is>
      </c>
      <c r="E178" s="23" t="n"/>
      <c r="F178" s="16" t="inlineStr">
        <is>
          <t>(9) 64oz</t>
        </is>
      </c>
      <c r="G178" t="inlineStr">
        <is>
          <t>Buttermilk 1.5%</t>
        </is>
      </c>
      <c r="H178" s="20" t="inlineStr">
        <is>
          <t>10094937</t>
        </is>
      </c>
      <c r="I178" s="69" t="inlineStr">
        <is>
          <t>1/2 Gallon</t>
        </is>
      </c>
      <c r="J178" s="24">
        <f>D178/9</f>
        <v/>
      </c>
      <c r="K178" s="59">
        <f>E178/9</f>
        <v/>
      </c>
      <c r="L178" s="8" t="inlineStr">
        <is>
          <t>BY OUNCE</t>
        </is>
      </c>
      <c r="M178" s="34">
        <f>J178/64</f>
        <v/>
      </c>
      <c r="N178" s="27">
        <f>K178/64</f>
        <v/>
      </c>
      <c r="P178" s="10">
        <f>J178*9</f>
        <v/>
      </c>
      <c r="Q178" s="10">
        <f>K178*9</f>
        <v/>
      </c>
      <c r="R178" s="10">
        <f>P178-Q178</f>
        <v/>
      </c>
      <c r="S178" s="29">
        <f>R178/P178</f>
        <v/>
      </c>
    </row>
    <row r="179">
      <c r="A179" s="20" t="inlineStr">
        <is>
          <t>1203207</t>
        </is>
      </c>
      <c r="B179" s="21" t="inlineStr">
        <is>
          <t>Sour Cream</t>
        </is>
      </c>
      <c r="C179" s="22" t="inlineStr">
        <is>
          <t>(4) 5lb</t>
        </is>
      </c>
      <c r="E179" s="23" t="n"/>
      <c r="F179" s="16" t="inlineStr">
        <is>
          <t>(4) 5lb</t>
        </is>
      </c>
      <c r="G179" t="inlineStr">
        <is>
          <t>Sour Cream</t>
        </is>
      </c>
      <c r="H179" s="20" t="inlineStr">
        <is>
          <t>00192008</t>
        </is>
      </c>
      <c r="I179" s="35" t="inlineStr">
        <is>
          <t>By LB</t>
        </is>
      </c>
      <c r="J179" s="24">
        <f>D179/20</f>
        <v/>
      </c>
      <c r="K179" s="36">
        <f>E179/20</f>
        <v/>
      </c>
      <c r="L179" s="8" t="inlineStr">
        <is>
          <t>BY OUNCE</t>
        </is>
      </c>
      <c r="M179" s="34">
        <f>J179/16</f>
        <v/>
      </c>
      <c r="N179">
        <f>K179/16</f>
        <v/>
      </c>
      <c r="P179" s="10">
        <f>J179*20</f>
        <v/>
      </c>
      <c r="Q179" s="10">
        <f>K179*20</f>
        <v/>
      </c>
      <c r="R179" s="10">
        <f>P179-Q179</f>
        <v/>
      </c>
      <c r="S179" s="29">
        <f>R179/P179</f>
        <v/>
      </c>
    </row>
    <row r="180">
      <c r="A180" s="20" t="inlineStr">
        <is>
          <t>4021044</t>
        </is>
      </c>
      <c r="B180" s="21" t="inlineStr">
        <is>
          <t>Sour Cream Cultured</t>
        </is>
      </c>
      <c r="C180" s="22" t="inlineStr">
        <is>
          <t>(1) 32lb</t>
        </is>
      </c>
      <c r="E180" s="23" t="n"/>
      <c r="I180" s="35" t="inlineStr">
        <is>
          <t>By LB</t>
        </is>
      </c>
      <c r="J180" s="24">
        <f>D180/32</f>
        <v/>
      </c>
      <c r="R180" s="10">
        <f>P180-Q180</f>
        <v/>
      </c>
      <c r="S180" s="29">
        <f>R180/P180</f>
        <v/>
      </c>
    </row>
    <row r="181">
      <c r="A181" s="20" t="inlineStr">
        <is>
          <t>6809638</t>
        </is>
      </c>
      <c r="B181" s="21" t="inlineStr">
        <is>
          <t>Cheese Mozzaralla Shredded</t>
        </is>
      </c>
      <c r="C181" s="22" t="inlineStr">
        <is>
          <t>(6) 5lb</t>
        </is>
      </c>
      <c r="E181" s="23" t="n"/>
      <c r="F181" s="16" t="inlineStr">
        <is>
          <t>(6) 5lb</t>
        </is>
      </c>
      <c r="G181" t="inlineStr">
        <is>
          <t>Mozzarella Shredded 3% Whole Milk</t>
        </is>
      </c>
      <c r="H181" s="20" t="inlineStr">
        <is>
          <t>00178012</t>
        </is>
      </c>
      <c r="I181" s="69" t="inlineStr">
        <is>
          <t>By LB</t>
        </is>
      </c>
      <c r="J181" s="24">
        <f>D181/20</f>
        <v/>
      </c>
      <c r="K181" s="59">
        <f>E181</f>
        <v/>
      </c>
      <c r="L181" s="8" t="inlineStr">
        <is>
          <t>By Ounce</t>
        </is>
      </c>
      <c r="M181" s="34">
        <f>J181</f>
        <v/>
      </c>
      <c r="N181" s="27">
        <f>K181</f>
        <v/>
      </c>
      <c r="P181" s="10">
        <f>J181*30</f>
        <v/>
      </c>
      <c r="Q181" s="10">
        <f>K181*30</f>
        <v/>
      </c>
      <c r="R181" s="10">
        <f>P181-Q181</f>
        <v/>
      </c>
      <c r="S181" s="29">
        <f>R181/P181</f>
        <v/>
      </c>
    </row>
    <row r="182">
      <c r="A182" s="20" t="inlineStr">
        <is>
          <t>2331690</t>
        </is>
      </c>
      <c r="B182" s="21" t="inlineStr">
        <is>
          <t>Cheese Mozzarella Shredded</t>
        </is>
      </c>
      <c r="C182" s="22" t="inlineStr">
        <is>
          <t>(4) 5lb</t>
        </is>
      </c>
      <c r="E182" s="23" t="n"/>
      <c r="F182" s="16" t="inlineStr">
        <is>
          <t>(4) 5lb</t>
        </is>
      </c>
      <c r="G182" t="inlineStr">
        <is>
          <t>Mozzarella Shredded Whole Milk</t>
        </is>
      </c>
      <c r="H182" s="20" t="inlineStr">
        <is>
          <t>00178300</t>
        </is>
      </c>
      <c r="I182" s="69" t="inlineStr">
        <is>
          <t>By LB</t>
        </is>
      </c>
      <c r="J182" s="24">
        <f>D182/20</f>
        <v/>
      </c>
      <c r="K182" s="59">
        <f>E182</f>
        <v/>
      </c>
      <c r="L182" s="8" t="inlineStr">
        <is>
          <t>By Ounce</t>
        </is>
      </c>
      <c r="M182" s="34">
        <f>J182</f>
        <v/>
      </c>
      <c r="N182" s="27">
        <f>K182</f>
        <v/>
      </c>
      <c r="P182" s="10">
        <f>J182*30</f>
        <v/>
      </c>
      <c r="Q182" s="10">
        <f>K182*30</f>
        <v/>
      </c>
      <c r="R182" s="10">
        <f>P182-Q182</f>
        <v/>
      </c>
      <c r="S182" s="29">
        <f>R182/P182</f>
        <v/>
      </c>
    </row>
    <row r="183">
      <c r="A183" s="20" t="inlineStr">
        <is>
          <t>2819649</t>
        </is>
      </c>
      <c r="B183" t="inlineStr">
        <is>
          <t>Cheese Cheddar Mild Fancy Shredded</t>
        </is>
      </c>
      <c r="C183" s="22" t="inlineStr">
        <is>
          <t>(4) 5lb</t>
        </is>
      </c>
      <c r="E183" s="23" t="n"/>
      <c r="F183" s="16" t="inlineStr">
        <is>
          <t>(4) 5lb</t>
        </is>
      </c>
      <c r="G183" t="inlineStr">
        <is>
          <t>Cheddar jack Shredded  feather</t>
        </is>
      </c>
      <c r="H183" s="20" t="inlineStr">
        <is>
          <t>00168001</t>
        </is>
      </c>
      <c r="I183" s="69" t="inlineStr">
        <is>
          <t>By LB</t>
        </is>
      </c>
      <c r="J183" s="24">
        <f>D183/20</f>
        <v/>
      </c>
      <c r="K183" s="59">
        <f>E183</f>
        <v/>
      </c>
      <c r="L183" s="8" t="inlineStr">
        <is>
          <t>BY OUNCE</t>
        </is>
      </c>
      <c r="M183" s="34">
        <f>J183/16</f>
        <v/>
      </c>
      <c r="N183" s="27">
        <f>K183/16</f>
        <v/>
      </c>
      <c r="P183" s="10">
        <f>J183*20</f>
        <v/>
      </c>
      <c r="Q183" s="10">
        <f>K183*20</f>
        <v/>
      </c>
      <c r="R183" s="10">
        <f>P183-Q183</f>
        <v/>
      </c>
      <c r="S183" s="29">
        <f>R183/P183</f>
        <v/>
      </c>
    </row>
    <row r="184">
      <c r="A184" s="20" t="inlineStr">
        <is>
          <t>3002973</t>
        </is>
      </c>
      <c r="B184" t="inlineStr">
        <is>
          <t xml:space="preserve">Cheddar Cheese Mild Print </t>
        </is>
      </c>
      <c r="C184" s="22" t="inlineStr">
        <is>
          <t>(1) 10lb</t>
        </is>
      </c>
      <c r="E184" s="23" t="n"/>
      <c r="F184" s="16" t="inlineStr">
        <is>
          <t>(8) 1.5lbs</t>
        </is>
      </c>
      <c r="G184" t="inlineStr">
        <is>
          <t>Cheddar Mild slices</t>
        </is>
      </c>
      <c r="H184" s="20" t="inlineStr">
        <is>
          <t>00107230</t>
        </is>
      </c>
      <c r="I184" s="69" t="inlineStr">
        <is>
          <t>By LB</t>
        </is>
      </c>
      <c r="J184" s="24">
        <f>D184</f>
        <v/>
      </c>
      <c r="K184" s="59">
        <f>E184/12</f>
        <v/>
      </c>
      <c r="L184" s="8" t="inlineStr">
        <is>
          <t>BY OUNCE</t>
        </is>
      </c>
      <c r="M184" s="34">
        <f>J184/16</f>
        <v/>
      </c>
      <c r="N184" s="27">
        <f>K184/16</f>
        <v/>
      </c>
      <c r="P184" s="10">
        <f>J184*12</f>
        <v/>
      </c>
      <c r="Q184" s="10">
        <f>K184*12</f>
        <v/>
      </c>
      <c r="R184" s="10">
        <f>P184-Q184</f>
        <v/>
      </c>
      <c r="S184" s="29">
        <f>R184/P184</f>
        <v/>
      </c>
    </row>
    <row r="185">
      <c r="A185" s="20" t="inlineStr">
        <is>
          <t>6935464</t>
        </is>
      </c>
      <c r="B185" s="21" t="inlineStr">
        <is>
          <t>Heavy Cream (12) 32oz</t>
        </is>
      </c>
      <c r="C185" s="22" t="inlineStr">
        <is>
          <t>(12) 32oz</t>
        </is>
      </c>
      <c r="E185" s="23" t="n"/>
      <c r="F185" s="16" t="inlineStr">
        <is>
          <t>(12) 1qt</t>
        </is>
      </c>
      <c r="G185" t="inlineStr">
        <is>
          <t>Heavy Whipping Cream</t>
        </is>
      </c>
      <c r="H185" s="20" t="inlineStr">
        <is>
          <t>10081573</t>
        </is>
      </c>
      <c r="I185" s="69" t="inlineStr">
        <is>
          <t>By Ounce</t>
        </is>
      </c>
      <c r="J185" s="24">
        <f>D185/384</f>
        <v/>
      </c>
      <c r="K185" s="59">
        <f>E185/384</f>
        <v/>
      </c>
      <c r="L185" s="8" t="inlineStr">
        <is>
          <t>BY OUNCE</t>
        </is>
      </c>
      <c r="M185" s="34">
        <f>J185</f>
        <v/>
      </c>
      <c r="N185" s="27">
        <f>K185</f>
        <v/>
      </c>
      <c r="P185" s="10">
        <f>J185*384</f>
        <v/>
      </c>
      <c r="Q185" s="10">
        <f>K185*384</f>
        <v/>
      </c>
      <c r="R185" s="10">
        <f>P185-Q185</f>
        <v/>
      </c>
      <c r="S185" s="29">
        <f>R185/P185</f>
        <v/>
      </c>
    </row>
    <row r="186">
      <c r="A186" s="20" t="inlineStr">
        <is>
          <t>4828802</t>
        </is>
      </c>
      <c r="B186" s="21" t="inlineStr">
        <is>
          <t>Heavy Whipping Cream</t>
        </is>
      </c>
      <c r="C186" s="22" t="inlineStr">
        <is>
          <t>(12) 32oz</t>
        </is>
      </c>
      <c r="E186" s="23" t="n"/>
      <c r="I186" s="69" t="inlineStr">
        <is>
          <t>By Ounce</t>
        </is>
      </c>
      <c r="J186" s="24">
        <f>D186/384</f>
        <v/>
      </c>
      <c r="K186" s="60" t="n"/>
      <c r="N186" s="27" t="n"/>
      <c r="R186" s="10">
        <f>P186-Q186</f>
        <v/>
      </c>
      <c r="S186" s="29">
        <f>R186/P186</f>
        <v/>
      </c>
    </row>
    <row r="187">
      <c r="A187" s="20" t="inlineStr">
        <is>
          <t>1012566</t>
        </is>
      </c>
      <c r="B187" t="inlineStr">
        <is>
          <t xml:space="preserve">Cream Cheese Loaf </t>
        </is>
      </c>
      <c r="C187" s="22" t="inlineStr">
        <is>
          <t>(1) 3lb</t>
        </is>
      </c>
      <c r="E187" s="23" t="n"/>
      <c r="I187" s="69" t="inlineStr">
        <is>
          <t>By LB</t>
        </is>
      </c>
      <c r="J187" s="24">
        <f>D187/3</f>
        <v/>
      </c>
      <c r="K187" s="60">
        <f>E187</f>
        <v/>
      </c>
      <c r="M187" s="34">
        <f>J187/16</f>
        <v/>
      </c>
      <c r="N187" s="27">
        <f>K187/16</f>
        <v/>
      </c>
      <c r="P187" s="10">
        <f>D187</f>
        <v/>
      </c>
      <c r="Q187" s="10">
        <f>E187</f>
        <v/>
      </c>
      <c r="R187" s="10">
        <f>P187-Q187</f>
        <v/>
      </c>
      <c r="S187" s="29">
        <f>R187/P187</f>
        <v/>
      </c>
    </row>
    <row r="188">
      <c r="A188" s="20" t="inlineStr">
        <is>
          <t>4066049</t>
        </is>
      </c>
      <c r="B188" t="inlineStr">
        <is>
          <t xml:space="preserve">Provolone Non Smoked </t>
        </is>
      </c>
      <c r="C188" s="22" t="inlineStr">
        <is>
          <t>(2) 6lb</t>
        </is>
      </c>
      <c r="E188" s="23" t="n"/>
      <c r="F188" s="16" t="inlineStr">
        <is>
          <t>(3) 12lb</t>
        </is>
      </c>
      <c r="G188" t="inlineStr">
        <is>
          <t>Provolone</t>
        </is>
      </c>
      <c r="H188" s="20" t="inlineStr">
        <is>
          <t>00178055</t>
        </is>
      </c>
      <c r="I188" s="69" t="inlineStr">
        <is>
          <t>By LB</t>
        </is>
      </c>
      <c r="J188" s="24">
        <f>D188</f>
        <v/>
      </c>
      <c r="K188" s="36">
        <f>E188</f>
        <v/>
      </c>
      <c r="M188" s="34">
        <f>J188/16</f>
        <v/>
      </c>
      <c r="N188">
        <f>K188/16</f>
        <v/>
      </c>
      <c r="P188" s="10">
        <f>J188*36</f>
        <v/>
      </c>
      <c r="Q188" s="10">
        <f>K188*36</f>
        <v/>
      </c>
      <c r="R188" s="10">
        <f>P188-Q188</f>
        <v/>
      </c>
      <c r="S188" s="29">
        <f>R188/P188</f>
        <v/>
      </c>
    </row>
    <row r="189">
      <c r="A189" s="20" t="inlineStr">
        <is>
          <t>2330474</t>
        </is>
      </c>
      <c r="B189" t="inlineStr">
        <is>
          <t xml:space="preserve">Provolone Non Smoked (2) 6lb </t>
        </is>
      </c>
      <c r="C189" s="22" t="inlineStr">
        <is>
          <t>(3) 12lb</t>
        </is>
      </c>
      <c r="E189" s="23" t="n"/>
      <c r="I189" s="69" t="inlineStr">
        <is>
          <t>By LB</t>
        </is>
      </c>
      <c r="J189" s="24">
        <f>D189</f>
        <v/>
      </c>
      <c r="R189" s="10">
        <f>P189-Q189</f>
        <v/>
      </c>
      <c r="S189" s="29">
        <f>R189/P189</f>
        <v/>
      </c>
    </row>
    <row r="190">
      <c r="A190" s="20" t="inlineStr">
        <is>
          <t>6697114</t>
        </is>
      </c>
      <c r="B190" s="21" t="inlineStr">
        <is>
          <t>Cheese American Slice (Yellow) 120 slice</t>
        </is>
      </c>
      <c r="C190" s="22" t="inlineStr">
        <is>
          <t>(4) 5lb</t>
        </is>
      </c>
      <c r="E190" s="23" t="n"/>
      <c r="F190" s="16" t="inlineStr">
        <is>
          <t>(4) 5lb</t>
        </is>
      </c>
      <c r="G190" t="inlineStr">
        <is>
          <t>American Cheese Yellow 120ct</t>
        </is>
      </c>
      <c r="H190" s="20" t="inlineStr">
        <is>
          <t>00164006</t>
        </is>
      </c>
      <c r="I190" s="69" t="inlineStr">
        <is>
          <t>By LB</t>
        </is>
      </c>
      <c r="J190" s="24">
        <f>D190/20</f>
        <v/>
      </c>
      <c r="K190" s="36">
        <f>E190</f>
        <v/>
      </c>
      <c r="L190" s="8" t="inlineStr">
        <is>
          <t>By Slice</t>
        </is>
      </c>
      <c r="P190" s="10">
        <f>J190*20</f>
        <v/>
      </c>
      <c r="Q190" s="10">
        <f>K190*20</f>
        <v/>
      </c>
      <c r="R190" s="10">
        <f>P190-Q190</f>
        <v/>
      </c>
      <c r="S190" s="29">
        <f>R190/P190</f>
        <v/>
      </c>
    </row>
    <row r="191">
      <c r="A191" s="20" t="inlineStr">
        <is>
          <t>6697882</t>
        </is>
      </c>
      <c r="B191" s="21" t="inlineStr">
        <is>
          <t>Cheese American Slice (White)120 slice</t>
        </is>
      </c>
      <c r="C191" s="22" t="inlineStr">
        <is>
          <t>(4) 5lb</t>
        </is>
      </c>
      <c r="E191" s="23" t="n"/>
      <c r="J191" s="24">
        <f>D191/480</f>
        <v/>
      </c>
      <c r="K191" s="60" t="n"/>
      <c r="R191" s="10">
        <f>P191-Q191</f>
        <v/>
      </c>
      <c r="S191" s="29">
        <f>R191/P191</f>
        <v/>
      </c>
    </row>
    <row r="192">
      <c r="A192" s="20" t="inlineStr">
        <is>
          <t>4099418</t>
        </is>
      </c>
      <c r="B192" t="inlineStr">
        <is>
          <t>Cheese Mozz Frsh Log Slice</t>
        </is>
      </c>
      <c r="C192" s="22" t="inlineStr">
        <is>
          <t>(8) 1lb</t>
        </is>
      </c>
      <c r="E192" s="23" t="n"/>
      <c r="F192" s="16" t="inlineStr">
        <is>
          <t>(8) 1lb</t>
        </is>
      </c>
      <c r="G192" t="inlineStr">
        <is>
          <t>Mozzarella Log Slices Fresh</t>
        </is>
      </c>
      <c r="H192" s="20" t="inlineStr">
        <is>
          <t>00178206</t>
        </is>
      </c>
      <c r="I192" s="69" t="inlineStr">
        <is>
          <t>By LB</t>
        </is>
      </c>
      <c r="J192" s="24">
        <f>D192/8</f>
        <v/>
      </c>
      <c r="K192" s="59">
        <f>E192/8</f>
        <v/>
      </c>
      <c r="M192" s="34">
        <f>J192/16</f>
        <v/>
      </c>
      <c r="N192" s="27">
        <f>K192/16</f>
        <v/>
      </c>
      <c r="P192" s="10">
        <f>J192*8</f>
        <v/>
      </c>
      <c r="Q192" s="10">
        <f>K192*8</f>
        <v/>
      </c>
      <c r="R192" s="10">
        <f>P192-Q192</f>
        <v/>
      </c>
      <c r="S192" s="29">
        <f>R192/P192</f>
        <v/>
      </c>
    </row>
    <row r="193">
      <c r="A193" s="20" t="inlineStr">
        <is>
          <t>7027846</t>
        </is>
      </c>
      <c r="B193" t="inlineStr">
        <is>
          <t>Cheese Cotija (6) 2.2lbs</t>
        </is>
      </c>
      <c r="C193" s="22" t="inlineStr">
        <is>
          <t>(6) 2.2lb</t>
        </is>
      </c>
      <c r="E193" s="23" t="n"/>
      <c r="I193" s="69" t="inlineStr">
        <is>
          <t>By LB</t>
        </is>
      </c>
      <c r="J193" s="24">
        <f>D193/13.2</f>
        <v/>
      </c>
      <c r="K193" s="59">
        <f>E193</f>
        <v/>
      </c>
      <c r="L193" s="8" t="inlineStr">
        <is>
          <t>BY OUNCE</t>
        </is>
      </c>
      <c r="M193" s="34">
        <f>J193/16</f>
        <v/>
      </c>
      <c r="N193" s="27">
        <f>K193/161</f>
        <v/>
      </c>
      <c r="P193" s="10">
        <f>J193*13.2</f>
        <v/>
      </c>
      <c r="Q193" s="10">
        <f>K193*13.2</f>
        <v/>
      </c>
      <c r="R193" s="10">
        <f>P193-Q193</f>
        <v/>
      </c>
      <c r="S193" s="29">
        <f>R193/P193</f>
        <v/>
      </c>
    </row>
    <row r="194">
      <c r="A194" s="20" t="inlineStr">
        <is>
          <t>0135632</t>
        </is>
      </c>
      <c r="B194" t="inlineStr">
        <is>
          <t>Cheese Feta Crumbles</t>
        </is>
      </c>
      <c r="C194" s="22" t="inlineStr">
        <is>
          <t>(2) 5lb</t>
        </is>
      </c>
      <c r="E194" s="23" t="n"/>
      <c r="F194" s="16" t="inlineStr">
        <is>
          <t>(2) 5lb</t>
        </is>
      </c>
      <c r="G194" t="inlineStr">
        <is>
          <t>Feta Crumbles</t>
        </is>
      </c>
      <c r="H194" s="20" t="inlineStr">
        <is>
          <t>00172018</t>
        </is>
      </c>
      <c r="I194" s="69" t="inlineStr">
        <is>
          <t>By LB</t>
        </is>
      </c>
      <c r="J194" s="24">
        <f>D194/10</f>
        <v/>
      </c>
      <c r="K194" s="59">
        <f>E194</f>
        <v/>
      </c>
      <c r="L194" s="8" t="inlineStr">
        <is>
          <t>BY OUNCE</t>
        </is>
      </c>
      <c r="M194" s="34">
        <f>J194/16</f>
        <v/>
      </c>
      <c r="N194" s="27">
        <f>K194/16</f>
        <v/>
      </c>
      <c r="P194" s="10">
        <f>J194*10</f>
        <v/>
      </c>
      <c r="Q194" s="10">
        <f>K194*10</f>
        <v/>
      </c>
      <c r="R194" s="10">
        <f>P194-Q194</f>
        <v/>
      </c>
      <c r="S194" s="29">
        <f>R194/P194</f>
        <v/>
      </c>
    </row>
    <row r="195">
      <c r="A195" s="20" t="inlineStr">
        <is>
          <t>2105849</t>
        </is>
      </c>
      <c r="B195" t="inlineStr">
        <is>
          <t>Egg Shell XLG</t>
        </is>
      </c>
      <c r="C195" s="22" t="inlineStr">
        <is>
          <t>15dzn</t>
        </is>
      </c>
      <c r="E195" s="23" t="n"/>
      <c r="F195" s="16" t="inlineStr">
        <is>
          <t>15 Dzn</t>
        </is>
      </c>
      <c r="G195" t="inlineStr">
        <is>
          <t xml:space="preserve">Eggs Extra Large Loose </t>
        </is>
      </c>
      <c r="H195" s="20" t="inlineStr">
        <is>
          <t>00188020</t>
        </is>
      </c>
      <c r="I195" s="69" t="inlineStr">
        <is>
          <t>By Each</t>
        </is>
      </c>
      <c r="J195" s="24">
        <f>D195/180</f>
        <v/>
      </c>
      <c r="K195" s="59">
        <f>E195/180</f>
        <v/>
      </c>
      <c r="N195" s="27" t="n"/>
      <c r="P195" s="10">
        <f>D195</f>
        <v/>
      </c>
      <c r="Q195" s="10">
        <f>E195</f>
        <v/>
      </c>
      <c r="R195" s="10">
        <f>P195-Q195</f>
        <v/>
      </c>
      <c r="S195" s="29">
        <f>R195/P195</f>
        <v/>
      </c>
    </row>
    <row r="196">
      <c r="A196" s="20" t="inlineStr">
        <is>
          <t>0698118</t>
        </is>
      </c>
      <c r="B196" t="inlineStr">
        <is>
          <t xml:space="preserve">AREZIMP Cheese Gorgonzola Crumbles </t>
        </is>
      </c>
      <c r="C196" s="22" t="inlineStr">
        <is>
          <t>(2) 5lb</t>
        </is>
      </c>
      <c r="E196" s="23" t="n"/>
      <c r="F196" s="16" t="inlineStr">
        <is>
          <t>(1) 5lb</t>
        </is>
      </c>
      <c r="G196" t="inlineStr">
        <is>
          <t>Gorgonzola Crumbles</t>
        </is>
      </c>
      <c r="H196" s="20" t="inlineStr">
        <is>
          <t>00166035</t>
        </is>
      </c>
      <c r="I196" s="69" t="inlineStr">
        <is>
          <t>By LB</t>
        </is>
      </c>
      <c r="J196" s="24">
        <f>D196/10</f>
        <v/>
      </c>
      <c r="K196" s="36">
        <f>E196/5</f>
        <v/>
      </c>
      <c r="L196" s="8" t="inlineStr">
        <is>
          <t>BY OUNCE</t>
        </is>
      </c>
      <c r="M196" s="34">
        <f>J196/16</f>
        <v/>
      </c>
      <c r="N196" s="10">
        <f>K196/16</f>
        <v/>
      </c>
      <c r="P196" s="10">
        <f>J196*10</f>
        <v/>
      </c>
      <c r="Q196" s="10">
        <f>K196*10</f>
        <v/>
      </c>
      <c r="R196" s="10">
        <f>P196-Q196</f>
        <v/>
      </c>
      <c r="S196" s="29">
        <f>R196/P196</f>
        <v/>
      </c>
    </row>
    <row r="197">
      <c r="A197" s="20" t="inlineStr">
        <is>
          <t>3554553</t>
        </is>
      </c>
      <c r="B197" t="inlineStr">
        <is>
          <t xml:space="preserve">Cheese Mont Pepper Jack Slice </t>
        </is>
      </c>
      <c r="C197" s="22" t="inlineStr">
        <is>
          <t>(8) 1.5lb</t>
        </is>
      </c>
      <c r="E197" s="23" t="n"/>
      <c r="F197" s="16" t="inlineStr">
        <is>
          <t>(8) 1.5lbs</t>
        </is>
      </c>
      <c r="G197" t="inlineStr">
        <is>
          <t>Monterey Jack Sliced</t>
        </is>
      </c>
      <c r="H197" s="20" t="inlineStr">
        <is>
          <t>00176090</t>
        </is>
      </c>
      <c r="I197" s="35" t="inlineStr">
        <is>
          <t>By LB</t>
        </is>
      </c>
      <c r="J197" s="24">
        <f>D197/12</f>
        <v/>
      </c>
      <c r="K197" s="23">
        <f>E197/12</f>
        <v/>
      </c>
      <c r="L197" s="37" t="inlineStr">
        <is>
          <t>BY OUNCE</t>
        </is>
      </c>
      <c r="M197" s="34">
        <f>J197/16</f>
        <v/>
      </c>
      <c r="N197" s="10">
        <f>K197/16</f>
        <v/>
      </c>
      <c r="P197" s="10">
        <f>J197*12</f>
        <v/>
      </c>
      <c r="Q197" s="10">
        <f>K197*12</f>
        <v/>
      </c>
      <c r="R197" s="10">
        <f>P197-Q197</f>
        <v/>
      </c>
      <c r="S197" s="29">
        <f>R197/P197</f>
        <v/>
      </c>
    </row>
    <row r="198">
      <c r="A198" s="20" t="inlineStr">
        <is>
          <t>7443773</t>
        </is>
      </c>
      <c r="B198" t="inlineStr">
        <is>
          <t xml:space="preserve">Cheese Monterey Pepper Jack </t>
        </is>
      </c>
      <c r="C198" s="22" t="inlineStr">
        <is>
          <t>(1) 10lb</t>
        </is>
      </c>
      <c r="E198" s="23" t="n"/>
      <c r="I198" s="35" t="inlineStr">
        <is>
          <t>By LB</t>
        </is>
      </c>
      <c r="J198" s="24">
        <f>D198/10</f>
        <v/>
      </c>
      <c r="L198" s="37" t="n"/>
      <c r="R198" s="10">
        <f>P198-Q198</f>
        <v/>
      </c>
      <c r="S198" s="29">
        <f>R198/P198</f>
        <v/>
      </c>
    </row>
    <row r="199">
      <c r="A199" s="20" t="inlineStr">
        <is>
          <t>2819773</t>
        </is>
      </c>
      <c r="B199" t="inlineStr">
        <is>
          <t xml:space="preserve">Cheese Monterey Jack Shredded </t>
        </is>
      </c>
      <c r="C199" s="22" t="inlineStr">
        <is>
          <t>(4) 5lb</t>
        </is>
      </c>
      <c r="E199" s="23" t="n"/>
      <c r="F199" s="16" t="inlineStr">
        <is>
          <t>(4) 5lb</t>
        </is>
      </c>
      <c r="G199" t="inlineStr">
        <is>
          <t>Monterey Jack shredded</t>
        </is>
      </c>
      <c r="H199" s="20" t="inlineStr">
        <is>
          <t>00176035</t>
        </is>
      </c>
      <c r="I199" s="35" t="inlineStr">
        <is>
          <t>By LB</t>
        </is>
      </c>
      <c r="J199" s="24">
        <f>D199/20</f>
        <v/>
      </c>
      <c r="K199" s="36">
        <f>E199</f>
        <v/>
      </c>
      <c r="L199" s="37" t="inlineStr">
        <is>
          <t>By Ounce</t>
        </is>
      </c>
      <c r="M199" s="34">
        <f>+J199/16</f>
        <v/>
      </c>
      <c r="N199" s="10">
        <f>K199/16</f>
        <v/>
      </c>
      <c r="P199" s="10">
        <f>J199*20</f>
        <v/>
      </c>
      <c r="Q199" s="10">
        <f>K199*20</f>
        <v/>
      </c>
      <c r="R199" s="10">
        <f>P199-Q199</f>
        <v/>
      </c>
      <c r="S199" s="29">
        <f>R199/P199</f>
        <v/>
      </c>
    </row>
    <row r="200">
      <c r="A200" s="20" t="inlineStr">
        <is>
          <t>5426937</t>
        </is>
      </c>
      <c r="B200" t="inlineStr">
        <is>
          <t>Buttern Whipped Salted</t>
        </is>
      </c>
      <c r="C200" s="22" t="inlineStr">
        <is>
          <t>(2) 5lb</t>
        </is>
      </c>
      <c r="E200" s="23" t="n"/>
      <c r="I200" s="35" t="inlineStr">
        <is>
          <t>By LB</t>
        </is>
      </c>
      <c r="J200" s="24">
        <f>D200/10</f>
        <v/>
      </c>
      <c r="L200" s="37" t="n"/>
      <c r="R200" s="10">
        <f>P200-Q200</f>
        <v/>
      </c>
      <c r="S200" s="29">
        <f>R200/P200</f>
        <v/>
      </c>
    </row>
    <row r="201">
      <c r="A201" s="20" t="inlineStr">
        <is>
          <t>4549099</t>
        </is>
      </c>
      <c r="B201" t="inlineStr">
        <is>
          <t>Margarine ZTF</t>
        </is>
      </c>
      <c r="C201" s="22" t="inlineStr">
        <is>
          <t>31#</t>
        </is>
      </c>
      <c r="E201" s="23" t="n"/>
      <c r="F201" s="16" t="inlineStr">
        <is>
          <t>(30) 1LB</t>
        </is>
      </c>
      <c r="I201" s="69" t="inlineStr">
        <is>
          <t>By LB</t>
        </is>
      </c>
      <c r="J201" s="24">
        <f>D201/31</f>
        <v/>
      </c>
      <c r="R201" s="10">
        <f>P201-Q201</f>
        <v/>
      </c>
      <c r="S201" s="29">
        <f>R201/P201</f>
        <v/>
      </c>
    </row>
    <row r="202">
      <c r="A202" s="20" t="inlineStr">
        <is>
          <t>3507201</t>
        </is>
      </c>
      <c r="B202" t="inlineStr">
        <is>
          <t>Maragrine Butter Blend 80/20</t>
        </is>
      </c>
      <c r="C202" s="22" t="inlineStr">
        <is>
          <t>(30) 1lb</t>
        </is>
      </c>
      <c r="E202" s="23" t="n"/>
      <c r="I202" s="69" t="inlineStr">
        <is>
          <t>By LB</t>
        </is>
      </c>
      <c r="J202" s="24">
        <f>D202/30</f>
        <v/>
      </c>
      <c r="R202" s="10">
        <f>P202-Q202</f>
        <v/>
      </c>
      <c r="S202" s="29">
        <f>R202/P202</f>
        <v/>
      </c>
    </row>
    <row r="203">
      <c r="A203" s="20" t="inlineStr">
        <is>
          <t>0015438</t>
        </is>
      </c>
      <c r="B203" t="inlineStr">
        <is>
          <t>Cheese Parm Shaved</t>
        </is>
      </c>
      <c r="C203" s="22" t="inlineStr">
        <is>
          <t>(4) 5lb</t>
        </is>
      </c>
      <c r="E203" s="23" t="n"/>
      <c r="F203" s="16" t="inlineStr">
        <is>
          <t>(2) 5#</t>
        </is>
      </c>
      <c r="G203" t="inlineStr">
        <is>
          <t>Parmesan Shaved</t>
        </is>
      </c>
      <c r="H203" s="20" t="inlineStr">
        <is>
          <t>00174033</t>
        </is>
      </c>
      <c r="I203" s="35" t="inlineStr">
        <is>
          <t>By LB</t>
        </is>
      </c>
      <c r="J203" s="24">
        <f>D203/20</f>
        <v/>
      </c>
      <c r="L203" s="37" t="inlineStr">
        <is>
          <t>BY OUNCE</t>
        </is>
      </c>
      <c r="P203" s="10">
        <f>D203</f>
        <v/>
      </c>
      <c r="Q203" s="10">
        <f>E203*10</f>
        <v/>
      </c>
      <c r="R203" s="10">
        <f>P203-Q203</f>
        <v/>
      </c>
      <c r="S203" s="29">
        <f>R203/P203</f>
        <v/>
      </c>
    </row>
    <row r="204">
      <c r="A204" s="20" t="inlineStr">
        <is>
          <t>4066884</t>
        </is>
      </c>
      <c r="B204" t="inlineStr">
        <is>
          <t xml:space="preserve">Cheese Parm Grated Fresh </t>
        </is>
      </c>
      <c r="C204" s="22" t="inlineStr">
        <is>
          <t>(2) 5lb</t>
        </is>
      </c>
      <c r="E204" s="23" t="n"/>
      <c r="F204" s="16" t="inlineStr">
        <is>
          <t>(2) 5lb</t>
        </is>
      </c>
      <c r="G204" t="inlineStr">
        <is>
          <t>Parmesean Grated Aged</t>
        </is>
      </c>
      <c r="H204" s="20" t="inlineStr">
        <is>
          <t>00174028</t>
        </is>
      </c>
      <c r="I204" s="35" t="inlineStr">
        <is>
          <t>By LB</t>
        </is>
      </c>
      <c r="J204" s="24">
        <f>D204/10</f>
        <v/>
      </c>
      <c r="K204" s="36">
        <f>E204/10</f>
        <v/>
      </c>
      <c r="L204" s="37" t="inlineStr">
        <is>
          <t>BY OUNCE</t>
        </is>
      </c>
      <c r="M204" s="34">
        <f>J204/16</f>
        <v/>
      </c>
      <c r="N204" s="10">
        <f>K204/16</f>
        <v/>
      </c>
      <c r="P204" s="10">
        <f>J204*10</f>
        <v/>
      </c>
      <c r="Q204" s="10">
        <f>K204*10</f>
        <v/>
      </c>
      <c r="R204" s="10">
        <f>P204-Q204</f>
        <v/>
      </c>
      <c r="S204" s="29">
        <f>R204/P204</f>
        <v/>
      </c>
    </row>
    <row r="205">
      <c r="A205" s="20" t="inlineStr">
        <is>
          <t>4097818</t>
        </is>
      </c>
      <c r="B205" t="inlineStr">
        <is>
          <t>Cheese Parm Grated Fesh USA</t>
        </is>
      </c>
      <c r="C205" s="22" t="inlineStr">
        <is>
          <t>(1) 5lb</t>
        </is>
      </c>
      <c r="E205" s="23" t="n"/>
      <c r="I205" s="35" t="inlineStr">
        <is>
          <t>By LB</t>
        </is>
      </c>
      <c r="J205" s="24">
        <f>D205/5</f>
        <v/>
      </c>
      <c r="L205" s="37" t="n"/>
      <c r="R205" s="10">
        <f>P205-Q205</f>
        <v/>
      </c>
      <c r="S205" s="29">
        <f>R205/P205</f>
        <v/>
      </c>
    </row>
    <row r="206">
      <c r="A206" s="20" t="inlineStr">
        <is>
          <t>1844253</t>
        </is>
      </c>
      <c r="B206" t="inlineStr">
        <is>
          <t xml:space="preserve">Cheese Swiss Loaf </t>
        </is>
      </c>
      <c r="C206" s="22" t="inlineStr">
        <is>
          <t>(2) 12lb avg</t>
        </is>
      </c>
      <c r="E206" s="23" t="n"/>
      <c r="F206" s="16" t="inlineStr">
        <is>
          <t>(2) 13lb avg</t>
        </is>
      </c>
      <c r="G206" t="inlineStr">
        <is>
          <t>Swiss Full Cut Select</t>
        </is>
      </c>
      <c r="H206" s="20" t="inlineStr">
        <is>
          <t>00184007</t>
        </is>
      </c>
      <c r="I206" s="35" t="inlineStr">
        <is>
          <t>By LB</t>
        </is>
      </c>
      <c r="J206" s="24">
        <f>D206</f>
        <v/>
      </c>
      <c r="K206" s="36">
        <f>E206</f>
        <v/>
      </c>
      <c r="L206" s="37" t="inlineStr">
        <is>
          <t>BY OUNCE</t>
        </is>
      </c>
      <c r="M206" s="34">
        <f>J206/16</f>
        <v/>
      </c>
      <c r="N206" s="10">
        <f>K206/16</f>
        <v/>
      </c>
      <c r="P206" s="10">
        <f>J206*26</f>
        <v/>
      </c>
      <c r="Q206" s="10">
        <f>K206*26</f>
        <v/>
      </c>
      <c r="R206" s="10">
        <f>P206-Q206</f>
        <v/>
      </c>
      <c r="S206" s="29">
        <f>R206/P206</f>
        <v/>
      </c>
    </row>
    <row r="207">
      <c r="A207" s="20" t="inlineStr">
        <is>
          <t>2130078</t>
        </is>
      </c>
      <c r="B207" t="inlineStr">
        <is>
          <t>Chocolate Ice Cream</t>
        </is>
      </c>
      <c r="C207" s="22" t="inlineStr">
        <is>
          <t>(1) 3gal</t>
        </is>
      </c>
      <c r="E207" s="23" t="n"/>
      <c r="F207" s="16" t="inlineStr">
        <is>
          <t>(1) 3gal</t>
        </is>
      </c>
      <c r="G207" t="inlineStr">
        <is>
          <t>Chocolate Ice Cream</t>
        </is>
      </c>
      <c r="H207" s="20" t="inlineStr">
        <is>
          <t>00340195</t>
        </is>
      </c>
      <c r="I207" s="69" t="inlineStr">
        <is>
          <t>By Gallon</t>
        </is>
      </c>
      <c r="J207" s="24">
        <f>D207/3</f>
        <v/>
      </c>
      <c r="K207" s="36">
        <f>E207/3</f>
        <v/>
      </c>
      <c r="L207" s="8" t="inlineStr">
        <is>
          <t>By Ounce</t>
        </is>
      </c>
      <c r="M207" s="34">
        <f>J207/128</f>
        <v/>
      </c>
      <c r="N207" s="10">
        <f>K207/128</f>
        <v/>
      </c>
      <c r="P207" s="10">
        <f>M207*384</f>
        <v/>
      </c>
      <c r="Q207" s="10">
        <f>N207*384</f>
        <v/>
      </c>
      <c r="R207" s="10">
        <f>P207-Q207</f>
        <v/>
      </c>
      <c r="S207" s="29">
        <f>R207/P207</f>
        <v/>
      </c>
    </row>
    <row r="208">
      <c r="A208" s="20" t="inlineStr">
        <is>
          <t>2130060</t>
        </is>
      </c>
      <c r="B208" t="inlineStr">
        <is>
          <t xml:space="preserve">Ice Cream  Vanilla Bean </t>
        </is>
      </c>
      <c r="C208" s="22" t="inlineStr">
        <is>
          <t>(1) 3 gal</t>
        </is>
      </c>
      <c r="E208" s="23" t="n"/>
      <c r="F208" s="16" t="inlineStr">
        <is>
          <t>(1) 3 Gal</t>
        </is>
      </c>
      <c r="G208" t="inlineStr">
        <is>
          <t>Vanilla Bean Ice Cream</t>
        </is>
      </c>
      <c r="H208" s="20" t="inlineStr">
        <is>
          <t>00340188</t>
        </is>
      </c>
      <c r="I208" s="35" t="inlineStr">
        <is>
          <t>By Gallon</t>
        </is>
      </c>
      <c r="J208" s="24">
        <f>D208/3</f>
        <v/>
      </c>
      <c r="K208" s="23">
        <f>E208/3</f>
        <v/>
      </c>
      <c r="L208" s="37" t="inlineStr">
        <is>
          <t>BY OUNCE</t>
        </is>
      </c>
      <c r="M208" s="34">
        <f>J208/128</f>
        <v/>
      </c>
      <c r="N208" s="10">
        <f>K208/128</f>
        <v/>
      </c>
      <c r="P208" s="10">
        <f>M208*384</f>
        <v/>
      </c>
      <c r="Q208" s="10">
        <f>N208*384</f>
        <v/>
      </c>
      <c r="R208" s="10">
        <f>P208-Q208</f>
        <v/>
      </c>
      <c r="S208" s="29">
        <f>R208/P208</f>
        <v/>
      </c>
    </row>
    <row r="209">
      <c r="A209" s="20" t="inlineStr">
        <is>
          <t>2256998</t>
        </is>
      </c>
      <c r="B209" t="inlineStr">
        <is>
          <t>Ice Cream Vanilla Bean</t>
        </is>
      </c>
      <c r="C209" s="22" t="inlineStr">
        <is>
          <t>(1) 3gal</t>
        </is>
      </c>
      <c r="E209" s="23" t="n"/>
      <c r="I209" s="35" t="inlineStr">
        <is>
          <t>By Gallon</t>
        </is>
      </c>
      <c r="J209" s="24">
        <f>D209/3</f>
        <v/>
      </c>
      <c r="L209" s="37" t="n"/>
      <c r="R209" s="10">
        <f>P209-Q209</f>
        <v/>
      </c>
      <c r="S209" s="29">
        <f>R209/P209</f>
        <v/>
      </c>
    </row>
    <row r="210">
      <c r="A210" s="20" t="inlineStr">
        <is>
          <t>0358608</t>
        </is>
      </c>
      <c r="B210" t="inlineStr">
        <is>
          <t xml:space="preserve"> Dairy Half and Half</t>
        </is>
      </c>
      <c r="C210" s="22" t="inlineStr">
        <is>
          <t>(384) 9ml</t>
        </is>
      </c>
      <c r="E210" s="23" t="n"/>
      <c r="F210" s="16" t="inlineStr">
        <is>
          <t>(390)</t>
        </is>
      </c>
      <c r="G210" t="inlineStr">
        <is>
          <t>Half and Half</t>
        </is>
      </c>
      <c r="H210" s="20" t="inlineStr">
        <is>
          <t>00192022</t>
        </is>
      </c>
      <c r="I210" s="69" t="inlineStr">
        <is>
          <t>By Each</t>
        </is>
      </c>
      <c r="J210" s="24">
        <f>D210/384</f>
        <v/>
      </c>
      <c r="M210" s="34">
        <f>D210/384</f>
        <v/>
      </c>
      <c r="N210" s="10">
        <f>E210/390</f>
        <v/>
      </c>
      <c r="P210" s="10">
        <f>M210*390</f>
        <v/>
      </c>
      <c r="Q210" s="10">
        <f>N210*390</f>
        <v/>
      </c>
      <c r="R210" s="10">
        <f>P210-Q210</f>
        <v/>
      </c>
      <c r="S210" s="29">
        <f>R210/P210</f>
        <v/>
      </c>
    </row>
    <row r="211">
      <c r="A211" s="20" t="inlineStr">
        <is>
          <t>4665812</t>
        </is>
      </c>
      <c r="B211" t="inlineStr">
        <is>
          <t>Milk</t>
        </is>
      </c>
      <c r="C211" s="22" t="inlineStr">
        <is>
          <t>(4) 1gal</t>
        </is>
      </c>
      <c r="E211" s="23" t="n"/>
      <c r="F211" s="16" t="inlineStr">
        <is>
          <t>(4) 1 Gal</t>
        </is>
      </c>
      <c r="G211" t="inlineStr">
        <is>
          <t>Milk</t>
        </is>
      </c>
      <c r="H211" s="20" t="inlineStr">
        <is>
          <t>10094935</t>
        </is>
      </c>
      <c r="I211" s="35" t="inlineStr">
        <is>
          <t>By Gallon</t>
        </is>
      </c>
      <c r="J211" s="24">
        <f>D211/4</f>
        <v/>
      </c>
      <c r="K211" s="23">
        <f>E211/4</f>
        <v/>
      </c>
      <c r="L211" s="8" t="inlineStr">
        <is>
          <t>By Ounce</t>
        </is>
      </c>
      <c r="M211" s="34">
        <f>J211/128</f>
        <v/>
      </c>
      <c r="N211" s="10">
        <f>K211/128</f>
        <v/>
      </c>
      <c r="P211" s="10">
        <f>J211*4</f>
        <v/>
      </c>
      <c r="Q211" s="10">
        <f>K211*4</f>
        <v/>
      </c>
      <c r="R211" s="10">
        <f>P211-Q211</f>
        <v/>
      </c>
      <c r="S211" s="29">
        <f>R211/P211</f>
        <v/>
      </c>
    </row>
    <row r="212">
      <c r="A212" s="20" t="inlineStr">
        <is>
          <t>2389534</t>
        </is>
      </c>
      <c r="B212" t="inlineStr">
        <is>
          <t>Topping Whipped in bag</t>
        </is>
      </c>
      <c r="C212" s="22" t="inlineStr">
        <is>
          <t>(12) 16oz</t>
        </is>
      </c>
      <c r="E212" s="23" t="n"/>
      <c r="F212" s="16" t="inlineStr">
        <is>
          <t>(12) 16oz</t>
        </is>
      </c>
      <c r="G212" t="inlineStr">
        <is>
          <t>Whip Cream in a bag</t>
        </is>
      </c>
      <c r="H212" s="20" t="inlineStr">
        <is>
          <t>00194010</t>
        </is>
      </c>
      <c r="I212" s="35" t="inlineStr">
        <is>
          <t>By Container</t>
        </is>
      </c>
      <c r="J212" s="24">
        <f>D212/12</f>
        <v/>
      </c>
      <c r="K212" s="23">
        <f>E212/12</f>
        <v/>
      </c>
      <c r="M212" s="34">
        <f>J212/16</f>
        <v/>
      </c>
      <c r="N212" s="10">
        <f>K212/16</f>
        <v/>
      </c>
      <c r="P212" s="10">
        <f>J212*12</f>
        <v/>
      </c>
      <c r="Q212" s="10">
        <f>K212*12</f>
        <v/>
      </c>
      <c r="R212" s="10">
        <f>P212-Q212</f>
        <v/>
      </c>
      <c r="S212" s="29">
        <f>R212/P212</f>
        <v/>
      </c>
    </row>
    <row r="213">
      <c r="A213" s="20" t="inlineStr">
        <is>
          <t>9814583</t>
        </is>
      </c>
      <c r="B213" t="inlineStr">
        <is>
          <t>Topping Whipped Aerosol</t>
        </is>
      </c>
      <c r="C213" s="22" t="inlineStr">
        <is>
          <t>(12) 14oz</t>
        </is>
      </c>
      <c r="E213" s="23" t="n"/>
      <c r="I213" s="35" t="inlineStr">
        <is>
          <t>By Container</t>
        </is>
      </c>
      <c r="J213" s="24">
        <f>D213/12</f>
        <v/>
      </c>
      <c r="R213" s="10">
        <f>P213-Q213</f>
        <v/>
      </c>
      <c r="S213" s="29">
        <f>R213/P213</f>
        <v/>
      </c>
    </row>
    <row r="214">
      <c r="A214" s="1" t="inlineStr">
        <is>
          <t>5926910</t>
        </is>
      </c>
      <c r="B214" t="inlineStr">
        <is>
          <t>WHLFIMP Butter Solid UNSLT USDA AA (36) 1lb</t>
        </is>
      </c>
      <c r="C214" s="22" t="inlineStr">
        <is>
          <t>(36) 1LB</t>
        </is>
      </c>
      <c r="E214" s="23" t="n"/>
      <c r="I214" s="35" t="inlineStr">
        <is>
          <t>By LB</t>
        </is>
      </c>
      <c r="J214" s="24">
        <f>D214/36</f>
        <v/>
      </c>
      <c r="L214" s="37" t="inlineStr">
        <is>
          <t>BY OUNCE</t>
        </is>
      </c>
      <c r="R214" s="10">
        <f>P214-Q214</f>
        <v/>
      </c>
      <c r="S214" s="29">
        <f>R214/P214</f>
        <v/>
      </c>
    </row>
    <row r="215">
      <c r="A215" s="1" t="inlineStr">
        <is>
          <t>5767969</t>
        </is>
      </c>
      <c r="B215" t="inlineStr">
        <is>
          <t>Packer Cheese Mozzarella Loaf (2) 5lb</t>
        </is>
      </c>
      <c r="C215" s="22" t="inlineStr">
        <is>
          <t>(2) 5Lb</t>
        </is>
      </c>
      <c r="E215" s="23" t="n"/>
      <c r="I215" s="69" t="inlineStr">
        <is>
          <t>By LB</t>
        </is>
      </c>
      <c r="J215" s="24">
        <f>D215/10</f>
        <v/>
      </c>
      <c r="L215" s="8" t="inlineStr">
        <is>
          <t>BY OUNCE</t>
        </is>
      </c>
      <c r="R215" s="10">
        <f>P215-Q215</f>
        <v/>
      </c>
      <c r="S215" s="29">
        <f>R215/P215</f>
        <v/>
      </c>
    </row>
    <row r="216">
      <c r="C216" s="32" t="n"/>
      <c r="E216" s="23" t="n"/>
      <c r="F216" s="52" t="n"/>
    </row>
    <row customHeight="1" ht="28.5" r="217">
      <c r="A217" s="12" t="n"/>
      <c r="B217" s="13" t="inlineStr">
        <is>
          <t>MEATS</t>
        </is>
      </c>
      <c r="C217" s="14" t="n"/>
      <c r="E217" s="23" t="n"/>
      <c r="I217" s="17" t="n"/>
      <c r="J217" s="18" t="n"/>
      <c r="K217" s="15" t="n"/>
      <c r="L217" s="15" t="n"/>
      <c r="M217" s="18" t="n"/>
      <c r="N217" s="19" t="n"/>
      <c r="O217" s="19" t="n"/>
      <c r="P217" s="19" t="n"/>
      <c r="Q217" s="19" t="n"/>
      <c r="R217" s="19" t="n"/>
      <c r="S217" s="19" t="n"/>
    </row>
    <row customHeight="1" ht="21" r="218">
      <c r="B218" s="2" t="inlineStr">
        <is>
          <t>HAMBURGER MEAT</t>
        </is>
      </c>
      <c r="C218" s="33" t="n"/>
      <c r="E218" s="23" t="n"/>
      <c r="F218" s="33" t="n"/>
    </row>
    <row r="219">
      <c r="A219" s="20" t="inlineStr">
        <is>
          <t>8142366</t>
        </is>
      </c>
      <c r="B219" s="21" t="inlineStr">
        <is>
          <t>Ground Chuck Beef Fine 80/20 CAB</t>
        </is>
      </c>
      <c r="C219" s="22" t="inlineStr">
        <is>
          <t>(6) 10lb</t>
        </is>
      </c>
      <c r="E219" s="23" t="n"/>
      <c r="I219" s="35" t="inlineStr">
        <is>
          <t>By LB</t>
        </is>
      </c>
      <c r="J219" s="24">
        <f>D219</f>
        <v/>
      </c>
      <c r="L219" s="37" t="n"/>
      <c r="R219" s="10">
        <f>P219-Q219</f>
        <v/>
      </c>
      <c r="S219" s="29">
        <f>R219/P219</f>
        <v/>
      </c>
    </row>
    <row r="220">
      <c r="A220" s="20" t="inlineStr">
        <is>
          <t>5575580</t>
        </is>
      </c>
      <c r="B220" t="inlineStr">
        <is>
          <t>Ground Chuck Beef 80/20 Chub Frozen</t>
        </is>
      </c>
      <c r="C220" s="22" t="inlineStr">
        <is>
          <t>(4) 5LB</t>
        </is>
      </c>
      <c r="E220" s="23" t="n"/>
      <c r="I220" s="35" t="inlineStr">
        <is>
          <t>By LB</t>
        </is>
      </c>
      <c r="J220" s="24">
        <f>D220/20</f>
        <v/>
      </c>
      <c r="L220" s="37" t="n"/>
      <c r="R220" s="10">
        <f>P220-Q220</f>
        <v/>
      </c>
      <c r="S220" s="29">
        <f>R220/P220</f>
        <v/>
      </c>
    </row>
    <row r="221">
      <c r="A221" s="20" t="inlineStr">
        <is>
          <t>0566838</t>
        </is>
      </c>
      <c r="B221" t="inlineStr">
        <is>
          <t>Ground Beef Bulk 81/19</t>
        </is>
      </c>
      <c r="C221" s="22" t="inlineStr">
        <is>
          <t>(4) 10Lb</t>
        </is>
      </c>
      <c r="E221" s="23" t="n"/>
      <c r="I221" s="35" t="inlineStr">
        <is>
          <t>By LB</t>
        </is>
      </c>
      <c r="J221" s="24">
        <f>D221</f>
        <v/>
      </c>
      <c r="L221" s="37" t="n"/>
      <c r="R221" s="10">
        <f>P221-Q221</f>
        <v/>
      </c>
      <c r="S221" s="29">
        <f>R221/P221</f>
        <v/>
      </c>
    </row>
    <row r="222">
      <c r="A222" s="20" t="inlineStr">
        <is>
          <t>2350142</t>
        </is>
      </c>
      <c r="B222" t="inlineStr">
        <is>
          <t>Ground Beef Natural Patty</t>
        </is>
      </c>
      <c r="C222" s="22" t="inlineStr">
        <is>
          <t>(24) 8oz</t>
        </is>
      </c>
      <c r="E222" s="23" t="n"/>
      <c r="I222" s="35" t="inlineStr">
        <is>
          <t>By LB</t>
        </is>
      </c>
      <c r="J222" s="24">
        <f>D222/24</f>
        <v/>
      </c>
      <c r="L222" s="37" t="n"/>
      <c r="R222" s="10">
        <f>P222-Q222</f>
        <v/>
      </c>
      <c r="S222" s="29">
        <f>R222/P222</f>
        <v/>
      </c>
    </row>
    <row r="223">
      <c r="A223" s="20" t="inlineStr">
        <is>
          <t>2360318</t>
        </is>
      </c>
      <c r="B223" t="inlineStr">
        <is>
          <t>Groudn Beef Bulk BrassTown</t>
        </is>
      </c>
      <c r="C223" s="22" t="inlineStr">
        <is>
          <t>(4) 5Lb</t>
        </is>
      </c>
      <c r="E223" s="23" t="n"/>
      <c r="I223" s="35" t="inlineStr">
        <is>
          <t>By LB</t>
        </is>
      </c>
      <c r="J223" s="24">
        <f>D223</f>
        <v/>
      </c>
      <c r="L223" s="37" t="n"/>
      <c r="R223" s="10">
        <f>P223-Q223</f>
        <v/>
      </c>
      <c r="S223" s="29">
        <f>R223/P223</f>
        <v/>
      </c>
    </row>
    <row r="224">
      <c r="A224" s="20" t="inlineStr">
        <is>
          <t>4680292</t>
        </is>
      </c>
      <c r="B224" t="inlineStr">
        <is>
          <t>Burger Black Bean</t>
        </is>
      </c>
      <c r="C224" s="22" t="inlineStr">
        <is>
          <t>(36) 5oz</t>
        </is>
      </c>
      <c r="E224" s="23" t="n"/>
      <c r="I224" s="35" t="inlineStr">
        <is>
          <t>By EACH</t>
        </is>
      </c>
      <c r="J224" s="24">
        <f>D224/36</f>
        <v/>
      </c>
      <c r="R224" s="10">
        <f>P224-Q224</f>
        <v/>
      </c>
      <c r="S224" s="29">
        <f>R224/P224</f>
        <v/>
      </c>
    </row>
    <row r="225">
      <c r="A225" s="1" t="inlineStr">
        <is>
          <t>0566838</t>
        </is>
      </c>
      <c r="B225" t="inlineStr">
        <is>
          <t>FIRECLS Beef Grnd Bulk 81/19 Chub (4) 10lb</t>
        </is>
      </c>
      <c r="C225" s="22" t="inlineStr">
        <is>
          <t>80/20</t>
        </is>
      </c>
      <c r="E225" s="23" t="n"/>
      <c r="I225" s="35" t="inlineStr">
        <is>
          <t>By LB</t>
        </is>
      </c>
      <c r="J225" s="24">
        <f>D225</f>
        <v/>
      </c>
      <c r="L225" s="37" t="inlineStr">
        <is>
          <t>By OUNCE</t>
        </is>
      </c>
      <c r="R225" s="10">
        <f>P225-Q225</f>
        <v/>
      </c>
      <c r="S225" s="29">
        <f>R225/P225</f>
        <v/>
      </c>
    </row>
    <row r="226">
      <c r="A226" s="1" t="inlineStr">
        <is>
          <t>5206275</t>
        </is>
      </c>
      <c r="B226" t="inlineStr">
        <is>
          <t>CABBHNP Beef Ground Special Blend (Brisket)</t>
        </is>
      </c>
      <c r="C226" s="22" t="inlineStr">
        <is>
          <t>(24) 8oz</t>
        </is>
      </c>
      <c r="E226" s="23" t="n"/>
      <c r="I226" s="35" t="inlineStr">
        <is>
          <t>By LB</t>
        </is>
      </c>
      <c r="J226" s="24">
        <f>D226/12</f>
        <v/>
      </c>
      <c r="L226" s="37" t="inlineStr">
        <is>
          <t>By OUNCE</t>
        </is>
      </c>
      <c r="R226" s="10">
        <f>P226-Q226</f>
        <v/>
      </c>
      <c r="S226" s="29">
        <f>R226/P226</f>
        <v/>
      </c>
    </row>
    <row r="227">
      <c r="B227" t="inlineStr">
        <is>
          <t>Turkey Burger</t>
        </is>
      </c>
      <c r="C227" s="46" t="n"/>
      <c r="E227" s="23" t="n"/>
      <c r="F227" s="33" t="inlineStr">
        <is>
          <t>(30) 5.2oz</t>
        </is>
      </c>
      <c r="G227" t="inlineStr">
        <is>
          <t xml:space="preserve">Turkey Burger </t>
        </is>
      </c>
      <c r="I227" s="61" t="inlineStr">
        <is>
          <t>By LB</t>
        </is>
      </c>
      <c r="K227" s="40">
        <f>E227</f>
        <v/>
      </c>
      <c r="L227" s="62" t="inlineStr">
        <is>
          <t>By OUnce</t>
        </is>
      </c>
      <c r="N227" s="10">
        <f>K227/16</f>
        <v/>
      </c>
      <c r="Q227" s="10">
        <f>K227*10</f>
        <v/>
      </c>
      <c r="R227" s="10">
        <f>P227-Q227</f>
        <v/>
      </c>
      <c r="S227" s="29">
        <f>R227/P227</f>
        <v/>
      </c>
    </row>
    <row r="228">
      <c r="C228" s="33" t="n"/>
      <c r="E228" s="23" t="n"/>
      <c r="F228" s="33" t="n"/>
      <c r="S228" s="29" t="n"/>
    </row>
    <row customHeight="1" ht="21" r="229">
      <c r="B229" s="2" t="inlineStr">
        <is>
          <t>BACON</t>
        </is>
      </c>
      <c r="C229" s="33" t="n"/>
      <c r="E229" s="23" t="n"/>
      <c r="F229" s="33" t="n"/>
      <c r="S229" s="29" t="n"/>
    </row>
    <row r="230">
      <c r="A230" s="20" t="inlineStr">
        <is>
          <t>5494354</t>
        </is>
      </c>
      <c r="B230" s="21" t="inlineStr">
        <is>
          <t>Bacon Lay Flat 18/22</t>
        </is>
      </c>
      <c r="C230" s="22" t="inlineStr">
        <is>
          <t>15lb</t>
        </is>
      </c>
      <c r="E230" s="23" t="n"/>
      <c r="F230" s="16" t="inlineStr">
        <is>
          <t>15lb</t>
        </is>
      </c>
      <c r="G230" t="inlineStr">
        <is>
          <t>Bacon Layout 18/22 Silver</t>
        </is>
      </c>
      <c r="H230" s="20" t="inlineStr">
        <is>
          <t>00220055</t>
        </is>
      </c>
      <c r="I230" s="35" t="inlineStr">
        <is>
          <t>ByLB</t>
        </is>
      </c>
      <c r="J230" s="24">
        <f>D230/15</f>
        <v/>
      </c>
      <c r="K230" s="36">
        <f>E230</f>
        <v/>
      </c>
      <c r="L230" s="37" t="inlineStr">
        <is>
          <t>By Ounce</t>
        </is>
      </c>
      <c r="M230" s="24">
        <f>J230/16</f>
        <v/>
      </c>
      <c r="N230" s="38">
        <f>K230/16</f>
        <v/>
      </c>
      <c r="P230" s="10">
        <f>J230*15</f>
        <v/>
      </c>
      <c r="Q230" s="10">
        <f>K230*15</f>
        <v/>
      </c>
      <c r="R230" s="10">
        <f>P230-Q230</f>
        <v/>
      </c>
      <c r="S230" s="29">
        <f>R230/P230</f>
        <v/>
      </c>
    </row>
    <row r="231">
      <c r="A231" s="20" t="inlineStr">
        <is>
          <t>2050581</t>
        </is>
      </c>
      <c r="B231" s="21" t="inlineStr">
        <is>
          <t>Bacon layFlat Random Sliced</t>
        </is>
      </c>
      <c r="C231" s="22" t="inlineStr">
        <is>
          <t>(1) 15lb</t>
        </is>
      </c>
      <c r="E231" s="23" t="n"/>
      <c r="I231" s="35" t="inlineStr">
        <is>
          <t>By LB</t>
        </is>
      </c>
      <c r="J231" s="24">
        <f>D231/15</f>
        <v/>
      </c>
      <c r="K231" s="36">
        <f>E231</f>
        <v/>
      </c>
      <c r="L231" s="37" t="inlineStr">
        <is>
          <t>By Ounce</t>
        </is>
      </c>
      <c r="M231" s="24">
        <f>J231/16</f>
        <v/>
      </c>
      <c r="N231" s="38">
        <f>K231/16</f>
        <v/>
      </c>
      <c r="P231" s="10">
        <f>J231*15</f>
        <v/>
      </c>
      <c r="Q231" s="10">
        <f>K231*15</f>
        <v/>
      </c>
      <c r="R231" s="10">
        <f>P231-Q231</f>
        <v/>
      </c>
      <c r="S231" s="29">
        <f>R231/P231</f>
        <v/>
      </c>
    </row>
    <row r="232">
      <c r="A232" s="20" t="inlineStr">
        <is>
          <t>7557301</t>
        </is>
      </c>
      <c r="B232" s="21" t="inlineStr">
        <is>
          <t>Applewood Bacon Layout Hormel 13/17 (1) 15lb</t>
        </is>
      </c>
      <c r="C232" s="22" t="inlineStr">
        <is>
          <t>(1) 15lb</t>
        </is>
      </c>
      <c r="E232" s="23" t="n"/>
      <c r="I232" s="35" t="inlineStr">
        <is>
          <t>By LB</t>
        </is>
      </c>
      <c r="J232" s="24">
        <f>D232/15</f>
        <v/>
      </c>
      <c r="R232" s="10">
        <f>P232-Q232</f>
        <v/>
      </c>
      <c r="S232" s="29">
        <f>R232/P232</f>
        <v/>
      </c>
    </row>
    <row r="233">
      <c r="A233" s="20" t="inlineStr">
        <is>
          <t>6438545</t>
        </is>
      </c>
      <c r="B233" s="21" t="inlineStr">
        <is>
          <t>Bacon Layflat Random Smoked #2</t>
        </is>
      </c>
      <c r="C233" s="22" t="inlineStr">
        <is>
          <t>(1) 15lb</t>
        </is>
      </c>
      <c r="E233" s="23" t="n"/>
      <c r="I233" s="35" t="inlineStr">
        <is>
          <t>By LB</t>
        </is>
      </c>
      <c r="J233" s="24">
        <f>D233/15</f>
        <v/>
      </c>
      <c r="R233" s="10">
        <f>P233-Q233</f>
        <v/>
      </c>
      <c r="S233" s="29">
        <f>R233/P233</f>
        <v/>
      </c>
    </row>
    <row r="234">
      <c r="A234" s="20" t="inlineStr">
        <is>
          <t>1073402</t>
        </is>
      </c>
      <c r="B234" s="21" t="inlineStr">
        <is>
          <t>Bacon LayFlat 18/22 Smoked</t>
        </is>
      </c>
      <c r="C234" s="22" t="inlineStr">
        <is>
          <t>(1) 15lb</t>
        </is>
      </c>
      <c r="E234" s="23" t="n"/>
      <c r="I234" s="35" t="inlineStr">
        <is>
          <t>By LB</t>
        </is>
      </c>
      <c r="J234" s="24">
        <f>D234/15</f>
        <v/>
      </c>
      <c r="R234" s="10">
        <f>P234-Q234</f>
        <v/>
      </c>
      <c r="S234" s="29">
        <f>R234/P234</f>
        <v/>
      </c>
    </row>
    <row r="235">
      <c r="A235" s="20" t="inlineStr">
        <is>
          <t>5757051</t>
        </is>
      </c>
      <c r="B235" s="21" t="inlineStr">
        <is>
          <t>Bacon Bits Real Cooked</t>
        </is>
      </c>
      <c r="C235" s="22" t="inlineStr">
        <is>
          <t>(2) 5lb</t>
        </is>
      </c>
      <c r="E235" s="23" t="n"/>
      <c r="F235" s="16" t="inlineStr">
        <is>
          <t>(2) 5LB</t>
        </is>
      </c>
      <c r="G235" t="inlineStr">
        <is>
          <t>Bacon Bits 100% X</t>
        </is>
      </c>
      <c r="H235" s="20" t="n">
        <v>10008139</v>
      </c>
      <c r="I235" s="35" t="inlineStr">
        <is>
          <t>By LB</t>
        </is>
      </c>
      <c r="J235" s="24">
        <f>D235/10</f>
        <v/>
      </c>
      <c r="K235" s="36">
        <f>E235/10</f>
        <v/>
      </c>
      <c r="L235" s="37" t="inlineStr">
        <is>
          <t>By Ounce</t>
        </is>
      </c>
      <c r="M235" s="24">
        <f>J235/16</f>
        <v/>
      </c>
      <c r="N235" s="38">
        <f>K235/16</f>
        <v/>
      </c>
      <c r="P235" s="10">
        <f>J235*10</f>
        <v/>
      </c>
      <c r="Q235" s="10">
        <f>K235*10</f>
        <v/>
      </c>
      <c r="R235" s="10">
        <f>P235-Q235</f>
        <v/>
      </c>
      <c r="S235" s="29">
        <f>R235/P235</f>
        <v/>
      </c>
    </row>
    <row r="236">
      <c r="C236" s="33" t="n"/>
      <c r="E236" s="23" t="n"/>
      <c r="F236" s="33" t="n"/>
      <c r="S236" s="29" t="n"/>
    </row>
    <row customHeight="1" ht="21" r="237">
      <c r="B237" s="2" t="inlineStr">
        <is>
          <t>HOT DOGS</t>
        </is>
      </c>
      <c r="C237" s="33" t="n"/>
      <c r="E237" s="23" t="n"/>
      <c r="F237" s="33" t="n"/>
      <c r="S237" s="29" t="n"/>
    </row>
    <row r="238">
      <c r="A238" s="20" t="inlineStr">
        <is>
          <t>2430922</t>
        </is>
      </c>
      <c r="B238" t="inlineStr">
        <is>
          <t>HOT DOG Nathans Frank All-Beef 2x1</t>
        </is>
      </c>
      <c r="C238" s="22" t="inlineStr">
        <is>
          <t>(2) 5lb</t>
        </is>
      </c>
      <c r="E238" s="23" t="n"/>
      <c r="F238" s="16" t="inlineStr">
        <is>
          <t>(2) 5lb</t>
        </is>
      </c>
      <c r="G238" t="inlineStr">
        <is>
          <t>Frank Beef 2/1 12"</t>
        </is>
      </c>
      <c r="H238" s="20" t="inlineStr">
        <is>
          <t>00214076</t>
        </is>
      </c>
      <c r="I238" s="69" t="inlineStr">
        <is>
          <t>By Each</t>
        </is>
      </c>
      <c r="J238" s="24">
        <f>D238/20</f>
        <v/>
      </c>
      <c r="K238" s="36">
        <f>E238</f>
        <v/>
      </c>
      <c r="P238" s="10">
        <f>J238*10</f>
        <v/>
      </c>
      <c r="Q238" s="10">
        <f>K238*10</f>
        <v/>
      </c>
      <c r="R238" s="10">
        <f>P238-Q238</f>
        <v/>
      </c>
      <c r="S238" s="29">
        <f>R238/P238</f>
        <v/>
      </c>
    </row>
    <row r="239">
      <c r="A239" s="20" t="inlineStr">
        <is>
          <t>9757204</t>
        </is>
      </c>
      <c r="B239" t="inlineStr">
        <is>
          <t>HOT DOG Frank All Beef 2/1 12" Frozen</t>
        </is>
      </c>
      <c r="C239" s="22" t="inlineStr">
        <is>
          <t>(2) 5Lb</t>
        </is>
      </c>
      <c r="E239" s="23" t="n"/>
      <c r="I239" s="69" t="inlineStr">
        <is>
          <t>By Each</t>
        </is>
      </c>
      <c r="J239" s="24">
        <f>D239/20</f>
        <v/>
      </c>
      <c r="R239" s="10">
        <f>P239-Q239</f>
        <v/>
      </c>
      <c r="S239" s="29">
        <f>R239/P239</f>
        <v/>
      </c>
    </row>
    <row r="240">
      <c r="A240" s="20" t="inlineStr">
        <is>
          <t>2430938</t>
        </is>
      </c>
      <c r="B240" t="inlineStr">
        <is>
          <t>HOT DOG Frank All Beef 3 per lb 12" Frozen</t>
        </is>
      </c>
      <c r="C240" s="22" t="inlineStr">
        <is>
          <t>(2) 5lb</t>
        </is>
      </c>
      <c r="E240" s="23" t="n"/>
      <c r="I240" s="69" t="inlineStr">
        <is>
          <t>By Each</t>
        </is>
      </c>
      <c r="J240" s="24">
        <f>D240/30</f>
        <v/>
      </c>
      <c r="R240" s="10">
        <f>P240-Q240</f>
        <v/>
      </c>
      <c r="S240" s="29">
        <f>R240/P240</f>
        <v/>
      </c>
    </row>
    <row r="241">
      <c r="A241" s="20" t="inlineStr">
        <is>
          <t>1970888</t>
        </is>
      </c>
      <c r="B241" t="inlineStr">
        <is>
          <t>HOT DOG Frank All Beef 6" 6/1</t>
        </is>
      </c>
      <c r="C241" s="22" t="inlineStr">
        <is>
          <t>(2) 5lb</t>
        </is>
      </c>
      <c r="E241" s="23" t="n"/>
      <c r="F241" s="16" t="inlineStr">
        <is>
          <t>(1) 10</t>
        </is>
      </c>
      <c r="G241" t="inlineStr">
        <is>
          <t>Franks All Beef 6/1 6"</t>
        </is>
      </c>
      <c r="H241" s="20" t="inlineStr">
        <is>
          <t>00214046</t>
        </is>
      </c>
      <c r="I241" s="69" t="inlineStr">
        <is>
          <t>By Each</t>
        </is>
      </c>
      <c r="J241" s="24">
        <f>D241/60</f>
        <v/>
      </c>
      <c r="K241" s="36">
        <f>E241/6</f>
        <v/>
      </c>
      <c r="P241" s="10">
        <f>J241*60</f>
        <v/>
      </c>
      <c r="Q241" s="10">
        <f>K241*60</f>
        <v/>
      </c>
      <c r="R241" s="10">
        <f>P241-Q241</f>
        <v/>
      </c>
      <c r="S241" s="29">
        <f>R241/P241</f>
        <v/>
      </c>
    </row>
    <row r="242">
      <c r="C242" s="33" t="n"/>
      <c r="E242" s="23" t="n"/>
      <c r="F242" s="33" t="n"/>
      <c r="S242" s="29" t="n"/>
    </row>
    <row customHeight="1" ht="21" r="243">
      <c r="B243" s="2" t="inlineStr">
        <is>
          <t>STEAKS</t>
        </is>
      </c>
      <c r="C243" s="33" t="n"/>
      <c r="E243" s="23" t="n"/>
      <c r="F243" s="33" t="n"/>
      <c r="S243" s="29" t="n"/>
    </row>
    <row r="244">
      <c r="A244" s="20" t="inlineStr">
        <is>
          <t>3873205</t>
        </is>
      </c>
      <c r="B244" s="21" t="inlineStr">
        <is>
          <t>Steak Tenderloin Peeled Silver Skin Muscle On Choice</t>
        </is>
      </c>
      <c r="C244" s="22" t="inlineStr">
        <is>
          <t>(2) 6lb +</t>
        </is>
      </c>
      <c r="E244" s="23" t="n"/>
      <c r="I244" s="35" t="inlineStr">
        <is>
          <t>By LB</t>
        </is>
      </c>
      <c r="J244" s="24">
        <f>D244</f>
        <v/>
      </c>
      <c r="L244" s="37" t="n"/>
      <c r="R244" s="10">
        <f>P244-Q244</f>
        <v/>
      </c>
      <c r="S244" s="29">
        <f>R244/P244</f>
        <v/>
      </c>
    </row>
    <row r="245">
      <c r="A245" s="20" t="inlineStr">
        <is>
          <t>3929494</t>
        </is>
      </c>
      <c r="B245" t="inlineStr">
        <is>
          <t>Steak Filet Center Cut Choice</t>
        </is>
      </c>
      <c r="C245" s="22" t="inlineStr">
        <is>
          <t>(20) 8oz</t>
        </is>
      </c>
      <c r="E245" s="23" t="n"/>
      <c r="I245" s="35" t="inlineStr">
        <is>
          <t>By LB</t>
        </is>
      </c>
      <c r="J245" s="24">
        <f>D245</f>
        <v/>
      </c>
      <c r="L245" s="37" t="n"/>
      <c r="R245" s="10">
        <f>P245-Q245</f>
        <v/>
      </c>
      <c r="S245" s="29">
        <f>R245/P245</f>
        <v/>
      </c>
    </row>
    <row r="246">
      <c r="A246" s="20" t="inlineStr">
        <is>
          <t>5235854</t>
        </is>
      </c>
      <c r="B246" t="inlineStr">
        <is>
          <t>Steak Filet Center Cut Choice</t>
        </is>
      </c>
      <c r="C246" s="22" t="inlineStr">
        <is>
          <t>(24) 8oz</t>
        </is>
      </c>
      <c r="E246" s="23" t="n"/>
      <c r="I246" s="35" t="inlineStr">
        <is>
          <t>By LB</t>
        </is>
      </c>
      <c r="J246" s="24">
        <f>D246</f>
        <v/>
      </c>
      <c r="L246" s="37" t="n"/>
      <c r="R246" s="10">
        <f>P246-Q246</f>
        <v/>
      </c>
      <c r="S246" s="29">
        <f>R246/P246</f>
        <v/>
      </c>
    </row>
    <row r="247">
      <c r="A247" s="20" t="inlineStr">
        <is>
          <t>4230934</t>
        </is>
      </c>
      <c r="B247" t="inlineStr">
        <is>
          <t>Steak Tenderloin Select USA</t>
        </is>
      </c>
      <c r="C247" s="22" t="inlineStr">
        <is>
          <t>(5) 5lb +</t>
        </is>
      </c>
      <c r="E247" s="23" t="n"/>
      <c r="I247" s="35" t="inlineStr">
        <is>
          <t>By LB</t>
        </is>
      </c>
      <c r="J247" s="24">
        <f>D247</f>
        <v/>
      </c>
      <c r="L247" s="37" t="n"/>
      <c r="R247" s="10">
        <f>P247-Q247</f>
        <v/>
      </c>
      <c r="S247" s="29">
        <f>R247/P247</f>
        <v/>
      </c>
    </row>
    <row r="248">
      <c r="A248" s="20" t="inlineStr">
        <is>
          <t>4689883</t>
        </is>
      </c>
      <c r="B248" t="inlineStr">
        <is>
          <t xml:space="preserve">Steak Sirloin Cap Strip Flatenened </t>
        </is>
      </c>
      <c r="C248" s="22" t="inlineStr">
        <is>
          <t>(24) 8oz</t>
        </is>
      </c>
      <c r="E248" s="23" t="n"/>
      <c r="I248" s="35" t="inlineStr">
        <is>
          <t xml:space="preserve">By LB </t>
        </is>
      </c>
      <c r="J248" s="24">
        <f>D248</f>
        <v/>
      </c>
      <c r="L248" s="37" t="inlineStr">
        <is>
          <t>By Ounce</t>
        </is>
      </c>
      <c r="R248" s="10">
        <f>P248-Q248</f>
        <v/>
      </c>
      <c r="S248" s="29">
        <f>R248/P248</f>
        <v/>
      </c>
    </row>
    <row r="249">
      <c r="A249" s="20" t="inlineStr">
        <is>
          <t>6481909</t>
        </is>
      </c>
      <c r="B249" t="inlineStr">
        <is>
          <t>Steak Ribeye Boneless 1in tall CHOICE</t>
        </is>
      </c>
      <c r="C249" s="22" t="inlineStr">
        <is>
          <t>(16) 12oz</t>
        </is>
      </c>
      <c r="E249" s="23" t="n"/>
      <c r="I249" s="35" t="inlineStr">
        <is>
          <t>By LB</t>
        </is>
      </c>
      <c r="J249" s="24">
        <f>D249</f>
        <v/>
      </c>
      <c r="K249" s="23">
        <f>E249</f>
        <v/>
      </c>
      <c r="L249" s="37" t="n"/>
      <c r="P249" s="10">
        <f>J249*12</f>
        <v/>
      </c>
      <c r="Q249" s="10">
        <f>E249*12</f>
        <v/>
      </c>
      <c r="R249" s="10">
        <f>P249-Q249</f>
        <v/>
      </c>
      <c r="S249" s="29">
        <f>R249/P249</f>
        <v/>
      </c>
    </row>
    <row r="250">
      <c r="A250" s="20" t="inlineStr">
        <is>
          <t>5819107</t>
        </is>
      </c>
      <c r="B250" t="inlineStr">
        <is>
          <t>Steak Strip Center Cut 1in Tail Choice</t>
        </is>
      </c>
      <c r="C250" s="22" t="inlineStr">
        <is>
          <t>(16) 10oz</t>
        </is>
      </c>
      <c r="E250" s="23" t="n"/>
      <c r="I250" s="35" t="inlineStr">
        <is>
          <t xml:space="preserve">By LB </t>
        </is>
      </c>
      <c r="J250" s="24">
        <f>D250</f>
        <v/>
      </c>
      <c r="L250" s="37" t="n"/>
      <c r="R250" s="10">
        <f>P250-Q250</f>
        <v/>
      </c>
      <c r="S250" s="29">
        <f>R250/P250</f>
        <v/>
      </c>
    </row>
    <row r="251">
      <c r="A251" s="20" t="inlineStr">
        <is>
          <t>1497759</t>
        </is>
      </c>
      <c r="B251" t="inlineStr">
        <is>
          <t xml:space="preserve"> Steak Strip Center Cutr 1in Tail</t>
        </is>
      </c>
      <c r="C251" s="22" t="inlineStr">
        <is>
          <t>(16) 10oz</t>
        </is>
      </c>
      <c r="E251" s="23" t="n"/>
      <c r="I251" s="35" t="inlineStr">
        <is>
          <t>By LB</t>
        </is>
      </c>
      <c r="J251" s="24">
        <f>D251</f>
        <v/>
      </c>
      <c r="R251" s="10">
        <f>P251-Q251</f>
        <v/>
      </c>
      <c r="S251" s="29">
        <f>R251/P251</f>
        <v/>
      </c>
    </row>
    <row r="252">
      <c r="C252" s="33" t="n"/>
      <c r="E252" s="23" t="n"/>
      <c r="F252" s="33" t="n"/>
      <c r="S252" s="29" t="n"/>
    </row>
    <row customHeight="1" ht="21" r="253">
      <c r="B253" s="2" t="inlineStr">
        <is>
          <t>PORK</t>
        </is>
      </c>
      <c r="C253" s="33" t="n"/>
      <c r="E253" s="23" t="n"/>
      <c r="F253" s="33" t="n"/>
      <c r="S253" s="29" t="n"/>
    </row>
    <row r="254">
      <c r="A254" s="20" t="inlineStr">
        <is>
          <t>2574887</t>
        </is>
      </c>
      <c r="B254" t="inlineStr">
        <is>
          <t xml:space="preserve">Pork Loin Rib Back 1.25dn </t>
        </is>
      </c>
      <c r="C254" s="22" t="inlineStr">
        <is>
          <t>(1) 22lbavg</t>
        </is>
      </c>
      <c r="E254" s="23" t="n"/>
      <c r="I254" s="35" t="inlineStr">
        <is>
          <t>BY LB</t>
        </is>
      </c>
      <c r="J254" s="24">
        <f>D254</f>
        <v/>
      </c>
      <c r="L254" s="37" t="inlineStr">
        <is>
          <t>By Ounce</t>
        </is>
      </c>
      <c r="R254" s="10">
        <f>P254-Q254</f>
        <v/>
      </c>
      <c r="S254" s="29">
        <f>R254/P254</f>
        <v/>
      </c>
    </row>
    <row r="255">
      <c r="A255" s="20" t="inlineStr">
        <is>
          <t>7303639</t>
        </is>
      </c>
      <c r="B255" t="inlineStr">
        <is>
          <t>Pork Loin Back Rib 2dn</t>
        </is>
      </c>
      <c r="C255" s="22" t="inlineStr">
        <is>
          <t>18pcs</t>
        </is>
      </c>
      <c r="E255" s="23" t="n"/>
      <c r="F255" s="16" t="inlineStr">
        <is>
          <t>(15)2lb</t>
        </is>
      </c>
      <c r="G255" t="inlineStr">
        <is>
          <t>Pork Rib Loin Back 2D Skinless</t>
        </is>
      </c>
      <c r="H255" s="20" t="inlineStr">
        <is>
          <t>00208022</t>
        </is>
      </c>
      <c r="I255" s="35" t="inlineStr">
        <is>
          <t>By LB</t>
        </is>
      </c>
      <c r="J255" s="24">
        <f>D255</f>
        <v/>
      </c>
      <c r="K255" s="36">
        <f>E255</f>
        <v/>
      </c>
      <c r="L255" s="37" t="n"/>
      <c r="M255" s="34">
        <f>J255/16</f>
        <v/>
      </c>
      <c r="N255" s="10">
        <f>K255/16</f>
        <v/>
      </c>
      <c r="R255" s="10">
        <f>P255-Q255</f>
        <v/>
      </c>
      <c r="S255" s="29">
        <f>R255/P255</f>
        <v/>
      </c>
    </row>
    <row r="256">
      <c r="A256" s="20" t="inlineStr">
        <is>
          <t>6998140</t>
        </is>
      </c>
      <c r="B256" t="inlineStr">
        <is>
          <t>Pork Rib Loin Back Value</t>
        </is>
      </c>
      <c r="C256" s="22" t="inlineStr">
        <is>
          <t>(1) 30lb</t>
        </is>
      </c>
      <c r="E256" s="23" t="n"/>
      <c r="I256" s="35" t="inlineStr">
        <is>
          <t>By LB</t>
        </is>
      </c>
      <c r="J256" s="24">
        <f>D256/30</f>
        <v/>
      </c>
      <c r="L256" s="37" t="n"/>
      <c r="R256" s="10">
        <f>P256-Q256</f>
        <v/>
      </c>
      <c r="S256" s="29">
        <f>R256/P256</f>
        <v/>
      </c>
    </row>
    <row r="257">
      <c r="A257" s="20" t="inlineStr">
        <is>
          <t>5233341</t>
        </is>
      </c>
      <c r="B257" t="inlineStr">
        <is>
          <t>Pork Rib Baby Back 2.25lb dn</t>
        </is>
      </c>
      <c r="C257" s="22" t="inlineStr">
        <is>
          <t>(1) 30lb</t>
        </is>
      </c>
      <c r="E257" s="23" t="n"/>
      <c r="I257" s="35" t="inlineStr">
        <is>
          <t>By LB</t>
        </is>
      </c>
      <c r="J257" s="24">
        <f>D257</f>
        <v/>
      </c>
      <c r="L257" s="37" t="n"/>
      <c r="R257" s="10">
        <f>P257-Q257</f>
        <v/>
      </c>
      <c r="S257" s="29">
        <f>R257/P257</f>
        <v/>
      </c>
    </row>
    <row r="258">
      <c r="A258" s="20" t="inlineStr">
        <is>
          <t>7616154</t>
        </is>
      </c>
      <c r="B258" t="inlineStr">
        <is>
          <t>Pork Riblettes</t>
        </is>
      </c>
      <c r="C258" s="22" t="inlineStr">
        <is>
          <t>(1) 10lb</t>
        </is>
      </c>
      <c r="E258" s="23" t="n"/>
      <c r="I258" s="35" t="inlineStr">
        <is>
          <t>By LB</t>
        </is>
      </c>
      <c r="J258" s="24">
        <f>D258/10</f>
        <v/>
      </c>
      <c r="L258" s="37" t="n"/>
      <c r="R258" s="10">
        <f>P258-Q258</f>
        <v/>
      </c>
      <c r="S258" s="29">
        <f>R258/P258</f>
        <v/>
      </c>
    </row>
    <row r="259">
      <c r="A259" s="20" t="inlineStr">
        <is>
          <t>6046902</t>
        </is>
      </c>
      <c r="B259" t="inlineStr">
        <is>
          <t>Pork Butt BNLS .25 6-9#</t>
        </is>
      </c>
      <c r="C259" s="22" t="inlineStr">
        <is>
          <t>(8) 6-9#</t>
        </is>
      </c>
      <c r="E259" s="23" t="n"/>
      <c r="F259" s="16" t="inlineStr">
        <is>
          <t>(8) 7lb</t>
        </is>
      </c>
      <c r="G259" t="inlineStr">
        <is>
          <t>Pork Boneless Butt Fresh</t>
        </is>
      </c>
      <c r="H259" s="20" t="inlineStr">
        <is>
          <t>00208041</t>
        </is>
      </c>
      <c r="I259" s="35" t="inlineStr">
        <is>
          <t>By LB</t>
        </is>
      </c>
      <c r="J259" s="24">
        <f>D259</f>
        <v/>
      </c>
      <c r="K259" s="36">
        <f>E259</f>
        <v/>
      </c>
      <c r="L259" s="37" t="inlineStr">
        <is>
          <t>By OUNCE</t>
        </is>
      </c>
      <c r="M259" s="34">
        <f>J259/16</f>
        <v/>
      </c>
      <c r="N259" s="10">
        <f>K259/16</f>
        <v/>
      </c>
      <c r="P259" s="10">
        <f>J259*60</f>
        <v/>
      </c>
      <c r="Q259" s="10">
        <f>K259*60</f>
        <v/>
      </c>
      <c r="R259" s="10">
        <f>P259-Q259</f>
        <v/>
      </c>
      <c r="S259" s="29">
        <f>R259/P259</f>
        <v/>
      </c>
    </row>
    <row r="260">
      <c r="C260" s="33" t="n"/>
      <c r="E260" s="23" t="n"/>
      <c r="F260" s="33" t="n"/>
      <c r="S260" s="29" t="n"/>
    </row>
    <row customHeight="1" ht="21" r="261">
      <c r="B261" s="2" t="inlineStr">
        <is>
          <t>SANDWHICH MEAT</t>
        </is>
      </c>
      <c r="C261" s="33" t="n"/>
      <c r="E261" s="23" t="n"/>
      <c r="F261" s="33" t="n"/>
      <c r="S261" s="29" t="n"/>
    </row>
    <row r="262">
      <c r="A262" s="20" t="inlineStr">
        <is>
          <t>2314185</t>
        </is>
      </c>
      <c r="B262" t="inlineStr">
        <is>
          <t>Beef Roast Cap Off DR</t>
        </is>
      </c>
      <c r="C262" s="22" t="inlineStr">
        <is>
          <t>(2) 7lb</t>
        </is>
      </c>
      <c r="E262" s="23" t="n"/>
      <c r="I262" s="35" t="inlineStr">
        <is>
          <t>By LB</t>
        </is>
      </c>
      <c r="J262" s="24">
        <f>D262</f>
        <v/>
      </c>
      <c r="L262" s="37" t="n"/>
      <c r="R262" s="10">
        <f>P262-Q262</f>
        <v/>
      </c>
      <c r="S262" s="29">
        <f>R262/P262</f>
        <v/>
      </c>
    </row>
    <row r="263">
      <c r="A263" s="20" t="inlineStr">
        <is>
          <t>4844530</t>
        </is>
      </c>
      <c r="B263" t="inlineStr">
        <is>
          <t>Beef Roast Top Round Cap OFF Choice Rare Frozen</t>
        </is>
      </c>
      <c r="C263" s="22" t="inlineStr">
        <is>
          <t>(2) 5-8lb</t>
        </is>
      </c>
      <c r="E263" s="23" t="n"/>
      <c r="F263" s="16" t="inlineStr">
        <is>
          <t>(1) 10-11lb</t>
        </is>
      </c>
      <c r="G263" t="inlineStr">
        <is>
          <t>Roast Beef Rare Angus</t>
        </is>
      </c>
      <c r="H263" s="1" t="inlineStr">
        <is>
          <t>00216036</t>
        </is>
      </c>
      <c r="I263" s="35" t="inlineStr">
        <is>
          <t>By LB</t>
        </is>
      </c>
      <c r="J263" s="24">
        <f>D263</f>
        <v/>
      </c>
      <c r="K263" s="36">
        <f>E263</f>
        <v/>
      </c>
      <c r="L263" s="37" t="n"/>
      <c r="M263" s="34">
        <f>J263/16</f>
        <v/>
      </c>
      <c r="N263" s="10">
        <f>K263/16</f>
        <v/>
      </c>
      <c r="P263" s="10">
        <f>J263*20</f>
        <v/>
      </c>
      <c r="Q263" s="10">
        <f>K263*20</f>
        <v/>
      </c>
      <c r="R263" s="10">
        <f>P263-Q263</f>
        <v/>
      </c>
      <c r="S263" s="29">
        <f>R263/P263</f>
        <v/>
      </c>
    </row>
    <row r="264">
      <c r="A264" s="20" t="inlineStr">
        <is>
          <t>1592336</t>
        </is>
      </c>
      <c r="B264" t="inlineStr">
        <is>
          <t xml:space="preserve">Ham Buffet Boneless Ham in Water 32% </t>
        </is>
      </c>
      <c r="C264" s="22" t="inlineStr">
        <is>
          <t>(2) 9-10lb</t>
        </is>
      </c>
      <c r="E264" s="23" t="n"/>
      <c r="F264" s="16" t="inlineStr">
        <is>
          <t>(1) 11lb</t>
        </is>
      </c>
      <c r="G264" t="inlineStr">
        <is>
          <t>Ham Buffett Hickory Smoked</t>
        </is>
      </c>
      <c r="H264" s="20" t="inlineStr">
        <is>
          <t>00222033</t>
        </is>
      </c>
      <c r="I264" s="35" t="inlineStr">
        <is>
          <t>ByLB</t>
        </is>
      </c>
      <c r="J264" s="24">
        <f>D264</f>
        <v/>
      </c>
      <c r="K264" s="36">
        <f>E264</f>
        <v/>
      </c>
      <c r="L264" s="37" t="inlineStr">
        <is>
          <t>By Ounce</t>
        </is>
      </c>
      <c r="M264" s="34">
        <f>J264/16</f>
        <v/>
      </c>
      <c r="N264" s="10">
        <f>K264/16</f>
        <v/>
      </c>
      <c r="P264" s="10">
        <f>J264*20</f>
        <v/>
      </c>
      <c r="Q264" s="10">
        <f>K264*20</f>
        <v/>
      </c>
      <c r="R264" s="10">
        <f>P264-Q264</f>
        <v/>
      </c>
      <c r="S264" s="29">
        <f>R264/P264</f>
        <v/>
      </c>
    </row>
    <row r="265">
      <c r="A265" s="20" t="inlineStr">
        <is>
          <t>6992384</t>
        </is>
      </c>
      <c r="B265" t="inlineStr">
        <is>
          <t>Ham Buffet Master Bonless Ham in Water 32%</t>
        </is>
      </c>
      <c r="C265" s="22" t="inlineStr">
        <is>
          <t>(2) 9-11lb</t>
        </is>
      </c>
      <c r="E265" s="23" t="n"/>
      <c r="I265" s="35" t="inlineStr">
        <is>
          <t>By LB</t>
        </is>
      </c>
      <c r="J265" s="24">
        <f>D265</f>
        <v/>
      </c>
      <c r="L265" s="37" t="n"/>
      <c r="R265" s="10">
        <f>P265-Q265</f>
        <v/>
      </c>
      <c r="S265" s="29">
        <f>R265/P265</f>
        <v/>
      </c>
    </row>
    <row r="266">
      <c r="A266" s="20" t="inlineStr">
        <is>
          <t>0292886</t>
        </is>
      </c>
      <c r="B266" t="inlineStr">
        <is>
          <t xml:space="preserve">Beef Corned Brisket </t>
        </is>
      </c>
      <c r="C266" s="22" t="inlineStr">
        <is>
          <t>(1) 6Lb</t>
        </is>
      </c>
      <c r="E266" s="23" t="n"/>
      <c r="F266" s="16" t="inlineStr">
        <is>
          <t>(2) 6LB</t>
        </is>
      </c>
      <c r="G266" t="inlineStr">
        <is>
          <t>Corned Beef Round CKD</t>
        </is>
      </c>
      <c r="H266" s="20" t="inlineStr">
        <is>
          <t>00218030</t>
        </is>
      </c>
      <c r="I266" s="35" t="inlineStr">
        <is>
          <t>By LB</t>
        </is>
      </c>
      <c r="J266" s="24">
        <f>D266</f>
        <v/>
      </c>
      <c r="K266" s="36">
        <f>E266</f>
        <v/>
      </c>
      <c r="L266" s="37" t="inlineStr">
        <is>
          <t>By OUNCE</t>
        </is>
      </c>
      <c r="M266" s="34">
        <f>J266/16</f>
        <v/>
      </c>
      <c r="N266" s="10">
        <f>K266/16</f>
        <v/>
      </c>
      <c r="P266" s="10">
        <f>J266*12</f>
        <v/>
      </c>
      <c r="Q266" s="10">
        <f>K266*12</f>
        <v/>
      </c>
      <c r="R266" s="10">
        <f>P266-Q266</f>
        <v/>
      </c>
      <c r="S266" s="29">
        <f>R266/P266</f>
        <v/>
      </c>
    </row>
    <row r="267">
      <c r="A267" s="20" t="inlineStr">
        <is>
          <t>2382893</t>
        </is>
      </c>
      <c r="B267" t="inlineStr">
        <is>
          <t>Beef Corned Bottom Round Flat Cooked 35</t>
        </is>
      </c>
      <c r="C267" s="22" t="inlineStr">
        <is>
          <t>(3) 5-9lb</t>
        </is>
      </c>
      <c r="E267" s="23" t="n"/>
      <c r="I267" s="35" t="inlineStr">
        <is>
          <t>By LB</t>
        </is>
      </c>
      <c r="J267" s="24">
        <f>D267</f>
        <v/>
      </c>
      <c r="L267" s="37" t="n"/>
      <c r="R267" s="10">
        <f>P267-Q267</f>
        <v/>
      </c>
      <c r="S267" s="29">
        <f>R267/P267</f>
        <v/>
      </c>
    </row>
    <row r="268">
      <c r="A268" s="38" t="n">
        <v>3760691</v>
      </c>
      <c r="B268" t="inlineStr">
        <is>
          <t>Turkey Breast Oil Borwn 5-7 pcs</t>
        </is>
      </c>
      <c r="C268" s="22" t="inlineStr">
        <is>
          <t>(2) 8-10 lbs</t>
        </is>
      </c>
      <c r="E268" s="23" t="n"/>
      <c r="F268" s="16" t="inlineStr">
        <is>
          <t>(2) 9lb</t>
        </is>
      </c>
      <c r="G268" t="inlineStr">
        <is>
          <t>Turkey Breast Hickory Smoked</t>
        </is>
      </c>
      <c r="H268" s="20" t="inlineStr">
        <is>
          <t>00238063</t>
        </is>
      </c>
      <c r="I268" s="69" t="inlineStr">
        <is>
          <t>By LB</t>
        </is>
      </c>
      <c r="J268" s="24">
        <f>D268</f>
        <v/>
      </c>
      <c r="K268" s="36">
        <f>E268</f>
        <v/>
      </c>
      <c r="L268" s="39" t="inlineStr">
        <is>
          <t>By Ounce</t>
        </is>
      </c>
      <c r="M268" s="34">
        <f>J268/16</f>
        <v/>
      </c>
      <c r="N268">
        <f>K268/16</f>
        <v/>
      </c>
      <c r="P268" s="10">
        <f>J268*20</f>
        <v/>
      </c>
      <c r="Q268" s="10">
        <f>K268*20</f>
        <v/>
      </c>
      <c r="R268" s="10">
        <f>P268-Q268</f>
        <v/>
      </c>
      <c r="S268" s="29">
        <f>R268/P268</f>
        <v/>
      </c>
    </row>
    <row r="269">
      <c r="C269" s="33" t="n"/>
      <c r="E269" s="23" t="n"/>
      <c r="F269" s="33" t="n"/>
      <c r="S269" s="29" t="n"/>
    </row>
    <row customHeight="1" ht="21" r="270">
      <c r="B270" s="2" t="inlineStr">
        <is>
          <t>PRIME RIB</t>
        </is>
      </c>
      <c r="C270" s="33" t="n"/>
      <c r="E270" s="23" t="n"/>
      <c r="F270" s="33" t="n"/>
      <c r="S270" s="29" t="n"/>
    </row>
    <row r="271">
      <c r="A271" s="20" t="inlineStr">
        <is>
          <t>1176134</t>
        </is>
      </c>
      <c r="B271" s="21" t="inlineStr">
        <is>
          <t>Steak Ribeye Lip On Choice (PRIME RIB)</t>
        </is>
      </c>
      <c r="C271" s="22" t="inlineStr">
        <is>
          <t>(1) Heavy</t>
        </is>
      </c>
      <c r="E271" s="23" t="n"/>
      <c r="I271" s="35" t="inlineStr">
        <is>
          <t>By LB</t>
        </is>
      </c>
      <c r="J271" s="24">
        <f>D271</f>
        <v/>
      </c>
      <c r="L271" s="37" t="n"/>
      <c r="R271" s="10">
        <f>P271-Q271</f>
        <v/>
      </c>
      <c r="S271" s="29">
        <f>R271/P271</f>
        <v/>
      </c>
    </row>
    <row r="272">
      <c r="A272" s="20" t="inlineStr">
        <is>
          <t>6751960</t>
        </is>
      </c>
      <c r="B272" s="21" t="inlineStr">
        <is>
          <t>Steak Ribeye Lip On NANP</t>
        </is>
      </c>
      <c r="C272" s="22" t="inlineStr">
        <is>
          <t>(2) 14lb DN</t>
        </is>
      </c>
      <c r="E272" s="23" t="n"/>
      <c r="I272" s="35" t="inlineStr">
        <is>
          <t>By LB</t>
        </is>
      </c>
      <c r="J272" s="24">
        <f>D272</f>
        <v/>
      </c>
      <c r="L272" s="37" t="n"/>
      <c r="R272" s="10">
        <f>P272-Q272</f>
        <v/>
      </c>
      <c r="S272" s="29">
        <f>R272/P272</f>
        <v/>
      </c>
    </row>
    <row r="273">
      <c r="A273" s="20" t="inlineStr">
        <is>
          <t>0700999</t>
        </is>
      </c>
      <c r="B273" s="21" t="inlineStr">
        <is>
          <t xml:space="preserve">Steak Ribeye Lip On </t>
        </is>
      </c>
      <c r="C273" s="22" t="inlineStr">
        <is>
          <t>(3) 11-14</t>
        </is>
      </c>
      <c r="E273" s="23" t="n"/>
      <c r="I273" s="35" t="inlineStr">
        <is>
          <t>By LB</t>
        </is>
      </c>
      <c r="J273" s="24">
        <f>D273</f>
        <v/>
      </c>
      <c r="L273" s="37" t="n"/>
      <c r="R273" s="10">
        <f>P273-Q273</f>
        <v/>
      </c>
      <c r="S273" s="29">
        <f>R273/P273</f>
        <v/>
      </c>
    </row>
    <row r="274">
      <c r="C274" s="33" t="n"/>
      <c r="E274" s="23" t="n"/>
      <c r="F274" s="33" t="n"/>
      <c r="S274" s="29" t="n"/>
    </row>
    <row customHeight="1" ht="21" r="275">
      <c r="B275" s="2" t="inlineStr">
        <is>
          <t>PHILLY MEAT</t>
        </is>
      </c>
      <c r="C275" s="33" t="n"/>
      <c r="E275" s="23" t="n"/>
      <c r="F275" s="33" t="n"/>
      <c r="S275" s="29" t="n"/>
    </row>
    <row r="276">
      <c r="A276" s="20" t="inlineStr">
        <is>
          <t>6279986</t>
        </is>
      </c>
      <c r="B276" s="21" t="inlineStr">
        <is>
          <t>Steak Philly Sand Slice 6oz</t>
        </is>
      </c>
      <c r="C276" s="22" t="inlineStr">
        <is>
          <t>(27) 6oz</t>
        </is>
      </c>
      <c r="E276" s="23" t="n"/>
      <c r="F276" s="16" t="inlineStr">
        <is>
          <t>(32) 6oz</t>
        </is>
      </c>
      <c r="G276" t="inlineStr">
        <is>
          <t>Beef STK Philly Puck Style</t>
        </is>
      </c>
      <c r="H276" s="38" t="inlineStr">
        <is>
          <t>00206110</t>
        </is>
      </c>
      <c r="I276" s="35" t="inlineStr">
        <is>
          <t>By LB</t>
        </is>
      </c>
      <c r="J276" s="24">
        <f>D276/10.125</f>
        <v/>
      </c>
      <c r="K276" s="36">
        <f>E276</f>
        <v/>
      </c>
      <c r="L276" s="37" t="inlineStr">
        <is>
          <t>By Ounce</t>
        </is>
      </c>
      <c r="M276" s="24">
        <f>J276/16</f>
        <v/>
      </c>
      <c r="N276" s="38">
        <f>K276/16</f>
        <v/>
      </c>
      <c r="P276" s="10">
        <f>J276*20</f>
        <v/>
      </c>
      <c r="Q276" s="10">
        <f>K276*20</f>
        <v/>
      </c>
      <c r="R276" s="10">
        <f>P276-Q276</f>
        <v/>
      </c>
      <c r="S276" s="29">
        <f>R276/P276</f>
        <v/>
      </c>
    </row>
    <row r="277">
      <c r="C277" s="33" t="n"/>
      <c r="E277" s="23" t="n"/>
      <c r="F277" s="33" t="n"/>
      <c r="S277" s="29" t="n"/>
    </row>
    <row customHeight="1" ht="21" r="278">
      <c r="B278" s="2" t="inlineStr">
        <is>
          <t>MEATBALL</t>
        </is>
      </c>
      <c r="C278" s="33" t="n"/>
      <c r="E278" s="23" t="n"/>
      <c r="F278" s="33" t="n"/>
      <c r="S278" s="29" t="n"/>
    </row>
    <row r="279">
      <c r="A279" s="20" t="inlineStr">
        <is>
          <t>6370217</t>
        </is>
      </c>
      <c r="B279" s="21" t="inlineStr">
        <is>
          <t xml:space="preserve"> Meatball BF/PJK Italian Style</t>
        </is>
      </c>
      <c r="C279" s="22" t="inlineStr">
        <is>
          <t>(2) 5lb</t>
        </is>
      </c>
      <c r="E279" s="23" t="n"/>
      <c r="F279" s="16" t="inlineStr">
        <is>
          <t>(2) 5lb</t>
        </is>
      </c>
      <c r="G279" t="inlineStr">
        <is>
          <t>meatball 2oz</t>
        </is>
      </c>
      <c r="H279" s="20" t="inlineStr">
        <is>
          <t>00276354</t>
        </is>
      </c>
      <c r="I279" s="35" t="inlineStr">
        <is>
          <t>By LB</t>
        </is>
      </c>
      <c r="J279" s="24">
        <f>D279/10</f>
        <v/>
      </c>
      <c r="K279" s="36">
        <f>E279</f>
        <v/>
      </c>
      <c r="L279" s="37" t="inlineStr">
        <is>
          <t>By Ounce</t>
        </is>
      </c>
      <c r="M279" s="34">
        <f>J279/16</f>
        <v/>
      </c>
      <c r="N279" s="10">
        <f>K279/16</f>
        <v/>
      </c>
      <c r="P279" s="10">
        <f>J279*10</f>
        <v/>
      </c>
      <c r="Q279" s="10">
        <f>K279*10</f>
        <v/>
      </c>
      <c r="R279" s="10">
        <f>P279-Q279</f>
        <v/>
      </c>
      <c r="S279" s="29">
        <f>R279/P279</f>
        <v/>
      </c>
    </row>
    <row r="280">
      <c r="C280" s="33" t="n"/>
      <c r="E280" s="23" t="n"/>
      <c r="F280" s="33" t="n"/>
      <c r="S280" s="29" t="n"/>
    </row>
    <row customHeight="1" ht="21" r="281">
      <c r="B281" s="2" t="inlineStr">
        <is>
          <t>FILET TIPS</t>
        </is>
      </c>
      <c r="C281" s="33" t="n"/>
      <c r="E281" s="23" t="n"/>
      <c r="F281" s="33" t="n"/>
      <c r="S281" s="29" t="n"/>
    </row>
    <row r="282">
      <c r="A282" s="20" t="inlineStr">
        <is>
          <t>5689118</t>
        </is>
      </c>
      <c r="B282" t="inlineStr">
        <is>
          <t xml:space="preserve">Beef Tenderloin Filet Cubes </t>
        </is>
      </c>
      <c r="C282" s="22" t="inlineStr">
        <is>
          <t>(2) 5lb</t>
        </is>
      </c>
      <c r="E282" s="23" t="n"/>
      <c r="I282" s="35" t="inlineStr">
        <is>
          <t>By LB</t>
        </is>
      </c>
      <c r="J282" s="24">
        <f>D282</f>
        <v/>
      </c>
      <c r="L282" s="37" t="inlineStr">
        <is>
          <t>By OUNCE</t>
        </is>
      </c>
      <c r="R282" s="10">
        <f>P282-Q282</f>
        <v/>
      </c>
      <c r="S282" s="29">
        <f>R282/P282</f>
        <v/>
      </c>
    </row>
    <row r="283">
      <c r="C283" s="33" t="n"/>
      <c r="E283" s="23" t="n"/>
      <c r="F283" s="33" t="n"/>
      <c r="S283" s="29" t="n"/>
    </row>
    <row customHeight="1" ht="21" r="284">
      <c r="B284" s="2" t="inlineStr">
        <is>
          <t>SKIRT STEAK</t>
        </is>
      </c>
      <c r="C284" s="33" t="n"/>
      <c r="E284" s="23" t="n"/>
      <c r="F284" s="33" t="n"/>
      <c r="S284" s="29" t="n"/>
    </row>
    <row r="285">
      <c r="A285" s="20" t="inlineStr">
        <is>
          <t>8312076</t>
        </is>
      </c>
      <c r="B285" t="inlineStr">
        <is>
          <t>Skirt Beef Outside Random Pieces Frozen</t>
        </is>
      </c>
      <c r="C285" s="22" t="inlineStr">
        <is>
          <t>(2) 5lb</t>
        </is>
      </c>
      <c r="E285" s="23" t="n"/>
      <c r="F285" s="16" t="inlineStr">
        <is>
          <t>(20) 3.5lb</t>
        </is>
      </c>
      <c r="G285" t="inlineStr">
        <is>
          <t>Outside Skirt</t>
        </is>
      </c>
      <c r="H285" s="20" t="inlineStr">
        <is>
          <t>00204308</t>
        </is>
      </c>
      <c r="I285" s="35" t="inlineStr">
        <is>
          <t>By Lb</t>
        </is>
      </c>
      <c r="J285" s="24">
        <f>D285</f>
        <v/>
      </c>
      <c r="K285" s="36">
        <f>E285</f>
        <v/>
      </c>
      <c r="L285" s="37" t="inlineStr">
        <is>
          <t>By Ounce</t>
        </is>
      </c>
      <c r="M285" s="34">
        <f>J285/16</f>
        <v/>
      </c>
      <c r="N285" s="10">
        <f>K285/16</f>
        <v/>
      </c>
      <c r="P285" s="57">
        <f>J285*10</f>
        <v/>
      </c>
      <c r="Q285" s="10">
        <f>K285*10</f>
        <v/>
      </c>
      <c r="R285" s="10">
        <f>P285-Q285</f>
        <v/>
      </c>
      <c r="S285" s="29">
        <f>R285/P285</f>
        <v/>
      </c>
    </row>
    <row r="286">
      <c r="C286" s="32" t="n"/>
      <c r="E286" s="23" t="n"/>
      <c r="F286" s="52" t="n"/>
      <c r="I286" s="32" t="n"/>
      <c r="L286" s="23" t="n"/>
      <c r="S286" s="29" t="n"/>
    </row>
    <row customHeight="1" ht="21" r="287">
      <c r="B287" s="2" t="inlineStr">
        <is>
          <t>OTHER MEATS</t>
        </is>
      </c>
      <c r="C287" s="32" t="n"/>
      <c r="E287" s="23" t="n"/>
      <c r="F287" s="52" t="n"/>
      <c r="I287" s="32" t="n"/>
      <c r="L287" s="23" t="n"/>
      <c r="S287" s="29" t="n"/>
    </row>
    <row r="288">
      <c r="A288" s="20" t="inlineStr">
        <is>
          <t>1843853</t>
        </is>
      </c>
      <c r="B288" t="inlineStr">
        <is>
          <t>Pepperoni Sliced</t>
        </is>
      </c>
      <c r="C288" s="22" t="inlineStr">
        <is>
          <t>10#</t>
        </is>
      </c>
      <c r="E288" s="23" t="n"/>
      <c r="F288" s="16" t="inlineStr">
        <is>
          <t>(2) 5lb</t>
        </is>
      </c>
      <c r="G288" t="inlineStr">
        <is>
          <t xml:space="preserve">Pepperoni </t>
        </is>
      </c>
      <c r="H288" s="20" t="inlineStr">
        <is>
          <t>10019742</t>
        </is>
      </c>
      <c r="I288" s="35" t="inlineStr">
        <is>
          <t>ByLB</t>
        </is>
      </c>
      <c r="J288" s="24">
        <f>D288/10</f>
        <v/>
      </c>
      <c r="K288" s="36">
        <f>E288/10</f>
        <v/>
      </c>
      <c r="L288" s="37" t="inlineStr">
        <is>
          <t>By Ounce</t>
        </is>
      </c>
      <c r="M288" s="34">
        <f>J288/16</f>
        <v/>
      </c>
      <c r="N288" s="10">
        <f>K288/16</f>
        <v/>
      </c>
      <c r="P288" s="10">
        <f>J288*10</f>
        <v/>
      </c>
      <c r="Q288" s="10">
        <f>K288*10</f>
        <v/>
      </c>
      <c r="R288" s="10">
        <f>P288-Q288</f>
        <v/>
      </c>
      <c r="S288" s="29">
        <f>R288/P288</f>
        <v/>
      </c>
    </row>
    <row r="289">
      <c r="C289" s="33" t="n"/>
      <c r="E289" s="23" t="n"/>
      <c r="F289" s="33" t="n"/>
    </row>
    <row customHeight="1" ht="28.5" r="290">
      <c r="A290" s="12" t="n"/>
      <c r="B290" s="13" t="inlineStr">
        <is>
          <t>FROZEN</t>
        </is>
      </c>
      <c r="C290" s="17" t="n"/>
      <c r="E290" s="23" t="n"/>
      <c r="I290" s="17" t="n"/>
      <c r="J290" s="18" t="n"/>
      <c r="K290" s="15" t="n"/>
      <c r="L290" s="15" t="n"/>
      <c r="M290" s="18" t="n"/>
      <c r="N290" s="13" t="n"/>
      <c r="O290" s="19" t="n"/>
      <c r="P290" s="19" t="n"/>
      <c r="Q290" s="19" t="n"/>
      <c r="R290" s="19" t="n"/>
      <c r="S290" s="19" t="n"/>
    </row>
    <row customHeight="1" ht="21" r="291">
      <c r="A291" s="10" t="n"/>
      <c r="B291" s="2" t="inlineStr">
        <is>
          <t>FRIES/ TOTS/ Chips</t>
        </is>
      </c>
      <c r="C291" s="32" t="n"/>
      <c r="E291" s="23" t="n"/>
      <c r="F291" s="33" t="n"/>
      <c r="I291" s="32" t="n"/>
      <c r="J291" s="23" t="n"/>
      <c r="L291" s="23" t="n"/>
      <c r="M291" s="34" t="inlineStr">
        <is>
          <t xml:space="preserve">Sysco </t>
        </is>
      </c>
      <c r="N291" s="10" t="inlineStr">
        <is>
          <t>Cheney</t>
        </is>
      </c>
      <c r="P291" s="10" t="inlineStr">
        <is>
          <t>Sysco Apples to Apples</t>
        </is>
      </c>
      <c r="Q291" s="10" t="inlineStr">
        <is>
          <t>Cheny Apples to Apples</t>
        </is>
      </c>
    </row>
    <row r="292">
      <c r="A292" s="20" t="inlineStr">
        <is>
          <t>4356044</t>
        </is>
      </c>
      <c r="B292" t="inlineStr">
        <is>
          <t xml:space="preserve">French Friezs Yellow Straight Cut </t>
        </is>
      </c>
      <c r="C292" s="22" t="inlineStr">
        <is>
          <t>(6) 5lb</t>
        </is>
      </c>
      <c r="E292" s="23" t="n"/>
      <c r="F292" s="16" t="inlineStr">
        <is>
          <t>(6) 5lb</t>
        </is>
      </c>
      <c r="G292" t="inlineStr">
        <is>
          <t>Fench Fry 3/8</t>
        </is>
      </c>
      <c r="H292" s="20" t="inlineStr">
        <is>
          <t>00270012</t>
        </is>
      </c>
      <c r="I292" s="69" t="inlineStr">
        <is>
          <t>By LB</t>
        </is>
      </c>
      <c r="J292" s="24">
        <f>D292/30</f>
        <v/>
      </c>
      <c r="K292" s="63">
        <f>E292/30</f>
        <v/>
      </c>
      <c r="L292" s="8" t="inlineStr">
        <is>
          <t>By OUnce</t>
        </is>
      </c>
      <c r="M292" s="34">
        <f>J292/16</f>
        <v/>
      </c>
      <c r="N292" s="27">
        <f>K292/16</f>
        <v/>
      </c>
      <c r="P292" s="10">
        <f>J292*30</f>
        <v/>
      </c>
      <c r="Q292" s="10">
        <f>K292*30</f>
        <v/>
      </c>
      <c r="R292" s="10">
        <f>P292-Q292</f>
        <v/>
      </c>
      <c r="S292" s="29">
        <f>R292/P292</f>
        <v/>
      </c>
    </row>
    <row r="293">
      <c r="A293" s="20" t="inlineStr">
        <is>
          <t>5020233</t>
        </is>
      </c>
      <c r="B293" t="inlineStr">
        <is>
          <t xml:space="preserve">Tater Tot </t>
        </is>
      </c>
      <c r="C293" s="22" t="inlineStr">
        <is>
          <t>(6) 5lb</t>
        </is>
      </c>
      <c r="E293" s="23" t="n"/>
      <c r="F293" s="16" t="inlineStr">
        <is>
          <t>(6) 5lb</t>
        </is>
      </c>
      <c r="G293" t="inlineStr">
        <is>
          <t>Tater Tot</t>
        </is>
      </c>
      <c r="H293" s="20" t="inlineStr">
        <is>
          <t>00272007</t>
        </is>
      </c>
      <c r="I293" s="69" t="inlineStr">
        <is>
          <t>By LB</t>
        </is>
      </c>
      <c r="J293" s="24">
        <f>D293/30</f>
        <v/>
      </c>
      <c r="K293" s="63">
        <f>E293/30</f>
        <v/>
      </c>
      <c r="M293" s="34">
        <f>J293/16</f>
        <v/>
      </c>
      <c r="N293" s="27">
        <f>K293/16</f>
        <v/>
      </c>
      <c r="P293" s="10">
        <f>J293*30</f>
        <v/>
      </c>
      <c r="Q293" s="10">
        <f>K293*30</f>
        <v/>
      </c>
      <c r="R293" s="10">
        <f>P293-Q293</f>
        <v/>
      </c>
      <c r="S293" s="29">
        <f>R293/P293</f>
        <v/>
      </c>
    </row>
    <row r="294">
      <c r="A294" s="20" t="n">
        <v>4675584</v>
      </c>
      <c r="B294" t="inlineStr">
        <is>
          <t>Pretzel Bavarian  10oz</t>
        </is>
      </c>
      <c r="C294" s="22" t="inlineStr">
        <is>
          <t>12pcs</t>
        </is>
      </c>
      <c r="E294" s="23" t="n"/>
      <c r="F294" s="16" t="inlineStr">
        <is>
          <t>12 pcs</t>
        </is>
      </c>
      <c r="I294" s="69" t="inlineStr">
        <is>
          <t>by EACH</t>
        </is>
      </c>
      <c r="J294" s="24">
        <f>D294/12</f>
        <v/>
      </c>
      <c r="K294" s="64">
        <f>E294/12</f>
        <v/>
      </c>
      <c r="N294" s="27" t="n"/>
      <c r="P294" s="10">
        <f>J294*12</f>
        <v/>
      </c>
      <c r="Q294" s="10">
        <f>K294*12</f>
        <v/>
      </c>
      <c r="R294" s="10">
        <f>P294-Q294</f>
        <v/>
      </c>
      <c r="S294" s="29">
        <f>R294/P294</f>
        <v/>
      </c>
    </row>
    <row r="295">
      <c r="A295" s="20" t="inlineStr">
        <is>
          <t>0357149</t>
        </is>
      </c>
      <c r="B295" t="inlineStr">
        <is>
          <t>Bar Chips</t>
        </is>
      </c>
      <c r="C295" s="22" t="inlineStr">
        <is>
          <t>(6) 4lb</t>
        </is>
      </c>
      <c r="E295" s="23" t="n"/>
      <c r="I295" s="69" t="inlineStr">
        <is>
          <t>By LB</t>
        </is>
      </c>
      <c r="J295" s="24">
        <f>D295/24</f>
        <v/>
      </c>
      <c r="K295" s="64" t="n"/>
      <c r="N295" s="27" t="n"/>
      <c r="R295" s="10">
        <f>P295-Q295</f>
        <v/>
      </c>
      <c r="S295" s="29">
        <f>R295/P295</f>
        <v/>
      </c>
    </row>
    <row r="296">
      <c r="A296" s="20" t="inlineStr">
        <is>
          <t>6291926</t>
        </is>
      </c>
      <c r="B296" t="inlineStr">
        <is>
          <t>Waffle Fries</t>
        </is>
      </c>
      <c r="C296" s="22" t="inlineStr">
        <is>
          <t>(6) 4.5lb</t>
        </is>
      </c>
      <c r="E296" s="23" t="n"/>
      <c r="I296" s="69" t="inlineStr">
        <is>
          <t>By LB</t>
        </is>
      </c>
      <c r="J296" s="24">
        <f>D296/27</f>
        <v/>
      </c>
      <c r="K296" s="64" t="n"/>
      <c r="N296" s="27" t="n"/>
      <c r="R296" s="10">
        <f>P296-Q296</f>
        <v/>
      </c>
      <c r="S296" s="29">
        <f>R296/P296</f>
        <v/>
      </c>
    </row>
    <row r="297">
      <c r="A297" s="20" t="inlineStr">
        <is>
          <t>3700499</t>
        </is>
      </c>
      <c r="B297" t="inlineStr">
        <is>
          <t>French Fies Sweet 5/16in</t>
        </is>
      </c>
      <c r="C297" s="22" t="inlineStr">
        <is>
          <t>(6) 2.5lb</t>
        </is>
      </c>
      <c r="E297" s="23" t="n"/>
      <c r="F297" s="16" t="inlineStr">
        <is>
          <t>(5) 3lb</t>
        </is>
      </c>
      <c r="G297" t="inlineStr">
        <is>
          <t>Fry Sweet Potato</t>
        </is>
      </c>
      <c r="H297" s="1" t="inlineStr">
        <is>
          <t>00270174</t>
        </is>
      </c>
      <c r="I297" s="69" t="inlineStr">
        <is>
          <t>By LB</t>
        </is>
      </c>
      <c r="J297" s="24">
        <f>D297/15</f>
        <v/>
      </c>
      <c r="K297" s="23">
        <f>E297/15</f>
        <v/>
      </c>
      <c r="L297" s="37" t="inlineStr">
        <is>
          <t>By Ounce</t>
        </is>
      </c>
      <c r="M297" s="34">
        <f>J297/16</f>
        <v/>
      </c>
      <c r="N297" s="10">
        <f>K297/16</f>
        <v/>
      </c>
      <c r="P297" s="10">
        <f>M297*240</f>
        <v/>
      </c>
      <c r="Q297" s="10">
        <f>N297*340</f>
        <v/>
      </c>
      <c r="R297" s="10">
        <f>P297-Q297</f>
        <v/>
      </c>
      <c r="S297" s="29">
        <f>R297/P297</f>
        <v/>
      </c>
    </row>
    <row r="298">
      <c r="A298" s="1" t="inlineStr">
        <is>
          <t>5020197</t>
        </is>
      </c>
      <c r="B298" t="inlineStr">
        <is>
          <t>french fries Sweet Potato</t>
        </is>
      </c>
      <c r="C298" s="22" t="inlineStr">
        <is>
          <t>5/3lb</t>
        </is>
      </c>
      <c r="E298" s="23" t="n"/>
      <c r="I298" s="69" t="inlineStr">
        <is>
          <t>By LB</t>
        </is>
      </c>
      <c r="J298" s="34">
        <f>30.455/15</f>
        <v/>
      </c>
      <c r="L298" s="37" t="inlineStr">
        <is>
          <t>BY OUNCE</t>
        </is>
      </c>
      <c r="R298" s="10">
        <f>P298-Q298</f>
        <v/>
      </c>
      <c r="S298" s="29">
        <f>R298/P298</f>
        <v/>
      </c>
    </row>
    <row r="299">
      <c r="A299" s="10" t="n"/>
      <c r="C299" s="32" t="n"/>
      <c r="E299" s="23" t="n"/>
      <c r="F299" s="33" t="n"/>
      <c r="I299" s="32" t="n"/>
      <c r="J299" s="23" t="n"/>
      <c r="L299" s="23" t="n"/>
      <c r="N299" s="27" t="n"/>
    </row>
    <row customHeight="1" ht="21" r="300">
      <c r="A300" s="10" t="n"/>
      <c r="B300" s="2" t="inlineStr">
        <is>
          <t>TORTILLAS</t>
        </is>
      </c>
      <c r="C300" s="32" t="n"/>
      <c r="E300" s="23" t="n"/>
      <c r="F300" s="33" t="n"/>
      <c r="I300" s="32" t="n"/>
      <c r="J300" s="23" t="n"/>
      <c r="L300" s="23" t="n"/>
      <c r="N300" s="27" t="n"/>
    </row>
    <row r="301">
      <c r="A301" s="20" t="inlineStr">
        <is>
          <t>7175383</t>
        </is>
      </c>
      <c r="B301" t="inlineStr">
        <is>
          <t xml:space="preserve">ALLADN Wrap Tortilla Tom Basil </t>
        </is>
      </c>
      <c r="C301" s="22" t="inlineStr">
        <is>
          <t>(6) 12CT</t>
        </is>
      </c>
      <c r="E301" s="23" t="n"/>
      <c r="F301" s="16" t="inlineStr">
        <is>
          <t>(6)12 ct</t>
        </is>
      </c>
      <c r="G301" t="inlineStr">
        <is>
          <t>Wrap Tomato Basil</t>
        </is>
      </c>
      <c r="H301" s="1" t="inlineStr">
        <is>
          <t>00292188</t>
        </is>
      </c>
      <c r="I301" s="35" t="inlineStr">
        <is>
          <t>By EACH</t>
        </is>
      </c>
      <c r="J301" s="24">
        <f>D301/72</f>
        <v/>
      </c>
      <c r="K301" s="23">
        <f>E301/72</f>
        <v/>
      </c>
      <c r="L301" s="8" t="inlineStr">
        <is>
          <t>By Each</t>
        </is>
      </c>
      <c r="P301" s="10">
        <f>J301*72</f>
        <v/>
      </c>
      <c r="Q301" s="10">
        <f>K301*72</f>
        <v/>
      </c>
      <c r="R301" s="10">
        <f>P301-Q301</f>
        <v/>
      </c>
      <c r="S301" s="29">
        <f>R301/P301</f>
        <v/>
      </c>
    </row>
    <row r="302">
      <c r="A302" s="20" t="inlineStr">
        <is>
          <t>7175367</t>
        </is>
      </c>
      <c r="B302" t="inlineStr">
        <is>
          <t>Wrap Tortilla Spinach</t>
        </is>
      </c>
      <c r="C302" s="22" t="inlineStr">
        <is>
          <t>(6)12 CT</t>
        </is>
      </c>
      <c r="E302" s="23" t="n"/>
      <c r="F302" s="16" t="inlineStr">
        <is>
          <t>(6) 12 ct</t>
        </is>
      </c>
      <c r="G302" t="inlineStr">
        <is>
          <t>Wrap Spinach</t>
        </is>
      </c>
      <c r="H302" s="1" t="inlineStr">
        <is>
          <t>00292189</t>
        </is>
      </c>
      <c r="I302" s="35" t="inlineStr">
        <is>
          <t>By EACH</t>
        </is>
      </c>
      <c r="J302" s="24">
        <f>D302/72</f>
        <v/>
      </c>
      <c r="K302" s="23">
        <f>E302/72</f>
        <v/>
      </c>
      <c r="P302" s="10">
        <f>J302*72</f>
        <v/>
      </c>
      <c r="Q302" s="10">
        <f>K302*72</f>
        <v/>
      </c>
      <c r="R302" s="10">
        <f>P302-Q302</f>
        <v/>
      </c>
      <c r="S302" s="29">
        <f>R302/P302</f>
        <v/>
      </c>
    </row>
    <row r="303">
      <c r="A303" s="20" t="inlineStr">
        <is>
          <t>8516835</t>
        </is>
      </c>
      <c r="B303" t="inlineStr">
        <is>
          <t xml:space="preserve">LA CHIQ 5.5" Flour Pressed Tortilla </t>
        </is>
      </c>
      <c r="C303" s="22" t="inlineStr">
        <is>
          <t>(20) 12Ct</t>
        </is>
      </c>
      <c r="E303" s="23" t="n"/>
      <c r="I303" s="35" t="inlineStr">
        <is>
          <t>By Each</t>
        </is>
      </c>
      <c r="J303" s="24">
        <f>D303/240</f>
        <v/>
      </c>
      <c r="R303" s="10">
        <f>P303-Q303</f>
        <v/>
      </c>
      <c r="S303" s="29">
        <f>R303/P303</f>
        <v/>
      </c>
    </row>
    <row r="304">
      <c r="A304" s="20" t="inlineStr">
        <is>
          <t>6562207</t>
        </is>
      </c>
      <c r="B304" t="inlineStr">
        <is>
          <t>4.5" Corn Tortilla</t>
        </is>
      </c>
      <c r="C304" s="22" t="inlineStr">
        <is>
          <t>(6) 50ct</t>
        </is>
      </c>
      <c r="E304" s="23" t="n"/>
      <c r="I304" s="35" t="inlineStr">
        <is>
          <t>By Each</t>
        </is>
      </c>
      <c r="J304" s="24">
        <f>D304/300</f>
        <v/>
      </c>
      <c r="R304" s="10">
        <f>P304-Q304</f>
        <v/>
      </c>
      <c r="S304" s="29">
        <f>R304/P304</f>
        <v/>
      </c>
    </row>
    <row r="305">
      <c r="A305" s="20" t="inlineStr">
        <is>
          <t>5654963</t>
        </is>
      </c>
      <c r="B305" t="inlineStr">
        <is>
          <t>Wrap 12" White</t>
        </is>
      </c>
      <c r="C305" s="22" t="inlineStr">
        <is>
          <t>(6) 12ct</t>
        </is>
      </c>
      <c r="E305" s="23" t="n"/>
      <c r="F305" s="16" t="inlineStr">
        <is>
          <t>(8) 12ct</t>
        </is>
      </c>
      <c r="G305" t="inlineStr">
        <is>
          <t>12" Totrtilla</t>
        </is>
      </c>
      <c r="H305" s="20" t="inlineStr">
        <is>
          <t>00292148</t>
        </is>
      </c>
      <c r="I305" s="69" t="inlineStr">
        <is>
          <t>By EACH</t>
        </is>
      </c>
      <c r="J305" s="24">
        <f>D305/72</f>
        <v/>
      </c>
      <c r="K305" s="23">
        <f>E303/96</f>
        <v/>
      </c>
      <c r="P305" s="10">
        <f>J305*96</f>
        <v/>
      </c>
      <c r="Q305" s="10">
        <f>K305*96</f>
        <v/>
      </c>
      <c r="R305" s="10">
        <f>P305-Q305</f>
        <v/>
      </c>
      <c r="S305" s="29">
        <f>R305/P305</f>
        <v/>
      </c>
    </row>
    <row r="306">
      <c r="A306" s="1" t="n">
        <v>7175243</v>
      </c>
      <c r="B306" t="inlineStr">
        <is>
          <t>ALLADN Wrap Tortilla Plain Flour</t>
        </is>
      </c>
      <c r="C306" s="22" t="inlineStr">
        <is>
          <t>96ct 12"</t>
        </is>
      </c>
      <c r="E306" s="23" t="n"/>
      <c r="F306" s="16" t="inlineStr">
        <is>
          <t>(8) 12 ct</t>
        </is>
      </c>
      <c r="G306" t="inlineStr">
        <is>
          <t>Tortilla 12"</t>
        </is>
      </c>
      <c r="H306" s="1" t="inlineStr">
        <is>
          <t>00292148</t>
        </is>
      </c>
      <c r="I306" s="69" t="inlineStr">
        <is>
          <t>By 1 pcs</t>
        </is>
      </c>
      <c r="J306" s="34">
        <f>19.99/96</f>
        <v/>
      </c>
      <c r="K306" s="23">
        <f>E306/96</f>
        <v/>
      </c>
      <c r="L306" s="8" t="inlineStr">
        <is>
          <t>By Each</t>
        </is>
      </c>
      <c r="M306" s="34">
        <f>J306</f>
        <v/>
      </c>
      <c r="N306" s="10">
        <f>K306</f>
        <v/>
      </c>
      <c r="P306" s="10">
        <f>D306</f>
        <v/>
      </c>
      <c r="Q306" s="10">
        <f>E306</f>
        <v/>
      </c>
      <c r="R306" s="10">
        <f>P306-Q306</f>
        <v/>
      </c>
      <c r="S306" s="29">
        <f>R306/P306</f>
        <v/>
      </c>
    </row>
    <row r="307">
      <c r="A307" s="20" t="inlineStr">
        <is>
          <t>9407057</t>
        </is>
      </c>
      <c r="B307" t="inlineStr">
        <is>
          <t>Tri Color Pre Fry</t>
        </is>
      </c>
      <c r="C307" s="22" t="inlineStr">
        <is>
          <t>(6) 2LB</t>
        </is>
      </c>
      <c r="E307" s="23" t="n"/>
      <c r="I307" s="35" t="inlineStr">
        <is>
          <t>By LB</t>
        </is>
      </c>
      <c r="J307" s="24">
        <f>D307/12</f>
        <v/>
      </c>
      <c r="L307" s="37" t="inlineStr">
        <is>
          <t>By Ounce</t>
        </is>
      </c>
      <c r="M307" s="24">
        <f>J307/16</f>
        <v/>
      </c>
      <c r="R307" s="10">
        <f>P307-Q307</f>
        <v/>
      </c>
      <c r="S307" s="29">
        <f>R307/P307</f>
        <v/>
      </c>
    </row>
    <row r="308">
      <c r="A308" s="20" t="inlineStr">
        <is>
          <t>6947115</t>
        </is>
      </c>
      <c r="B308" t="inlineStr">
        <is>
          <t>Tri Color Chips (6) 480</t>
        </is>
      </c>
      <c r="C308" s="22" t="inlineStr">
        <is>
          <t>(6) 480</t>
        </is>
      </c>
      <c r="E308" s="23" t="n"/>
      <c r="F308" s="16" t="inlineStr">
        <is>
          <t>(6) 480</t>
        </is>
      </c>
      <c r="G308" t="inlineStr">
        <is>
          <t>Tri Color Chips (6) 480</t>
        </is>
      </c>
      <c r="H308" s="20" t="inlineStr">
        <is>
          <t>00292086</t>
        </is>
      </c>
      <c r="I308" s="69" t="inlineStr">
        <is>
          <t>By Bag</t>
        </is>
      </c>
      <c r="J308" s="24">
        <f>D308/6</f>
        <v/>
      </c>
      <c r="K308" s="63">
        <f>E308/6</f>
        <v/>
      </c>
      <c r="L308" s="8" t="inlineStr">
        <is>
          <t>By Chip</t>
        </is>
      </c>
      <c r="M308" s="24">
        <f>J308/480</f>
        <v/>
      </c>
      <c r="N308" s="27">
        <f>K308/480</f>
        <v/>
      </c>
      <c r="P308" s="10">
        <f>J308*6</f>
        <v/>
      </c>
      <c r="Q308" s="10">
        <f>K308*6</f>
        <v/>
      </c>
      <c r="R308" s="10">
        <f>P308-Q308</f>
        <v/>
      </c>
      <c r="S308" s="29">
        <f>R308/P308</f>
        <v/>
      </c>
    </row>
    <row r="309">
      <c r="A309" s="20" t="n">
        <v>4129336</v>
      </c>
      <c r="B309" t="inlineStr">
        <is>
          <t>Cheese Dip Craft Beer(4) 5lb</t>
        </is>
      </c>
      <c r="C309" s="22" t="inlineStr">
        <is>
          <t>(4) 5lb</t>
        </is>
      </c>
      <c r="E309" s="23" t="n"/>
      <c r="F309" s="16" t="inlineStr">
        <is>
          <t>(4) 5lb</t>
        </is>
      </c>
      <c r="G309" t="inlineStr">
        <is>
          <t>Dip Beer Cheese</t>
        </is>
      </c>
      <c r="H309" s="20" t="inlineStr">
        <is>
          <t>10038092</t>
        </is>
      </c>
      <c r="I309" s="69" t="inlineStr">
        <is>
          <t>By LB</t>
        </is>
      </c>
      <c r="J309" s="24">
        <f>D309/20</f>
        <v/>
      </c>
      <c r="K309" s="63">
        <f>E309/20</f>
        <v/>
      </c>
      <c r="L309" s="37" t="inlineStr">
        <is>
          <t>BY OUNCE</t>
        </is>
      </c>
      <c r="M309" s="34">
        <f>J309/16</f>
        <v/>
      </c>
      <c r="N309" s="27">
        <f>K309/16</f>
        <v/>
      </c>
      <c r="P309" s="10">
        <f>J309*20</f>
        <v/>
      </c>
      <c r="Q309" s="10">
        <f>K309*20</f>
        <v/>
      </c>
      <c r="R309" s="10">
        <f>P309-Q309</f>
        <v/>
      </c>
      <c r="S309" s="29">
        <f>R309/P309</f>
        <v/>
      </c>
    </row>
    <row r="310">
      <c r="A310" s="20" t="inlineStr">
        <is>
          <t>2204683</t>
        </is>
      </c>
      <c r="B310" s="21" t="inlineStr">
        <is>
          <t xml:space="preserve">Frozen Jalapenos </t>
        </is>
      </c>
      <c r="C310" s="22" t="inlineStr">
        <is>
          <t>(4) 4lbs</t>
        </is>
      </c>
      <c r="E310" s="23" t="n"/>
      <c r="F310" s="16" t="inlineStr">
        <is>
          <t>(4) 3lbs</t>
        </is>
      </c>
      <c r="G310" t="inlineStr">
        <is>
          <t>Breaded Jalapenos</t>
        </is>
      </c>
      <c r="H310" s="20" t="inlineStr">
        <is>
          <t>00296034</t>
        </is>
      </c>
      <c r="I310" s="69" t="inlineStr">
        <is>
          <t>By LB</t>
        </is>
      </c>
      <c r="J310" s="24">
        <f>D310/16</f>
        <v/>
      </c>
      <c r="K310" s="63">
        <f>E310/12</f>
        <v/>
      </c>
      <c r="L310" s="37" t="inlineStr">
        <is>
          <t>BY OUNCE</t>
        </is>
      </c>
      <c r="M310" s="34">
        <f>J310/16</f>
        <v/>
      </c>
      <c r="N310" s="27">
        <f>K311/16</f>
        <v/>
      </c>
      <c r="P310" s="10">
        <f>J310*16</f>
        <v/>
      </c>
      <c r="Q310" s="10">
        <f>K310*16</f>
        <v/>
      </c>
      <c r="R310" s="10">
        <f>P310-Q310</f>
        <v/>
      </c>
      <c r="S310" s="29">
        <f>R310/P310</f>
        <v/>
      </c>
    </row>
    <row r="311">
      <c r="A311" s="20" t="inlineStr">
        <is>
          <t>7242195</t>
        </is>
      </c>
      <c r="B311" t="inlineStr">
        <is>
          <t xml:space="preserve">Flat Bread Crust </t>
        </is>
      </c>
      <c r="C311" s="22" t="inlineStr">
        <is>
          <t>(2) 24ct</t>
        </is>
      </c>
      <c r="E311" s="23" t="n"/>
      <c r="F311" s="16" t="inlineStr">
        <is>
          <t>(2) 24ct</t>
        </is>
      </c>
      <c r="G311" t="inlineStr">
        <is>
          <t>FlatBread</t>
        </is>
      </c>
      <c r="H311" s="20" t="inlineStr">
        <is>
          <t>10015538</t>
        </is>
      </c>
      <c r="I311" s="69" t="inlineStr">
        <is>
          <t>By EACH</t>
        </is>
      </c>
      <c r="J311" s="24">
        <f>D311/48</f>
        <v/>
      </c>
      <c r="K311" s="36">
        <f>E311/48</f>
        <v/>
      </c>
      <c r="P311" s="34">
        <f>J311*48</f>
        <v/>
      </c>
      <c r="Q311" s="10">
        <f>K311*48</f>
        <v/>
      </c>
      <c r="R311" s="10">
        <f>P311-Q311</f>
        <v/>
      </c>
      <c r="S311" s="29">
        <f>R311/P311</f>
        <v/>
      </c>
    </row>
    <row r="312">
      <c r="A312" s="20" t="inlineStr">
        <is>
          <t>5046861</t>
        </is>
      </c>
      <c r="B312" s="21" t="inlineStr">
        <is>
          <t xml:space="preserve">Cheese Curd </t>
        </is>
      </c>
      <c r="C312" s="22" t="inlineStr">
        <is>
          <t>(2) 5lb</t>
        </is>
      </c>
      <c r="E312" s="23" t="n"/>
      <c r="F312" s="16" t="inlineStr">
        <is>
          <t>(2) 5lb</t>
        </is>
      </c>
      <c r="G312" t="inlineStr">
        <is>
          <t>Cheese Curd Breaded</t>
        </is>
      </c>
      <c r="H312" s="20" t="inlineStr">
        <is>
          <t>10078881</t>
        </is>
      </c>
      <c r="I312" s="69" t="inlineStr">
        <is>
          <t>By LB</t>
        </is>
      </c>
      <c r="J312" s="24">
        <f>D312/10</f>
        <v/>
      </c>
      <c r="K312" s="36">
        <f>E312/10</f>
        <v/>
      </c>
      <c r="L312" s="37" t="inlineStr">
        <is>
          <t>BY OUNCE</t>
        </is>
      </c>
      <c r="M312" s="34">
        <f>J312/16</f>
        <v/>
      </c>
      <c r="N312" s="10">
        <f>K312/16</f>
        <v/>
      </c>
      <c r="P312" s="10">
        <f>J312*10</f>
        <v/>
      </c>
      <c r="Q312" s="10">
        <f>K312*10</f>
        <v/>
      </c>
      <c r="R312" s="10">
        <f>P312-Q312</f>
        <v/>
      </c>
      <c r="S312" s="29">
        <f>R312/P312</f>
        <v/>
      </c>
    </row>
    <row r="313">
      <c r="A313" s="20" t="inlineStr">
        <is>
          <t>9394420</t>
        </is>
      </c>
      <c r="B313" t="inlineStr">
        <is>
          <t xml:space="preserve">Brew City Onion Ring </t>
        </is>
      </c>
      <c r="C313" s="22" t="inlineStr">
        <is>
          <t>(6) 2.5lb</t>
        </is>
      </c>
      <c r="E313" s="23" t="n"/>
      <c r="F313" s="16" t="inlineStr">
        <is>
          <t>(2) 4.5lb</t>
        </is>
      </c>
      <c r="G313" t="inlineStr">
        <is>
          <t>Onion Rings</t>
        </is>
      </c>
      <c r="H313" s="20" t="inlineStr">
        <is>
          <t>00296005</t>
        </is>
      </c>
      <c r="I313" s="69" t="inlineStr">
        <is>
          <t>By LB</t>
        </is>
      </c>
      <c r="J313" s="24">
        <f>D313/15</f>
        <v/>
      </c>
      <c r="K313" s="36">
        <f>E313/18</f>
        <v/>
      </c>
      <c r="L313" s="8" t="inlineStr">
        <is>
          <t>By Ounce</t>
        </is>
      </c>
      <c r="M313" s="34">
        <f>J313/16</f>
        <v/>
      </c>
      <c r="N313" s="10">
        <f>K313/16</f>
        <v/>
      </c>
      <c r="P313" s="10">
        <f>J313*16</f>
        <v/>
      </c>
      <c r="Q313" s="10">
        <f>K313*16</f>
        <v/>
      </c>
      <c r="R313" s="10">
        <f>P313-Q313</f>
        <v/>
      </c>
      <c r="S313" s="29">
        <f>R313/P313</f>
        <v/>
      </c>
    </row>
    <row r="314">
      <c r="A314" s="20" t="inlineStr">
        <is>
          <t>9779802</t>
        </is>
      </c>
      <c r="B314" t="inlineStr">
        <is>
          <t xml:space="preserve">Whitey Chili Beef </t>
        </is>
      </c>
      <c r="C314" s="22" t="inlineStr">
        <is>
          <t>(4) 5lb</t>
        </is>
      </c>
      <c r="E314" s="23" t="n"/>
      <c r="F314" s="16" t="inlineStr">
        <is>
          <t>(4) 5lb</t>
        </is>
      </c>
      <c r="G314" t="inlineStr">
        <is>
          <t>Whiteys Chili</t>
        </is>
      </c>
      <c r="H314" s="20" t="inlineStr">
        <is>
          <t>00276072</t>
        </is>
      </c>
      <c r="I314" s="35" t="inlineStr">
        <is>
          <t>By LB</t>
        </is>
      </c>
      <c r="J314" s="24">
        <f>D314/20</f>
        <v/>
      </c>
      <c r="K314" s="36">
        <f>E314/20</f>
        <v/>
      </c>
      <c r="L314" s="37" t="inlineStr">
        <is>
          <t>BY OUNCE</t>
        </is>
      </c>
      <c r="M314" s="34">
        <f>J314/16</f>
        <v/>
      </c>
      <c r="N314" s="10">
        <f>K314/16</f>
        <v/>
      </c>
      <c r="P314" s="10">
        <f>J314*20</f>
        <v/>
      </c>
      <c r="Q314" s="10">
        <f>K314*20</f>
        <v/>
      </c>
      <c r="R314" s="10">
        <f>P314-Q314</f>
        <v/>
      </c>
      <c r="S314" s="29">
        <f>R314/P314</f>
        <v/>
      </c>
    </row>
    <row r="315">
      <c r="A315" s="20" t="inlineStr">
        <is>
          <t>1025162</t>
        </is>
      </c>
      <c r="B315" t="inlineStr">
        <is>
          <t>SYS CLS Corn Cob (96) pcs</t>
        </is>
      </c>
      <c r="C315" s="22" t="inlineStr">
        <is>
          <t>96pc</t>
        </is>
      </c>
      <c r="E315" s="23" t="n"/>
      <c r="F315" s="16" t="inlineStr">
        <is>
          <t>96pc</t>
        </is>
      </c>
      <c r="G315" t="inlineStr">
        <is>
          <t>Corn on Cob 3"</t>
        </is>
      </c>
      <c r="H315" s="20" t="inlineStr">
        <is>
          <t>10105643</t>
        </is>
      </c>
      <c r="I315" s="35" t="inlineStr">
        <is>
          <t>By 1 pcs</t>
        </is>
      </c>
      <c r="J315" s="24">
        <f>D315/96</f>
        <v/>
      </c>
      <c r="K315" s="36">
        <f>E315/96</f>
        <v/>
      </c>
      <c r="M315" s="34">
        <f>J315</f>
        <v/>
      </c>
      <c r="N315" s="10">
        <f>K315</f>
        <v/>
      </c>
      <c r="P315" s="10">
        <f>M315*96</f>
        <v/>
      </c>
      <c r="Q315" s="10">
        <f>N315*96</f>
        <v/>
      </c>
      <c r="R315" s="10">
        <f>P315-Q315</f>
        <v/>
      </c>
      <c r="S315" s="29">
        <f>R315/P315</f>
        <v/>
      </c>
    </row>
    <row r="316">
      <c r="A316" s="20" t="inlineStr">
        <is>
          <t>4129340</t>
        </is>
      </c>
      <c r="B316" t="inlineStr">
        <is>
          <t>Spinach Dip Bulk</t>
        </is>
      </c>
      <c r="C316" s="22" t="inlineStr">
        <is>
          <t>(4) 5lb</t>
        </is>
      </c>
      <c r="E316" s="23" t="n"/>
      <c r="F316" s="16" t="inlineStr">
        <is>
          <t>(4) 5lb</t>
        </is>
      </c>
      <c r="G316" t="inlineStr">
        <is>
          <t>Spinach Dip</t>
        </is>
      </c>
      <c r="H316" s="20" t="inlineStr">
        <is>
          <t>10046194</t>
        </is>
      </c>
      <c r="I316" s="35" t="inlineStr">
        <is>
          <t>By LB</t>
        </is>
      </c>
      <c r="J316" s="24">
        <f>D316/20</f>
        <v/>
      </c>
      <c r="K316" s="36">
        <f>E316/20</f>
        <v/>
      </c>
      <c r="L316" s="8" t="inlineStr">
        <is>
          <t>By Ounce</t>
        </is>
      </c>
      <c r="M316" s="34">
        <f>J316/16</f>
        <v/>
      </c>
      <c r="N316" s="10">
        <f>K316/16</f>
        <v/>
      </c>
      <c r="P316" s="10">
        <f>J316*20</f>
        <v/>
      </c>
      <c r="Q316" s="10">
        <f>K316*20</f>
        <v/>
      </c>
      <c r="R316" s="10">
        <f>P316-Q316</f>
        <v/>
      </c>
      <c r="S316" s="29">
        <f>R316/P316</f>
        <v/>
      </c>
    </row>
    <row r="317">
      <c r="A317" s="20" t="inlineStr">
        <is>
          <t>1628593</t>
        </is>
      </c>
      <c r="B317" t="inlineStr">
        <is>
          <t>SYS CLS Cauliflower IQF P (12) 2lbs</t>
        </is>
      </c>
      <c r="C317" s="22" t="inlineStr">
        <is>
          <t>(12) 2lb</t>
        </is>
      </c>
      <c r="E317" s="23" t="n"/>
      <c r="F317" s="16" t="inlineStr">
        <is>
          <t>(12) 2lb</t>
        </is>
      </c>
      <c r="G317" t="inlineStr">
        <is>
          <t>Cauliflower</t>
        </is>
      </c>
      <c r="H317" s="20" t="inlineStr">
        <is>
          <t>00264103</t>
        </is>
      </c>
      <c r="I317" s="35" t="inlineStr">
        <is>
          <t>By LB</t>
        </is>
      </c>
      <c r="J317" s="24">
        <f>D317/24</f>
        <v/>
      </c>
      <c r="K317" s="36">
        <f>E317/24</f>
        <v/>
      </c>
      <c r="L317" s="37" t="inlineStr">
        <is>
          <t>By Ounce</t>
        </is>
      </c>
      <c r="M317" s="34">
        <f>J317/16</f>
        <v/>
      </c>
      <c r="N317" s="10">
        <f>K317/16</f>
        <v/>
      </c>
      <c r="P317" s="10">
        <f>J317*24</f>
        <v/>
      </c>
      <c r="Q317" s="10">
        <f>K317*24</f>
        <v/>
      </c>
      <c r="R317" s="10">
        <f>P317-Q317</f>
        <v/>
      </c>
      <c r="S317" s="29">
        <f>R317/P317</f>
        <v/>
      </c>
    </row>
    <row r="318">
      <c r="A318" s="20" t="inlineStr">
        <is>
          <t>1629559</t>
        </is>
      </c>
      <c r="B318" t="inlineStr">
        <is>
          <t>Cauliflower IDI Quick Frozen</t>
        </is>
      </c>
      <c r="C318" s="22" t="inlineStr">
        <is>
          <t>(12) 2lb</t>
        </is>
      </c>
      <c r="E318" s="23" t="n"/>
      <c r="I318" s="35" t="inlineStr">
        <is>
          <t>By LB</t>
        </is>
      </c>
      <c r="J318" s="24">
        <f>D318/24</f>
        <v/>
      </c>
      <c r="L318" s="37" t="n"/>
      <c r="R318" s="10">
        <f>P318-Q318</f>
        <v/>
      </c>
      <c r="S318" s="29">
        <f>R318/P318</f>
        <v/>
      </c>
    </row>
    <row r="319">
      <c r="A319" s="20" t="inlineStr">
        <is>
          <t>6988158</t>
        </is>
      </c>
      <c r="B319" t="inlineStr">
        <is>
          <t xml:space="preserve">Brocolli Floret </t>
        </is>
      </c>
      <c r="C319" s="22" t="inlineStr">
        <is>
          <t>(12) 2lb</t>
        </is>
      </c>
      <c r="E319" s="23" t="n"/>
      <c r="I319" s="35" t="inlineStr">
        <is>
          <t>By LB</t>
        </is>
      </c>
      <c r="J319" s="24">
        <f>D319/24</f>
        <v/>
      </c>
      <c r="L319" s="37" t="n"/>
      <c r="R319" s="10">
        <f>P319-Q319</f>
        <v/>
      </c>
      <c r="S319" s="29">
        <f>R319/P319</f>
        <v/>
      </c>
    </row>
    <row r="320">
      <c r="A320" s="20" t="inlineStr">
        <is>
          <t>5545801</t>
        </is>
      </c>
      <c r="B320" t="inlineStr">
        <is>
          <t>Bahamas Chef Cut Veggies</t>
        </is>
      </c>
      <c r="C320" s="22" t="inlineStr">
        <is>
          <t>(6) 4lbs</t>
        </is>
      </c>
      <c r="E320" s="23" t="n"/>
      <c r="G320" t="inlineStr">
        <is>
          <t xml:space="preserve"> </t>
        </is>
      </c>
      <c r="I320" s="35" t="inlineStr">
        <is>
          <t>By LB</t>
        </is>
      </c>
      <c r="J320" s="24">
        <f>D320/24</f>
        <v/>
      </c>
      <c r="L320" s="37" t="inlineStr">
        <is>
          <t>BY OUNCE</t>
        </is>
      </c>
      <c r="R320" s="10">
        <f>P320-Q320</f>
        <v/>
      </c>
      <c r="S320" s="29">
        <f>R320/P320</f>
        <v/>
      </c>
    </row>
    <row r="321">
      <c r="A321" s="20" t="inlineStr">
        <is>
          <t>3143120</t>
        </is>
      </c>
      <c r="B321" t="inlineStr">
        <is>
          <t xml:space="preserve">Flame Roasted Cut Corn </t>
        </is>
      </c>
      <c r="C321" s="22" t="inlineStr">
        <is>
          <t>(1) 20lb</t>
        </is>
      </c>
      <c r="E321" s="23" t="n"/>
      <c r="F321" s="16" t="inlineStr">
        <is>
          <t>(1) 20lb</t>
        </is>
      </c>
      <c r="G321" t="inlineStr">
        <is>
          <t>Flame Roasted Corn</t>
        </is>
      </c>
      <c r="H321" s="20" t="inlineStr">
        <is>
          <t>00266031</t>
        </is>
      </c>
      <c r="I321" s="35" t="inlineStr">
        <is>
          <t>By LB</t>
        </is>
      </c>
      <c r="J321" s="24">
        <f>D321/20</f>
        <v/>
      </c>
      <c r="K321" s="36">
        <f>E321/20</f>
        <v/>
      </c>
      <c r="L321" s="37" t="inlineStr">
        <is>
          <t>BY OUNCE</t>
        </is>
      </c>
      <c r="M321" s="34">
        <f>J321/16</f>
        <v/>
      </c>
      <c r="N321" s="10">
        <f>K321/16</f>
        <v/>
      </c>
      <c r="P321" s="10">
        <f>J321*20</f>
        <v/>
      </c>
      <c r="Q321" s="10">
        <f>K321*20</f>
        <v/>
      </c>
      <c r="R321" s="10">
        <f>P321-Q321</f>
        <v/>
      </c>
      <c r="S321" s="29">
        <f>R321/P321</f>
        <v/>
      </c>
    </row>
    <row r="322">
      <c r="A322" s="20" t="inlineStr">
        <is>
          <t>5223334</t>
        </is>
      </c>
      <c r="B322" t="inlineStr">
        <is>
          <t>PITA pre oiled 7"</t>
        </is>
      </c>
      <c r="C322" s="22" t="inlineStr">
        <is>
          <t>(12) 10ct</t>
        </is>
      </c>
      <c r="E322" s="23" t="n"/>
      <c r="I322" s="35" t="inlineStr">
        <is>
          <t>By EACH</t>
        </is>
      </c>
      <c r="J322" s="24">
        <f>D322/120</f>
        <v/>
      </c>
      <c r="L322" s="37" t="n"/>
      <c r="R322" s="10">
        <f>P322-Q322</f>
        <v/>
      </c>
      <c r="S322" s="29">
        <f>R322/P322</f>
        <v/>
      </c>
    </row>
    <row r="323">
      <c r="A323" s="20" t="inlineStr">
        <is>
          <t>3288877</t>
        </is>
      </c>
      <c r="B323" t="inlineStr">
        <is>
          <t>Red Velvet Donghts</t>
        </is>
      </c>
      <c r="C323" s="22" t="n">
        <v>120</v>
      </c>
      <c r="E323" s="23" t="n"/>
      <c r="I323" s="35" t="inlineStr">
        <is>
          <t>By EACH</t>
        </is>
      </c>
      <c r="J323" s="24">
        <f>D323/120</f>
        <v/>
      </c>
      <c r="L323" s="37" t="n"/>
      <c r="R323" s="10">
        <f>P323-Q323</f>
        <v/>
      </c>
      <c r="S323" s="29">
        <f>R323/P323</f>
        <v/>
      </c>
    </row>
    <row r="324">
      <c r="A324" s="20" t="inlineStr">
        <is>
          <t>4949747</t>
        </is>
      </c>
      <c r="B324" t="inlineStr">
        <is>
          <t>Brownie Sheet No Nuts</t>
        </is>
      </c>
      <c r="C324" s="22" t="inlineStr">
        <is>
          <t>(2) 8.2lbs</t>
        </is>
      </c>
      <c r="E324" s="23" t="n"/>
      <c r="I324" s="35" t="inlineStr">
        <is>
          <t>By LB</t>
        </is>
      </c>
      <c r="J324" s="24">
        <f>D324/16.4</f>
        <v/>
      </c>
      <c r="L324" s="37" t="n"/>
      <c r="R324" s="10">
        <f>P324-Q324</f>
        <v/>
      </c>
      <c r="S324" s="29">
        <f>R324/P324</f>
        <v/>
      </c>
    </row>
    <row r="325">
      <c r="A325" s="20" t="inlineStr">
        <is>
          <t>6234470</t>
        </is>
      </c>
      <c r="B325" t="inlineStr">
        <is>
          <t>Potato bacon Soup</t>
        </is>
      </c>
      <c r="C325" s="22" t="inlineStr">
        <is>
          <t>(3) 4lbs</t>
        </is>
      </c>
      <c r="E325" s="23" t="n"/>
      <c r="I325" s="35" t="inlineStr">
        <is>
          <t>By LB</t>
        </is>
      </c>
      <c r="J325" s="24">
        <f>D325/12</f>
        <v/>
      </c>
      <c r="L325" s="37" t="n"/>
      <c r="R325" s="10">
        <f>P325-Q325</f>
        <v/>
      </c>
      <c r="S325" s="29">
        <f>R325/P325</f>
        <v/>
      </c>
    </row>
    <row r="326">
      <c r="A326" s="20" t="inlineStr">
        <is>
          <t>8538852</t>
        </is>
      </c>
      <c r="B326" t="inlineStr">
        <is>
          <t xml:space="preserve">Mac and Cheese </t>
        </is>
      </c>
      <c r="C326" s="22" t="inlineStr">
        <is>
          <t>(36) 7oz</t>
        </is>
      </c>
      <c r="E326" s="23" t="n"/>
      <c r="F326" s="16" t="inlineStr">
        <is>
          <t>(36) 7oz</t>
        </is>
      </c>
      <c r="I326" s="35" t="inlineStr">
        <is>
          <t>By 1 pcs</t>
        </is>
      </c>
      <c r="J326" s="24">
        <f>42.15/36</f>
        <v/>
      </c>
      <c r="K326" s="36">
        <f>E326/36</f>
        <v/>
      </c>
      <c r="P326" s="10">
        <f>D326</f>
        <v/>
      </c>
      <c r="Q326" s="10">
        <f>E326</f>
        <v/>
      </c>
      <c r="R326" s="10">
        <f>P326-Q326</f>
        <v/>
      </c>
      <c r="S326" s="29">
        <f>R326/P326</f>
        <v/>
      </c>
    </row>
    <row r="327">
      <c r="A327" s="20" t="n"/>
      <c r="B327" t="inlineStr">
        <is>
          <t>Chocolate Doughnuts</t>
        </is>
      </c>
      <c r="E327" s="23" t="n"/>
      <c r="I327" s="35" t="n"/>
      <c r="J327" s="24" t="n"/>
      <c r="K327" s="36" t="n"/>
      <c r="S327" s="29" t="n"/>
    </row>
    <row r="328">
      <c r="C328" s="32" t="n"/>
      <c r="E328" s="23" t="n"/>
      <c r="F328" s="52" t="n"/>
      <c r="I328" s="32" t="n"/>
      <c r="L328" s="23" t="n"/>
    </row>
    <row customHeight="1" ht="28.5" r="329">
      <c r="A329" s="12" t="n"/>
      <c r="B329" s="13" t="inlineStr">
        <is>
          <t>Seafood</t>
        </is>
      </c>
      <c r="C329" s="17" t="n"/>
      <c r="E329" s="23" t="n"/>
      <c r="I329" s="17" t="n"/>
      <c r="J329" s="18" t="n"/>
      <c r="K329" s="15" t="n"/>
      <c r="L329" s="15" t="n"/>
      <c r="M329" s="18" t="n"/>
      <c r="N329" s="13" t="n"/>
      <c r="O329" s="19" t="n"/>
      <c r="P329" s="19" t="n"/>
      <c r="Q329" s="19" t="n"/>
      <c r="R329" s="19" t="n"/>
      <c r="S329" s="19" t="n"/>
    </row>
    <row customHeight="1" ht="21" r="330">
      <c r="B330" s="2" t="inlineStr">
        <is>
          <t>SHRIMP</t>
        </is>
      </c>
      <c r="C330" s="33" t="n"/>
      <c r="E330" s="23" t="n"/>
      <c r="F330" s="33" t="n"/>
      <c r="M330" s="34" t="inlineStr">
        <is>
          <t xml:space="preserve">Sysco </t>
        </is>
      </c>
      <c r="N330" s="10" t="inlineStr">
        <is>
          <t>Cheney</t>
        </is>
      </c>
      <c r="P330" s="10" t="inlineStr">
        <is>
          <t>Sysco Apples to Apples</t>
        </is>
      </c>
      <c r="Q330" s="10" t="inlineStr">
        <is>
          <t>Cheny Apples to Apples</t>
        </is>
      </c>
    </row>
    <row r="331">
      <c r="A331" s="20" t="inlineStr">
        <is>
          <t>6736518</t>
        </is>
      </c>
      <c r="B331" s="21" t="inlineStr">
        <is>
          <t xml:space="preserve">Shrimp P&amp;D Tlon 41/50 </t>
        </is>
      </c>
      <c r="C331" s="22" t="inlineStr">
        <is>
          <t>(4) 2.5lb</t>
        </is>
      </c>
      <c r="E331" s="23" t="n"/>
      <c r="F331" s="16" t="inlineStr">
        <is>
          <t>(5) 2lb</t>
        </is>
      </c>
      <c r="G331" t="inlineStr">
        <is>
          <t>Shrimp RAW 41/50 P&amp;D T/ON</t>
        </is>
      </c>
      <c r="H331" s="20" t="inlineStr">
        <is>
          <t>10019427</t>
        </is>
      </c>
      <c r="I331" s="35" t="inlineStr">
        <is>
          <t>By LB</t>
        </is>
      </c>
      <c r="J331" s="24">
        <f>D331/10</f>
        <v/>
      </c>
      <c r="K331" s="36">
        <f>E331</f>
        <v/>
      </c>
      <c r="L331" s="37" t="n"/>
      <c r="M331" s="34">
        <f>J331/16</f>
        <v/>
      </c>
      <c r="N331" s="10">
        <f>K331/16</f>
        <v/>
      </c>
      <c r="P331" s="10">
        <f>J331*10</f>
        <v/>
      </c>
      <c r="Q331" s="10">
        <f>K331*10</f>
        <v/>
      </c>
      <c r="R331" s="10">
        <f>P331-Q331</f>
        <v/>
      </c>
      <c r="S331" s="29">
        <f>R331/P331</f>
        <v/>
      </c>
    </row>
    <row r="332">
      <c r="A332" s="20" t="inlineStr">
        <is>
          <t>7950306</t>
        </is>
      </c>
      <c r="B332" s="21" t="inlineStr">
        <is>
          <t>Shrimp P&amp;D Tail On White 31/40</t>
        </is>
      </c>
      <c r="C332" s="22" t="inlineStr">
        <is>
          <t>(4) 2.5lb</t>
        </is>
      </c>
      <c r="E332" s="23" t="n"/>
      <c r="I332" s="35" t="inlineStr">
        <is>
          <t>By LB</t>
        </is>
      </c>
      <c r="J332" s="24">
        <f>D332/10</f>
        <v/>
      </c>
      <c r="L332" s="37" t="n"/>
      <c r="R332" s="10">
        <f>P332-Q332</f>
        <v/>
      </c>
      <c r="S332" s="29">
        <f>R332/P332</f>
        <v/>
      </c>
    </row>
    <row r="333">
      <c r="A333" s="20" t="inlineStr">
        <is>
          <t>6731515</t>
        </is>
      </c>
      <c r="B333" s="21" t="inlineStr">
        <is>
          <t>Shrimp P&amp;D White Tail On 26/30</t>
        </is>
      </c>
      <c r="C333" s="22" t="inlineStr">
        <is>
          <t>(4) 2.5lb</t>
        </is>
      </c>
      <c r="E333" s="23" t="n"/>
      <c r="I333" s="35" t="inlineStr">
        <is>
          <t>By LB</t>
        </is>
      </c>
      <c r="J333" s="24">
        <f>D333/10</f>
        <v/>
      </c>
      <c r="L333" s="37" t="n"/>
      <c r="R333" s="10">
        <f>P333-Q333</f>
        <v/>
      </c>
      <c r="S333" s="29">
        <f>R333/P333</f>
        <v/>
      </c>
    </row>
    <row r="334">
      <c r="A334" s="20" t="inlineStr">
        <is>
          <t>6734939</t>
        </is>
      </c>
      <c r="B334" s="21" t="inlineStr">
        <is>
          <t>ShrimpP&amp;D White Tail On 21/25</t>
        </is>
      </c>
      <c r="C334" s="22" t="inlineStr">
        <is>
          <t>(4) 2.5lb</t>
        </is>
      </c>
      <c r="E334" s="23" t="n"/>
      <c r="F334" s="16" t="inlineStr">
        <is>
          <t>(5) 2lb</t>
        </is>
      </c>
      <c r="G334" t="inlineStr">
        <is>
          <t>Shrimp 21/25 RAW P&amp;D T/ON</t>
        </is>
      </c>
      <c r="H334" s="20" t="inlineStr">
        <is>
          <t>00246517</t>
        </is>
      </c>
      <c r="I334" s="35" t="inlineStr">
        <is>
          <t>By LB</t>
        </is>
      </c>
      <c r="J334" s="24">
        <f>D334/10</f>
        <v/>
      </c>
      <c r="K334" s="36">
        <f>E334</f>
        <v/>
      </c>
      <c r="L334" s="37" t="n"/>
      <c r="M334" s="65">
        <f>J334/16</f>
        <v/>
      </c>
      <c r="N334" s="10">
        <f>K334/16</f>
        <v/>
      </c>
      <c r="P334" s="10">
        <f>J334*10</f>
        <v/>
      </c>
      <c r="Q334" s="10">
        <f>K334*10</f>
        <v/>
      </c>
      <c r="R334" s="10">
        <f>P334-Q334</f>
        <v/>
      </c>
      <c r="S334" s="29">
        <f>R334/P334</f>
        <v/>
      </c>
    </row>
    <row r="335">
      <c r="A335" s="20" t="inlineStr">
        <is>
          <t>5107525</t>
        </is>
      </c>
      <c r="B335" s="21" t="inlineStr">
        <is>
          <t xml:space="preserve">Shrimp P&amp;D Tlon 16/20 </t>
        </is>
      </c>
      <c r="C335" s="22" t="inlineStr">
        <is>
          <t>(4) 2.5lb</t>
        </is>
      </c>
      <c r="E335" s="23" t="n"/>
      <c r="F335" s="16" t="inlineStr">
        <is>
          <t>(5) 2LB</t>
        </is>
      </c>
      <c r="G335" t="inlineStr">
        <is>
          <t xml:space="preserve">Shrimp 16/20 RAW P&amp;D T/On </t>
        </is>
      </c>
      <c r="H335" s="20" t="inlineStr">
        <is>
          <t>00246512</t>
        </is>
      </c>
      <c r="I335" s="35" t="inlineStr">
        <is>
          <t>By LB</t>
        </is>
      </c>
      <c r="J335" s="24">
        <f>D335/10</f>
        <v/>
      </c>
      <c r="K335" s="36">
        <f>E335</f>
        <v/>
      </c>
      <c r="L335" s="37" t="inlineStr">
        <is>
          <t>By OUNCE</t>
        </is>
      </c>
      <c r="M335" s="34">
        <f>J335/16</f>
        <v/>
      </c>
      <c r="N335" s="10">
        <f>K335/16</f>
        <v/>
      </c>
      <c r="P335" s="10">
        <f>J335*10</f>
        <v/>
      </c>
      <c r="Q335" s="10">
        <f>K335*10</f>
        <v/>
      </c>
      <c r="R335" s="10">
        <f>P335-Q335</f>
        <v/>
      </c>
      <c r="S335" s="29">
        <f>R335/P335</f>
        <v/>
      </c>
    </row>
    <row r="336">
      <c r="A336" s="20" t="inlineStr">
        <is>
          <t>0774069</t>
        </is>
      </c>
      <c r="B336" t="inlineStr">
        <is>
          <t>U15 Shrimp</t>
        </is>
      </c>
      <c r="C336" s="22" t="inlineStr">
        <is>
          <t>(4) 2.5lb</t>
        </is>
      </c>
      <c r="E336" s="23" t="n"/>
      <c r="I336" s="35" t="inlineStr">
        <is>
          <t>By LB</t>
        </is>
      </c>
      <c r="J336" s="24">
        <f>D336/10</f>
        <v/>
      </c>
      <c r="R336" s="10">
        <f>P336-Q336</f>
        <v/>
      </c>
      <c r="S336" s="29">
        <f>R336/P336</f>
        <v/>
      </c>
    </row>
    <row r="337">
      <c r="A337" s="20" t="inlineStr">
        <is>
          <t>8096673</t>
        </is>
      </c>
      <c r="B337" s="21" t="inlineStr">
        <is>
          <t xml:space="preserve">Shrimp Breaded COCO BFLY 16/20 </t>
        </is>
      </c>
      <c r="C337" s="22" t="inlineStr">
        <is>
          <t>(4) 3lb</t>
        </is>
      </c>
      <c r="E337" s="23" t="n"/>
      <c r="F337" s="16" t="inlineStr">
        <is>
          <t>(4) 3lb</t>
        </is>
      </c>
      <c r="G337" t="inlineStr">
        <is>
          <t>Shrimp Breaded COCO BFLY 16/20</t>
        </is>
      </c>
      <c r="H337" s="20" t="inlineStr">
        <is>
          <t>10026581</t>
        </is>
      </c>
      <c r="I337" s="35" t="inlineStr">
        <is>
          <t>By LB</t>
        </is>
      </c>
      <c r="J337" s="24">
        <f>D337/12</f>
        <v/>
      </c>
      <c r="K337" s="36">
        <f>E337</f>
        <v/>
      </c>
      <c r="L337" s="37" t="inlineStr">
        <is>
          <t>By Ounce</t>
        </is>
      </c>
      <c r="M337" s="34">
        <f>J337/16</f>
        <v/>
      </c>
      <c r="N337" s="10">
        <f>K337/16</f>
        <v/>
      </c>
      <c r="P337" s="10">
        <f>J337*12</f>
        <v/>
      </c>
      <c r="Q337" s="10">
        <f>K337*12</f>
        <v/>
      </c>
      <c r="R337" s="10">
        <f>P337-Q337</f>
        <v/>
      </c>
      <c r="S337" s="29">
        <f>R337/P337</f>
        <v/>
      </c>
    </row>
    <row r="338">
      <c r="C338" s="33" t="n"/>
      <c r="E338" s="23" t="n"/>
      <c r="F338" s="33" t="n"/>
    </row>
    <row customHeight="1" ht="21" r="339">
      <c r="B339" s="2" t="inlineStr">
        <is>
          <t>TUNA</t>
        </is>
      </c>
      <c r="C339" s="33" t="n"/>
      <c r="E339" s="23" t="n"/>
      <c r="F339" s="33" t="n"/>
    </row>
    <row r="340">
      <c r="A340" s="20" t="inlineStr">
        <is>
          <t>3269877</t>
        </is>
      </c>
      <c r="B340" s="21" t="inlineStr">
        <is>
          <t xml:space="preserve">Tuna Yellow Fin Steak 4oz </t>
        </is>
      </c>
      <c r="C340" s="22" t="inlineStr">
        <is>
          <t>(1) 10lb</t>
        </is>
      </c>
      <c r="E340" s="23" t="n"/>
      <c r="F340" s="16" t="inlineStr">
        <is>
          <t>(1) 10lb</t>
        </is>
      </c>
      <c r="G340" t="inlineStr">
        <is>
          <t xml:space="preserve">Tuna Steak 4oz Ahi Sushi Grade </t>
        </is>
      </c>
      <c r="H340" s="20" t="inlineStr">
        <is>
          <t>10009441</t>
        </is>
      </c>
      <c r="I340" s="35" t="inlineStr">
        <is>
          <t>By LB</t>
        </is>
      </c>
      <c r="J340" s="24">
        <f>D340/10</f>
        <v/>
      </c>
      <c r="K340" s="36">
        <f>E340</f>
        <v/>
      </c>
      <c r="L340" s="37" t="inlineStr">
        <is>
          <t>By OUNCE</t>
        </is>
      </c>
      <c r="M340" s="34">
        <f>J340/16</f>
        <v/>
      </c>
      <c r="N340" s="10">
        <f>K340/16</f>
        <v/>
      </c>
      <c r="P340" s="10">
        <f>J340*10</f>
        <v/>
      </c>
      <c r="Q340" s="10">
        <f>K340*10</f>
        <v/>
      </c>
      <c r="R340" s="10">
        <f>P340-Q340</f>
        <v/>
      </c>
      <c r="S340" s="29">
        <f>R340/P340</f>
        <v/>
      </c>
    </row>
    <row r="341">
      <c r="A341" s="20" t="inlineStr">
        <is>
          <t>3269741</t>
        </is>
      </c>
      <c r="B341" t="inlineStr">
        <is>
          <t>Tuna Yello Fin Steak 8oz</t>
        </is>
      </c>
      <c r="C341" s="22" t="inlineStr">
        <is>
          <t>(1) 10lb</t>
        </is>
      </c>
      <c r="E341" s="23" t="n"/>
      <c r="F341" s="16" t="inlineStr">
        <is>
          <t>(1) 10lb</t>
        </is>
      </c>
      <c r="G341" t="inlineStr">
        <is>
          <t>Ttuna Steak 8oz Ahi Sushi Grade</t>
        </is>
      </c>
      <c r="H341" s="20" t="inlineStr">
        <is>
          <t>10009443</t>
        </is>
      </c>
      <c r="I341" s="35" t="inlineStr">
        <is>
          <t>By LB</t>
        </is>
      </c>
      <c r="J341" s="24">
        <f>D341/10</f>
        <v/>
      </c>
      <c r="K341" s="36">
        <f>E341</f>
        <v/>
      </c>
      <c r="L341" s="37" t="inlineStr">
        <is>
          <t>By Ounce</t>
        </is>
      </c>
      <c r="M341" s="34">
        <f>J341/16</f>
        <v/>
      </c>
      <c r="N341" s="10">
        <f>K341/16</f>
        <v/>
      </c>
      <c r="P341" s="10">
        <f>J341*10</f>
        <v/>
      </c>
      <c r="Q341" s="10">
        <f>K341*10</f>
        <v/>
      </c>
      <c r="R341" s="10">
        <f>P341-Q341</f>
        <v/>
      </c>
      <c r="S341" s="29">
        <f>R341/P341</f>
        <v/>
      </c>
    </row>
    <row r="342">
      <c r="C342" s="33" t="n"/>
      <c r="E342" s="23" t="n"/>
      <c r="F342" s="33" t="n"/>
    </row>
    <row customHeight="1" ht="21" r="343">
      <c r="B343" s="2" t="inlineStr">
        <is>
          <t>MAHI MAHI</t>
        </is>
      </c>
      <c r="C343" s="33" t="n"/>
      <c r="E343" s="23" t="n"/>
      <c r="F343" s="33" t="n"/>
    </row>
    <row r="344">
      <c r="A344" s="20" t="inlineStr">
        <is>
          <t>7047484</t>
        </is>
      </c>
      <c r="B344" t="inlineStr">
        <is>
          <t>Mahi Mahi Cheek 2-4oz</t>
        </is>
      </c>
      <c r="C344" s="22" t="inlineStr">
        <is>
          <t>(1) 10lb</t>
        </is>
      </c>
      <c r="E344" s="23" t="n"/>
      <c r="F344" s="16" t="inlineStr">
        <is>
          <t>(1) 10lb</t>
        </is>
      </c>
      <c r="G344" t="inlineStr">
        <is>
          <t>Mahi PRTN 2-4oz</t>
        </is>
      </c>
      <c r="H344" s="20" t="inlineStr">
        <is>
          <t>10026270</t>
        </is>
      </c>
      <c r="I344" s="35" t="inlineStr">
        <is>
          <t>By LB</t>
        </is>
      </c>
      <c r="J344" s="24">
        <f>D344/10</f>
        <v/>
      </c>
      <c r="K344" s="36">
        <f>E344</f>
        <v/>
      </c>
      <c r="L344" s="37" t="inlineStr">
        <is>
          <t>By Ounce</t>
        </is>
      </c>
      <c r="M344" s="34">
        <f>J344/16</f>
        <v/>
      </c>
      <c r="N344" s="10">
        <f>K344/16</f>
        <v/>
      </c>
      <c r="P344" s="10">
        <f>J344*10</f>
        <v/>
      </c>
      <c r="Q344" s="10">
        <f>K344*10</f>
        <v/>
      </c>
      <c r="R344" s="10">
        <f>P344-Q344</f>
        <v/>
      </c>
      <c r="S344" s="29">
        <f>R344/P344</f>
        <v/>
      </c>
    </row>
    <row r="345">
      <c r="A345" s="20" t="inlineStr">
        <is>
          <t>7047484</t>
        </is>
      </c>
      <c r="B345" t="inlineStr">
        <is>
          <t>Mahi Mahi 5-7oz</t>
        </is>
      </c>
      <c r="C345" s="22" t="inlineStr">
        <is>
          <t>(1) 10lb</t>
        </is>
      </c>
      <c r="E345" s="23" t="n"/>
      <c r="F345" s="16" t="inlineStr">
        <is>
          <t>(1) lb</t>
        </is>
      </c>
      <c r="G345" t="inlineStr">
        <is>
          <t>6 oz portion size</t>
        </is>
      </c>
      <c r="H345" s="38" t="n">
        <v>10009995</v>
      </c>
      <c r="I345" s="35" t="inlineStr">
        <is>
          <t>By Lb</t>
        </is>
      </c>
      <c r="J345" s="24">
        <f>D345/10</f>
        <v/>
      </c>
      <c r="K345" s="40">
        <f>E345</f>
        <v/>
      </c>
      <c r="L345" s="37" t="inlineStr">
        <is>
          <t>By Ounce</t>
        </is>
      </c>
      <c r="M345" s="34">
        <f>J345/16</f>
        <v/>
      </c>
      <c r="N345" s="10">
        <f>K345/16</f>
        <v/>
      </c>
      <c r="P345" s="10">
        <f>M345*160</f>
        <v/>
      </c>
      <c r="Q345" s="10">
        <f>N345*160</f>
        <v/>
      </c>
      <c r="R345" s="10">
        <f>P345-Q345</f>
        <v/>
      </c>
      <c r="S345" s="29">
        <f>R345/P345</f>
        <v/>
      </c>
    </row>
    <row r="346">
      <c r="A346" s="20" t="inlineStr">
        <is>
          <t>6888053</t>
        </is>
      </c>
      <c r="B346" t="inlineStr">
        <is>
          <t>Fish Dip Mahi-Mahi (Mrs Peters)</t>
        </is>
      </c>
      <c r="C346" s="22" t="inlineStr">
        <is>
          <t>(2) 5lb</t>
        </is>
      </c>
      <c r="E346" s="23" t="n"/>
      <c r="F346" s="16" t="inlineStr">
        <is>
          <t>(2) 5lb</t>
        </is>
      </c>
      <c r="G346" t="inlineStr">
        <is>
          <t>Fish Dip Smoked Mahi</t>
        </is>
      </c>
      <c r="H346" s="20" t="inlineStr">
        <is>
          <t>10017772</t>
        </is>
      </c>
      <c r="I346" s="35" t="inlineStr">
        <is>
          <t>By LB</t>
        </is>
      </c>
      <c r="J346" s="24">
        <f>D346/10</f>
        <v/>
      </c>
      <c r="K346" s="36">
        <f>E346/10</f>
        <v/>
      </c>
      <c r="L346" s="37" t="inlineStr">
        <is>
          <t>By OUNCE</t>
        </is>
      </c>
      <c r="M346" s="34">
        <f>J346/16</f>
        <v/>
      </c>
      <c r="N346" s="10">
        <f>K346/16</f>
        <v/>
      </c>
      <c r="P346" s="10">
        <f>J346*10</f>
        <v/>
      </c>
      <c r="Q346" s="10">
        <f>K346*10</f>
        <v/>
      </c>
      <c r="R346" s="10">
        <f>P346-Q346</f>
        <v/>
      </c>
      <c r="S346" s="29">
        <f>R346/P346</f>
        <v/>
      </c>
    </row>
    <row r="347">
      <c r="C347" s="33" t="n"/>
      <c r="E347" s="23" t="n"/>
      <c r="F347" s="33" t="n"/>
    </row>
    <row customHeight="1" ht="21" r="348">
      <c r="B348" s="2" t="inlineStr">
        <is>
          <t>OTHER FISH</t>
        </is>
      </c>
      <c r="C348" s="33" t="n"/>
      <c r="E348" s="23" t="n"/>
      <c r="F348" s="33" t="n"/>
    </row>
    <row r="349">
      <c r="A349" s="20" t="inlineStr">
        <is>
          <t>7576705</t>
        </is>
      </c>
      <c r="B349" s="21" t="inlineStr">
        <is>
          <t>PORTSIM Salmon ATL PRTN BLSL 6oz</t>
        </is>
      </c>
      <c r="C349" s="22" t="inlineStr">
        <is>
          <t>(1`) 10lb</t>
        </is>
      </c>
      <c r="E349" s="23" t="n"/>
      <c r="H349" s="20" t="n"/>
      <c r="I349" s="35" t="n"/>
      <c r="J349" s="24" t="n"/>
      <c r="K349" s="36" t="n"/>
      <c r="S349" s="29" t="n"/>
    </row>
    <row r="350">
      <c r="A350" s="20" t="inlineStr">
        <is>
          <t>7036700</t>
        </is>
      </c>
      <c r="B350" s="21" t="inlineStr">
        <is>
          <t>Cod Loin 8oz</t>
        </is>
      </c>
      <c r="C350" s="22" t="inlineStr">
        <is>
          <t>(1) 10lb</t>
        </is>
      </c>
      <c r="E350" s="23" t="n"/>
      <c r="F350" s="16" t="inlineStr">
        <is>
          <t>(1) 10lb</t>
        </is>
      </c>
      <c r="G350" t="inlineStr">
        <is>
          <t>Cod Loin 10lb</t>
        </is>
      </c>
      <c r="H350" s="20" t="inlineStr">
        <is>
          <t>10047645</t>
        </is>
      </c>
      <c r="I350" s="35" t="inlineStr">
        <is>
          <t>By LB</t>
        </is>
      </c>
      <c r="J350" s="24">
        <f>D350/10</f>
        <v/>
      </c>
      <c r="K350" s="36">
        <f>E350</f>
        <v/>
      </c>
      <c r="L350" s="37" t="inlineStr">
        <is>
          <t>By Ounce</t>
        </is>
      </c>
      <c r="M350" s="34">
        <f>J350/16</f>
        <v/>
      </c>
      <c r="N350" s="10">
        <f>K350/16</f>
        <v/>
      </c>
      <c r="P350" s="10">
        <f>J350*10</f>
        <v/>
      </c>
      <c r="Q350" s="10">
        <f>K350*10</f>
        <v/>
      </c>
      <c r="R350" s="10">
        <f>P350-Q350</f>
        <v/>
      </c>
      <c r="S350" s="29">
        <f>R350/P350</f>
        <v/>
      </c>
    </row>
    <row r="351">
      <c r="A351" s="20" t="inlineStr">
        <is>
          <t>8071647</t>
        </is>
      </c>
      <c r="B351" t="inlineStr">
        <is>
          <t>PORTIMP Pangasius Fillet IQF 5-7oz</t>
        </is>
      </c>
      <c r="C351" s="22" t="inlineStr">
        <is>
          <t>15lb</t>
        </is>
      </c>
      <c r="E351" s="23" t="n"/>
      <c r="F351" s="16" t="inlineStr">
        <is>
          <t>(1) 15lb</t>
        </is>
      </c>
      <c r="G351" t="inlineStr">
        <is>
          <t>Pangasius 5-7oz</t>
        </is>
      </c>
      <c r="H351" s="20" t="inlineStr">
        <is>
          <t>00258602</t>
        </is>
      </c>
      <c r="I351" s="35" t="inlineStr">
        <is>
          <t>By LB</t>
        </is>
      </c>
      <c r="J351" s="24">
        <f>D351/15</f>
        <v/>
      </c>
      <c r="K351" s="36">
        <f>E351</f>
        <v/>
      </c>
      <c r="L351" s="37" t="inlineStr">
        <is>
          <t>By OUNCE</t>
        </is>
      </c>
      <c r="M351" s="34">
        <f>J351/16</f>
        <v/>
      </c>
      <c r="N351" s="10">
        <f>K351/16</f>
        <v/>
      </c>
      <c r="P351" s="10">
        <f>J351*15</f>
        <v/>
      </c>
      <c r="Q351" s="10">
        <f>K351*15</f>
        <v/>
      </c>
      <c r="R351" s="10">
        <f>P351-Q351</f>
        <v/>
      </c>
      <c r="S351" s="29">
        <f>R351/P351</f>
        <v/>
      </c>
    </row>
    <row r="352">
      <c r="A352" s="20" t="inlineStr">
        <is>
          <t>8096749</t>
        </is>
      </c>
      <c r="B352" t="inlineStr">
        <is>
          <t>Clamari Tube and tents 5-8</t>
        </is>
      </c>
      <c r="C352" s="22" t="inlineStr">
        <is>
          <t>(4) 2.5lb</t>
        </is>
      </c>
      <c r="E352" s="23" t="n"/>
      <c r="F352" s="16" t="inlineStr">
        <is>
          <t>(4) 2.5lbs</t>
        </is>
      </c>
      <c r="G352" t="inlineStr">
        <is>
          <t>Calamari Tubes and Tents</t>
        </is>
      </c>
      <c r="H352" s="20" t="inlineStr">
        <is>
          <t>00254302</t>
        </is>
      </c>
      <c r="I352" s="35" t="inlineStr">
        <is>
          <t>By LB</t>
        </is>
      </c>
      <c r="J352" s="24">
        <f>D352/10</f>
        <v/>
      </c>
      <c r="K352" s="36">
        <f>E352</f>
        <v/>
      </c>
      <c r="L352" s="37" t="n"/>
      <c r="M352" s="34">
        <f>J352/16</f>
        <v/>
      </c>
      <c r="N352" s="10">
        <f>K352/16</f>
        <v/>
      </c>
      <c r="P352" s="10">
        <f>J352*10</f>
        <v/>
      </c>
      <c r="Q352" s="10">
        <f>K352*10</f>
        <v/>
      </c>
      <c r="R352" s="10">
        <f>P352-Q352</f>
        <v/>
      </c>
      <c r="S352" s="29">
        <f>R352/P352</f>
        <v/>
      </c>
    </row>
    <row r="353">
      <c r="A353" s="66" t="inlineStr">
        <is>
          <t>8496366</t>
        </is>
      </c>
      <c r="B353" t="inlineStr">
        <is>
          <t xml:space="preserve">PORTSIM Salmon ATL PRTN BLSL 8oz </t>
        </is>
      </c>
      <c r="C353" s="22" t="inlineStr">
        <is>
          <t>(1) 10lb</t>
        </is>
      </c>
      <c r="E353" s="23" t="n"/>
      <c r="F353" s="16" t="inlineStr">
        <is>
          <t>(1) 10lb</t>
        </is>
      </c>
      <c r="G353" t="inlineStr">
        <is>
          <t>Salmon Fillet 8oz</t>
        </is>
      </c>
      <c r="H353" s="20" t="inlineStr">
        <is>
          <t>00258099</t>
        </is>
      </c>
      <c r="I353" s="35" t="inlineStr">
        <is>
          <t>By LB</t>
        </is>
      </c>
      <c r="J353" s="24">
        <f>D353/10</f>
        <v/>
      </c>
      <c r="K353" s="36">
        <f>E353</f>
        <v/>
      </c>
      <c r="M353" s="34">
        <f>J353/16</f>
        <v/>
      </c>
      <c r="N353" s="10">
        <f>K353/16</f>
        <v/>
      </c>
      <c r="P353" s="10">
        <f>J353*10</f>
        <v/>
      </c>
      <c r="Q353" s="10">
        <f>K353*10</f>
        <v/>
      </c>
      <c r="R353" s="10">
        <f>P353-Q353</f>
        <v/>
      </c>
      <c r="S353" s="29">
        <f>R353/P353</f>
        <v/>
      </c>
    </row>
    <row r="354">
      <c r="C354" s="32" t="n"/>
      <c r="E354" s="23" t="n"/>
      <c r="F354" s="52" t="n"/>
      <c r="I354" s="32" t="n"/>
      <c r="L354" s="23" t="n"/>
    </row>
    <row customHeight="1" ht="28.5" r="355">
      <c r="A355" s="12" t="n"/>
      <c r="B355" s="13" t="inlineStr">
        <is>
          <t>Paper and Disp</t>
        </is>
      </c>
      <c r="C355" s="17" t="n"/>
      <c r="E355" s="23" t="n"/>
      <c r="I355" s="17" t="n"/>
      <c r="J355" s="18" t="n"/>
      <c r="K355" s="15" t="n"/>
      <c r="L355" s="15" t="n"/>
      <c r="M355" s="18" t="n"/>
      <c r="N355" s="13" t="n"/>
      <c r="O355" s="19" t="n"/>
      <c r="P355" s="19" t="n"/>
      <c r="Q355" s="19" t="n"/>
      <c r="R355" s="19" t="n"/>
      <c r="S355" s="19" t="n"/>
    </row>
    <row customHeight="1" ht="21" r="356">
      <c r="B356" s="2" t="inlineStr">
        <is>
          <t>TO GO CONTAINERS</t>
        </is>
      </c>
      <c r="C356" s="33" t="n"/>
      <c r="E356" s="23" t="n"/>
      <c r="F356" s="33" t="n"/>
      <c r="J356" t="inlineStr">
        <is>
          <t>Sysco</t>
        </is>
      </c>
      <c r="K356" t="inlineStr">
        <is>
          <t>Cheney</t>
        </is>
      </c>
      <c r="M356" s="34" t="inlineStr">
        <is>
          <t xml:space="preserve">Sysco </t>
        </is>
      </c>
      <c r="N356" s="10" t="inlineStr">
        <is>
          <t>Cheney</t>
        </is>
      </c>
      <c r="P356" s="10" t="inlineStr">
        <is>
          <t>Sysco Apples to Apples</t>
        </is>
      </c>
      <c r="Q356" s="10" t="inlineStr">
        <is>
          <t>Cheny Apples to Apples</t>
        </is>
      </c>
    </row>
    <row r="357">
      <c r="A357" s="20" t="inlineStr">
        <is>
          <t>7551334</t>
        </is>
      </c>
      <c r="B357" t="inlineStr">
        <is>
          <t>Container foam hinge 9x9x3 (150)</t>
        </is>
      </c>
      <c r="C357" s="22" t="n">
        <v>150</v>
      </c>
      <c r="E357" s="23" t="n"/>
      <c r="F357" s="16" t="inlineStr">
        <is>
          <t>200ct</t>
        </is>
      </c>
      <c r="H357" s="1" t="inlineStr">
        <is>
          <t>00833124</t>
        </is>
      </c>
      <c r="I357" s="35" t="inlineStr">
        <is>
          <t>By Each</t>
        </is>
      </c>
      <c r="J357" s="24">
        <f>D357/150</f>
        <v/>
      </c>
      <c r="K357" s="36">
        <f>E357/200</f>
        <v/>
      </c>
      <c r="P357" s="10">
        <f>J357*200</f>
        <v/>
      </c>
      <c r="Q357" s="10">
        <f>K357*200</f>
        <v/>
      </c>
      <c r="R357" s="10">
        <f>P357-Q357</f>
        <v/>
      </c>
      <c r="S357" s="29">
        <f>R357/P357</f>
        <v/>
      </c>
    </row>
    <row r="358">
      <c r="A358" s="20" t="inlineStr">
        <is>
          <t>7336805</t>
        </is>
      </c>
      <c r="B358" t="inlineStr">
        <is>
          <t>Container Sandwhich 6in Square</t>
        </is>
      </c>
      <c r="C358" s="22" t="n">
        <v>500</v>
      </c>
      <c r="E358" s="23" t="n"/>
      <c r="I358" s="35" t="inlineStr">
        <is>
          <t>By Each</t>
        </is>
      </c>
      <c r="J358" s="24">
        <f>D358/500</f>
        <v/>
      </c>
      <c r="R358" s="10">
        <f>P358-Q358</f>
        <v/>
      </c>
      <c r="S358" s="29">
        <f>R358/P358</f>
        <v/>
      </c>
    </row>
    <row r="359">
      <c r="A359" s="20" t="inlineStr">
        <is>
          <t>2826412</t>
        </is>
      </c>
      <c r="B359" t="inlineStr">
        <is>
          <t>Container Foam Round 8OZ</t>
        </is>
      </c>
      <c r="C359" s="22" t="n">
        <v>250</v>
      </c>
      <c r="E359" s="23" t="n"/>
      <c r="I359" s="35" t="inlineStr">
        <is>
          <t>By Each</t>
        </is>
      </c>
      <c r="J359" s="24">
        <f>D359/250</f>
        <v/>
      </c>
      <c r="R359" s="10">
        <f>P359-Q359</f>
        <v/>
      </c>
      <c r="S359" s="29">
        <f>R359/P359</f>
        <v/>
      </c>
    </row>
    <row r="360">
      <c r="A360" s="20" t="inlineStr">
        <is>
          <t>2826481</t>
        </is>
      </c>
      <c r="B360" t="inlineStr">
        <is>
          <t>Container Foam Round 12OZ</t>
        </is>
      </c>
      <c r="C360" s="22" t="inlineStr">
        <is>
          <t>(20) 25ct</t>
        </is>
      </c>
      <c r="E360" s="23" t="n"/>
      <c r="I360" s="35" t="inlineStr">
        <is>
          <t>By Each</t>
        </is>
      </c>
      <c r="J360" s="24">
        <f>D360/500</f>
        <v/>
      </c>
      <c r="R360" s="10">
        <f>P360-Q360</f>
        <v/>
      </c>
      <c r="S360" s="29">
        <f>R360/P360</f>
        <v/>
      </c>
    </row>
    <row r="361">
      <c r="A361" s="20" t="inlineStr">
        <is>
          <t>2974923</t>
        </is>
      </c>
      <c r="B361" t="inlineStr">
        <is>
          <t>Container Lid Vented fro 8OZ-16OZ</t>
        </is>
      </c>
      <c r="C361" s="22" t="inlineStr">
        <is>
          <t>(13) 80</t>
        </is>
      </c>
      <c r="E361" s="23" t="n"/>
      <c r="I361" s="35" t="inlineStr">
        <is>
          <t>By Each</t>
        </is>
      </c>
      <c r="J361" s="24">
        <f>D361/1040</f>
        <v/>
      </c>
      <c r="R361" s="10">
        <f>P361-Q361</f>
        <v/>
      </c>
      <c r="S361" s="29">
        <f>R361/P361</f>
        <v/>
      </c>
    </row>
    <row r="362">
      <c r="A362" s="20" t="inlineStr">
        <is>
          <t>8243646</t>
        </is>
      </c>
      <c r="B362" t="inlineStr">
        <is>
          <t xml:space="preserve">Wallace Kit Cutlery </t>
        </is>
      </c>
      <c r="C362" s="22" t="n">
        <v>250</v>
      </c>
      <c r="E362" s="23" t="n"/>
      <c r="F362" s="16" t="inlineStr">
        <is>
          <t>250</t>
        </is>
      </c>
      <c r="G362" t="inlineStr">
        <is>
          <t>Cutlery Kit XHVY Beige</t>
        </is>
      </c>
      <c r="H362" s="20" t="inlineStr">
        <is>
          <t>00862835</t>
        </is>
      </c>
      <c r="I362" s="69" t="inlineStr">
        <is>
          <t>By Each</t>
        </is>
      </c>
      <c r="J362" s="24">
        <f>D362/250</f>
        <v/>
      </c>
      <c r="K362" s="36">
        <f>E362/250</f>
        <v/>
      </c>
      <c r="M362" s="34">
        <f>J362</f>
        <v/>
      </c>
      <c r="N362" s="10">
        <f>K362</f>
        <v/>
      </c>
      <c r="P362" s="10">
        <f>M362*250</f>
        <v/>
      </c>
      <c r="Q362" s="10">
        <f>N362*250</f>
        <v/>
      </c>
      <c r="R362" s="10">
        <f>P362-Q362</f>
        <v/>
      </c>
      <c r="S362" s="29">
        <f>R362/P362</f>
        <v/>
      </c>
    </row>
    <row r="363">
      <c r="A363" s="20" t="inlineStr">
        <is>
          <t>6403208</t>
        </is>
      </c>
      <c r="B363" t="inlineStr">
        <is>
          <t>Pizza Box 10x10</t>
        </is>
      </c>
      <c r="C363" s="22" t="n">
        <v>50</v>
      </c>
      <c r="E363" s="23" t="n"/>
      <c r="I363" s="69" t="inlineStr">
        <is>
          <t>By Each</t>
        </is>
      </c>
      <c r="J363" s="24">
        <f>D363/50</f>
        <v/>
      </c>
      <c r="R363" s="10">
        <f>P363-Q363</f>
        <v/>
      </c>
      <c r="S363" s="29">
        <f>R363/P363</f>
        <v/>
      </c>
    </row>
    <row r="364">
      <c r="A364" s="20" t="inlineStr">
        <is>
          <t>2769219</t>
        </is>
      </c>
      <c r="B364" t="inlineStr">
        <is>
          <t>SYS CLS Cup Foam 20oz White (20) 25ct</t>
        </is>
      </c>
      <c r="C364" s="22" t="n">
        <v>500</v>
      </c>
      <c r="E364" s="23" t="n"/>
      <c r="F364" s="16" t="inlineStr">
        <is>
          <t>500</t>
        </is>
      </c>
      <c r="I364" s="69" t="inlineStr">
        <is>
          <t>By Each</t>
        </is>
      </c>
      <c r="J364" s="24">
        <f>D364/500</f>
        <v/>
      </c>
      <c r="K364" s="36">
        <f>E364/500</f>
        <v/>
      </c>
      <c r="L364" s="8" t="inlineStr">
        <is>
          <t>By Each</t>
        </is>
      </c>
      <c r="M364" s="34">
        <f>J364</f>
        <v/>
      </c>
      <c r="N364" s="10">
        <f>K364</f>
        <v/>
      </c>
      <c r="P364" s="10">
        <f>J364*500</f>
        <v/>
      </c>
      <c r="Q364" s="10">
        <f>K364*500</f>
        <v/>
      </c>
      <c r="R364" s="10">
        <f>P364-Q364</f>
        <v/>
      </c>
      <c r="S364" s="29">
        <f>R364/P364</f>
        <v/>
      </c>
    </row>
    <row r="365">
      <c r="A365" s="20" t="inlineStr">
        <is>
          <t>2777561</t>
        </is>
      </c>
      <c r="B365" t="inlineStr">
        <is>
          <t xml:space="preserve">Plas Clear Lid to Go </t>
        </is>
      </c>
      <c r="C365" s="22" t="inlineStr">
        <is>
          <t>(10) 100ct</t>
        </is>
      </c>
      <c r="E365" s="23" t="n"/>
      <c r="F365" s="67" t="n"/>
      <c r="I365" s="68" t="inlineStr">
        <is>
          <t>By Each</t>
        </is>
      </c>
      <c r="J365" s="24">
        <f>D365/1000</f>
        <v/>
      </c>
      <c r="L365" s="42" t="n"/>
      <c r="R365" s="10">
        <f>P365-Q365</f>
        <v/>
      </c>
      <c r="S365" s="29">
        <f>R365/P365</f>
        <v/>
      </c>
    </row>
    <row r="366">
      <c r="A366" s="40" t="n">
        <v>7834504</v>
      </c>
      <c r="B366" t="inlineStr">
        <is>
          <t>Kids Cup</t>
        </is>
      </c>
      <c r="C366" s="47" t="inlineStr">
        <is>
          <t>(500) 12oz</t>
        </is>
      </c>
      <c r="E366" s="23" t="n"/>
      <c r="F366" s="47" t="n"/>
      <c r="I366" s="69" t="inlineStr">
        <is>
          <t>By Each</t>
        </is>
      </c>
      <c r="J366" s="40">
        <f>D366/500</f>
        <v/>
      </c>
      <c r="L366" s="21" t="n"/>
      <c r="R366" s="10">
        <f>P366-Q366</f>
        <v/>
      </c>
      <c r="S366" s="29">
        <f>R366/P366</f>
        <v/>
      </c>
    </row>
    <row r="367">
      <c r="A367" s="20" t="inlineStr">
        <is>
          <t>7065842</t>
        </is>
      </c>
      <c r="B367" t="inlineStr">
        <is>
          <t xml:space="preserve">To Go Bag </t>
        </is>
      </c>
      <c r="C367" s="22" t="n">
        <v>750</v>
      </c>
      <c r="E367" s="23" t="n"/>
      <c r="F367" s="16" t="inlineStr">
        <is>
          <t>900</t>
        </is>
      </c>
      <c r="G367" t="inlineStr">
        <is>
          <t>Bag Plas Tsack Thank You</t>
        </is>
      </c>
      <c r="H367" s="20" t="inlineStr">
        <is>
          <t>00810274</t>
        </is>
      </c>
      <c r="I367" s="69" t="inlineStr">
        <is>
          <t>By Each</t>
        </is>
      </c>
      <c r="J367" s="24">
        <f>D367/750</f>
        <v/>
      </c>
      <c r="K367" s="36">
        <f>E367/900</f>
        <v/>
      </c>
      <c r="L367" s="8" t="inlineStr">
        <is>
          <t>By Each</t>
        </is>
      </c>
      <c r="M367" s="24">
        <f>J367</f>
        <v/>
      </c>
      <c r="N367" s="36">
        <f>K367</f>
        <v/>
      </c>
      <c r="P367" s="10">
        <f>750*J367</f>
        <v/>
      </c>
      <c r="Q367" s="10">
        <f>K367*750</f>
        <v/>
      </c>
      <c r="R367" s="10">
        <f>P367-Q367</f>
        <v/>
      </c>
      <c r="S367" s="29">
        <f>R367/P367</f>
        <v/>
      </c>
    </row>
    <row r="368">
      <c r="A368" s="20" t="inlineStr">
        <is>
          <t>0834663</t>
        </is>
      </c>
      <c r="B368" t="inlineStr">
        <is>
          <t>Lemon Towelette</t>
        </is>
      </c>
      <c r="C368" s="22" t="n">
        <v>1000</v>
      </c>
      <c r="E368" s="23" t="n"/>
      <c r="I368" s="69" t="inlineStr">
        <is>
          <t>By Each</t>
        </is>
      </c>
      <c r="J368" s="24">
        <f>D368/1000</f>
        <v/>
      </c>
      <c r="R368" s="10">
        <f>P368-Q368</f>
        <v/>
      </c>
      <c r="S368" s="29">
        <f>R368/P368</f>
        <v/>
      </c>
    </row>
    <row r="369">
      <c r="A369" s="20" t="inlineStr">
        <is>
          <t>0191567</t>
        </is>
      </c>
      <c r="B369" t="inlineStr">
        <is>
          <t>Straw Plastic Wrapper (500ct</t>
        </is>
      </c>
      <c r="C369" s="22" t="inlineStr">
        <is>
          <t>(24) 500</t>
        </is>
      </c>
      <c r="E369" s="23" t="n"/>
      <c r="R369" s="10">
        <f>P369-Q369</f>
        <v/>
      </c>
      <c r="S369" s="29">
        <f>R369/P369</f>
        <v/>
      </c>
    </row>
    <row r="370">
      <c r="A370" s="1" t="inlineStr">
        <is>
          <t>0191567</t>
        </is>
      </c>
      <c r="B370" t="inlineStr">
        <is>
          <t>Straw Plastic Wrapper</t>
        </is>
      </c>
      <c r="C370" s="22" t="inlineStr">
        <is>
          <t>(24) 500</t>
        </is>
      </c>
      <c r="E370" s="23" t="n"/>
      <c r="F370" s="67" t="inlineStr">
        <is>
          <t>(50) 250</t>
        </is>
      </c>
      <c r="G370" t="inlineStr">
        <is>
          <t>Straw</t>
        </is>
      </c>
      <c r="H370" s="20" t="inlineStr">
        <is>
          <t>00865032</t>
        </is>
      </c>
      <c r="I370" s="69" t="inlineStr">
        <is>
          <t>Each</t>
        </is>
      </c>
      <c r="J370" s="24">
        <f>D370/12000</f>
        <v/>
      </c>
      <c r="K370" s="36">
        <f>E370/12500</f>
        <v/>
      </c>
      <c r="L370" s="23" t="n"/>
      <c r="P370" s="10">
        <f>J370*12500</f>
        <v/>
      </c>
      <c r="Q370" s="10">
        <f>K370*12500</f>
        <v/>
      </c>
      <c r="R370" s="10">
        <f>P370-Q370</f>
        <v/>
      </c>
      <c r="S370" s="29">
        <f>R370/P370</f>
        <v/>
      </c>
    </row>
    <row r="371">
      <c r="A371" s="1" t="inlineStr">
        <is>
          <t>7465969</t>
        </is>
      </c>
      <c r="B371" t="inlineStr">
        <is>
          <t>SYS CLS PAN Foil Stm Tbl Deepxh (100)</t>
        </is>
      </c>
      <c r="E371" s="23" t="n"/>
      <c r="R371" s="10">
        <f>P371-Q371</f>
        <v/>
      </c>
      <c r="S371" s="29">
        <f>R371/P371</f>
        <v/>
      </c>
    </row>
    <row r="372">
      <c r="A372" s="1" t="inlineStr">
        <is>
          <t>6938211</t>
        </is>
      </c>
      <c r="B372" t="inlineStr">
        <is>
          <t>SYS CLS LID Foil F/Half STMTBL PA (100ea)</t>
        </is>
      </c>
      <c r="E372" s="23" t="n"/>
      <c r="R372" s="10">
        <f>P372-Q372</f>
        <v/>
      </c>
      <c r="S372" s="29">
        <f>R372/P372</f>
        <v/>
      </c>
    </row>
    <row r="373">
      <c r="B373" t="inlineStr">
        <is>
          <t>Steam Bags</t>
        </is>
      </c>
      <c r="E373" s="23" t="n"/>
      <c r="S373" s="29" t="n"/>
    </row>
    <row r="374">
      <c r="B374" t="inlineStr">
        <is>
          <t>Saran Wrap</t>
        </is>
      </c>
      <c r="E374" s="23" t="n"/>
      <c r="S374" s="29" t="n"/>
    </row>
    <row r="375">
      <c r="B375" t="inlineStr">
        <is>
          <t>Frail Picks</t>
        </is>
      </c>
      <c r="E375" s="23" t="n"/>
      <c r="S375" s="29" t="n"/>
    </row>
    <row r="376">
      <c r="B376" t="inlineStr">
        <is>
          <t>1 case table salt Cheney Alessi</t>
        </is>
      </c>
      <c r="E376" s="23" t="n"/>
      <c r="S376" s="29" t="n"/>
    </row>
    <row r="377">
      <c r="B377" t="inlineStr">
        <is>
          <t>20OZ Lids</t>
        </is>
      </c>
      <c r="E377" s="23" t="n"/>
      <c r="S377" s="29" t="n"/>
    </row>
    <row r="378">
      <c r="C378" s="33" t="n"/>
      <c r="E378" s="23" t="n"/>
      <c r="F378" s="33" t="n"/>
    </row>
    <row r="379">
      <c r="C379" s="33" t="n"/>
      <c r="E379" s="23" t="n"/>
      <c r="F379" s="33" t="n"/>
    </row>
    <row customHeight="1" ht="21" r="380">
      <c r="B380" s="2" t="inlineStr">
        <is>
          <t>NAPKINS</t>
        </is>
      </c>
      <c r="C380" s="33" t="n"/>
      <c r="E380" s="23" t="n"/>
      <c r="F380" s="33" t="n"/>
    </row>
    <row r="381">
      <c r="A381" s="20" t="inlineStr">
        <is>
          <t>4467779</t>
        </is>
      </c>
      <c r="B381" s="55" t="inlineStr">
        <is>
          <t>Napkin Dinner 15x16.75</t>
        </is>
      </c>
      <c r="C381" s="70" t="inlineStr">
        <is>
          <t>(8) 375 ct</t>
        </is>
      </c>
      <c r="E381" s="23" t="n"/>
      <c r="F381" s="71" t="inlineStr">
        <is>
          <t>(12) 500ct</t>
        </is>
      </c>
      <c r="G381" s="55" t="n"/>
      <c r="H381" s="20" t="inlineStr">
        <is>
          <t>00841082</t>
        </is>
      </c>
      <c r="I381" s="69" t="inlineStr">
        <is>
          <t>By EACH</t>
        </is>
      </c>
      <c r="J381" s="24">
        <f>44.98/3000</f>
        <v/>
      </c>
      <c r="K381" s="36">
        <f>E381/6000</f>
        <v/>
      </c>
      <c r="P381" s="10">
        <f>J381*6000</f>
        <v/>
      </c>
      <c r="Q381" s="10">
        <f>K381*6000</f>
        <v/>
      </c>
      <c r="R381" s="10">
        <f>P381-Q381</f>
        <v/>
      </c>
      <c r="S381" s="29">
        <f>R381/P381</f>
        <v/>
      </c>
    </row>
    <row r="382">
      <c r="A382" s="20" t="inlineStr">
        <is>
          <t>4467738</t>
        </is>
      </c>
      <c r="B382" t="inlineStr">
        <is>
          <t>Beverage napkin 9.5x9.5</t>
        </is>
      </c>
      <c r="C382" s="22" t="inlineStr">
        <is>
          <t>(4) 1000</t>
        </is>
      </c>
      <c r="E382" s="23" t="n"/>
      <c r="F382" s="16" t="inlineStr">
        <is>
          <t>(8) 500ct</t>
        </is>
      </c>
      <c r="H382" s="20" t="inlineStr">
        <is>
          <t>00842011</t>
        </is>
      </c>
      <c r="I382" s="69" t="inlineStr">
        <is>
          <t>By EACH</t>
        </is>
      </c>
      <c r="J382" s="24">
        <f>D382/4000</f>
        <v/>
      </c>
      <c r="K382" s="36">
        <f>E382/4000</f>
        <v/>
      </c>
      <c r="P382" s="10">
        <f>J382*4000</f>
        <v/>
      </c>
      <c r="Q382" s="10">
        <f>K382*4000</f>
        <v/>
      </c>
      <c r="R382" s="10">
        <f>P382-Q382</f>
        <v/>
      </c>
      <c r="S382" s="29">
        <f>R382/P382</f>
        <v/>
      </c>
    </row>
    <row r="383">
      <c r="C383" s="33" t="n"/>
      <c r="E383" s="23" t="n"/>
      <c r="F383" s="33" t="n"/>
    </row>
    <row customHeight="1" ht="21" r="384">
      <c r="B384" s="2" t="inlineStr">
        <is>
          <t>RESTROOM</t>
        </is>
      </c>
      <c r="C384" s="33" t="n"/>
      <c r="E384" s="23" t="n"/>
      <c r="F384" s="33" t="n"/>
    </row>
    <row r="385">
      <c r="A385" s="20" t="inlineStr">
        <is>
          <t>5577089</t>
        </is>
      </c>
      <c r="B385" t="inlineStr">
        <is>
          <t>Tissue Toilet</t>
        </is>
      </c>
      <c r="C385" s="22" t="n">
        <v>12</v>
      </c>
      <c r="E385" s="23" t="n"/>
      <c r="F385" s="16" t="inlineStr">
        <is>
          <t>(12) 751 ft</t>
        </is>
      </c>
      <c r="G385" t="inlineStr">
        <is>
          <t>Tissue Toilet York</t>
        </is>
      </c>
      <c r="H385" s="20" t="inlineStr">
        <is>
          <t>00854630</t>
        </is>
      </c>
      <c r="I385" s="69" t="inlineStr">
        <is>
          <t>By ROLL</t>
        </is>
      </c>
      <c r="J385" s="24">
        <f>D385/12</f>
        <v/>
      </c>
      <c r="K385" s="36">
        <f>E385/12</f>
        <v/>
      </c>
      <c r="P385" s="10">
        <f>D385</f>
        <v/>
      </c>
      <c r="Q385" s="10">
        <f>E385</f>
        <v/>
      </c>
      <c r="R385" s="10">
        <f>P385-Q385</f>
        <v/>
      </c>
      <c r="S385" s="29">
        <f>R385/P385</f>
        <v/>
      </c>
    </row>
    <row r="386">
      <c r="A386" s="20" t="inlineStr">
        <is>
          <t>9362260</t>
        </is>
      </c>
      <c r="B386" t="inlineStr">
        <is>
          <t xml:space="preserve">Towel Roll </t>
        </is>
      </c>
      <c r="C386" s="22" t="inlineStr">
        <is>
          <t>(6) 700ft</t>
        </is>
      </c>
      <c r="E386" s="23" t="n"/>
      <c r="F386" s="16" t="inlineStr">
        <is>
          <t>(6) 700ft</t>
        </is>
      </c>
      <c r="H386" s="20" t="inlineStr">
        <is>
          <t>00851361</t>
        </is>
      </c>
      <c r="I386" s="35" t="inlineStr">
        <is>
          <t>Per Roll</t>
        </is>
      </c>
      <c r="J386" s="24">
        <f>D386/6</f>
        <v/>
      </c>
      <c r="K386" s="36">
        <f>E386/6</f>
        <v/>
      </c>
      <c r="P386" s="10">
        <f>J386*6</f>
        <v/>
      </c>
      <c r="Q386" s="10">
        <f>K386*6</f>
        <v/>
      </c>
      <c r="R386" s="10">
        <f>P386-Q386</f>
        <v/>
      </c>
      <c r="S386" s="29">
        <f>R386/P386</f>
        <v/>
      </c>
    </row>
    <row r="387">
      <c r="C387" s="33" t="n"/>
      <c r="E387" s="23" t="n"/>
      <c r="F387" s="33" t="n"/>
    </row>
    <row customHeight="1" ht="21" r="388">
      <c r="B388" s="2" t="inlineStr">
        <is>
          <t>GLOVES</t>
        </is>
      </c>
      <c r="C388" s="33" t="n"/>
      <c r="E388" s="23" t="n"/>
      <c r="F388" s="33" t="n"/>
    </row>
    <row r="389">
      <c r="A389" s="20" t="inlineStr">
        <is>
          <t>0951956</t>
        </is>
      </c>
      <c r="B389" t="inlineStr">
        <is>
          <t xml:space="preserve">Glove Latex FDSVC PWD Med </t>
        </is>
      </c>
      <c r="C389" s="22" t="inlineStr">
        <is>
          <t>(10) 100ct</t>
        </is>
      </c>
      <c r="E389" s="23" t="n"/>
      <c r="F389" s="16" t="inlineStr">
        <is>
          <t>(10) 100ct</t>
        </is>
      </c>
      <c r="G389" t="inlineStr">
        <is>
          <t>Gloves Latex Medium Powedered</t>
        </is>
      </c>
      <c r="H389" s="20" t="inlineStr">
        <is>
          <t>00708268</t>
        </is>
      </c>
      <c r="I389" s="69" t="inlineStr">
        <is>
          <t>By EACH</t>
        </is>
      </c>
      <c r="J389" s="24">
        <f>D389/1000</f>
        <v/>
      </c>
      <c r="K389" s="36">
        <f>E389/1000</f>
        <v/>
      </c>
      <c r="L389" s="8" t="inlineStr">
        <is>
          <t>By Each</t>
        </is>
      </c>
      <c r="M389" s="34">
        <f>J389</f>
        <v/>
      </c>
      <c r="N389" s="10">
        <f>K389</f>
        <v/>
      </c>
      <c r="P389" s="10">
        <f>M389*1000</f>
        <v/>
      </c>
      <c r="Q389" s="10">
        <f>K389*1000</f>
        <v/>
      </c>
      <c r="R389" s="10">
        <f>P389-Q389</f>
        <v/>
      </c>
      <c r="S389" s="29">
        <f>R389/P389</f>
        <v/>
      </c>
    </row>
    <row r="390">
      <c r="A390" s="20" t="inlineStr">
        <is>
          <t>8346538</t>
        </is>
      </c>
      <c r="B390" t="inlineStr">
        <is>
          <t>Glove Poly Cast Disposable Large</t>
        </is>
      </c>
      <c r="C390" s="22" t="inlineStr">
        <is>
          <t xml:space="preserve">100 ct </t>
        </is>
      </c>
      <c r="E390" s="23" t="n"/>
      <c r="F390" s="16" t="inlineStr">
        <is>
          <t>(10) 100ct</t>
        </is>
      </c>
      <c r="G390" t="inlineStr">
        <is>
          <t>Gloves Latex Large Powerderd</t>
        </is>
      </c>
      <c r="H390" s="20" t="inlineStr">
        <is>
          <t>00708266</t>
        </is>
      </c>
      <c r="I390" s="69" t="inlineStr">
        <is>
          <t>By Each</t>
        </is>
      </c>
      <c r="J390" s="24">
        <f>D390/100</f>
        <v/>
      </c>
      <c r="K390" s="36">
        <f>E390/1000</f>
        <v/>
      </c>
      <c r="M390" s="34">
        <f>J390</f>
        <v/>
      </c>
      <c r="N390" s="10">
        <f>K390</f>
        <v/>
      </c>
      <c r="P390" s="10">
        <f>M390*1000</f>
        <v/>
      </c>
      <c r="Q390" s="10">
        <f>N390*1000</f>
        <v/>
      </c>
      <c r="R390" s="10">
        <f>P390-Q390</f>
        <v/>
      </c>
      <c r="S390" s="29">
        <f>R390/P390</f>
        <v/>
      </c>
    </row>
    <row r="391">
      <c r="C391" s="33" t="n"/>
      <c r="E391" s="23" t="n"/>
      <c r="F391" s="33" t="n"/>
    </row>
    <row r="392">
      <c r="C392" s="33" t="n"/>
      <c r="E392" s="23" t="n"/>
      <c r="F392" s="33" t="n"/>
    </row>
    <row customHeight="1" ht="21" r="393">
      <c r="B393" s="2" t="inlineStr">
        <is>
          <t>KITCHEN SUPPLIES</t>
        </is>
      </c>
      <c r="C393" s="33" t="n"/>
      <c r="E393" s="23" t="n"/>
      <c r="F393" s="33" t="n"/>
    </row>
    <row r="394">
      <c r="A394" s="20" t="inlineStr">
        <is>
          <t>7790658</t>
        </is>
      </c>
      <c r="B394" t="inlineStr">
        <is>
          <t>SYS REL CUP PLAS Portion BLK 2 OZXZ (12) 200 ct</t>
        </is>
      </c>
      <c r="C394" s="22" t="inlineStr">
        <is>
          <t>(12) 200ct</t>
        </is>
      </c>
      <c r="E394" s="23" t="n"/>
      <c r="F394" s="16" t="inlineStr">
        <is>
          <t>(10) 250</t>
        </is>
      </c>
      <c r="G394" t="inlineStr">
        <is>
          <t>Portion Cup 2oz</t>
        </is>
      </c>
      <c r="H394" s="20" t="inlineStr">
        <is>
          <t>10024478</t>
        </is>
      </c>
      <c r="J394" s="24">
        <f>D394/2400</f>
        <v/>
      </c>
      <c r="K394" s="36">
        <f>E394/2500</f>
        <v/>
      </c>
      <c r="P394" s="10">
        <f>J394*2500</f>
        <v/>
      </c>
      <c r="Q394" s="28">
        <f>K394*2500</f>
        <v/>
      </c>
      <c r="R394" s="10">
        <f>P394-Q394</f>
        <v/>
      </c>
      <c r="S394" s="29">
        <f>R394/P394</f>
        <v/>
      </c>
    </row>
    <row r="395">
      <c r="A395" s="20" t="inlineStr">
        <is>
          <t>7793736</t>
        </is>
      </c>
      <c r="B395" t="inlineStr">
        <is>
          <t>Lid Plastic Clear 3-4 oz cup</t>
        </is>
      </c>
      <c r="C395" s="22" t="inlineStr">
        <is>
          <t>(20) 120ct</t>
        </is>
      </c>
      <c r="E395" s="23" t="n"/>
      <c r="I395" s="69" t="inlineStr">
        <is>
          <t>By Each</t>
        </is>
      </c>
      <c r="J395" s="24">
        <f>D395/2400</f>
        <v/>
      </c>
      <c r="Q395" s="29" t="n"/>
      <c r="R395" s="10">
        <f>P395-Q395</f>
        <v/>
      </c>
      <c r="S395" s="29">
        <f>R395/P395</f>
        <v/>
      </c>
    </row>
    <row r="396">
      <c r="A396" s="20" t="inlineStr">
        <is>
          <t>5045778</t>
        </is>
      </c>
      <c r="B396" t="inlineStr">
        <is>
          <t>SYSCO Wrap Food Dry Wax FLD 10x10</t>
        </is>
      </c>
      <c r="C396" s="22" t="inlineStr">
        <is>
          <t>500CT</t>
        </is>
      </c>
      <c r="E396" s="23" t="n"/>
      <c r="I396" s="69" t="inlineStr">
        <is>
          <t>BY EACH</t>
        </is>
      </c>
      <c r="J396" s="24">
        <f>6.89/500</f>
        <v/>
      </c>
      <c r="Q396" s="29" t="n"/>
      <c r="R396" s="10">
        <f>P396-Q396</f>
        <v/>
      </c>
      <c r="S396" s="29">
        <f>R396/P396</f>
        <v/>
      </c>
    </row>
    <row r="397">
      <c r="A397" s="20" t="inlineStr">
        <is>
          <t>7435266</t>
        </is>
      </c>
      <c r="B397" t="inlineStr">
        <is>
          <t>Film PVC Roll 2000'</t>
        </is>
      </c>
      <c r="C397" s="22" t="inlineStr">
        <is>
          <t>2000'</t>
        </is>
      </c>
      <c r="E397" s="23" t="n"/>
      <c r="I397" s="69" t="inlineStr">
        <is>
          <t>By Foot</t>
        </is>
      </c>
      <c r="J397" s="24">
        <f>D397/2000</f>
        <v/>
      </c>
      <c r="Q397" s="29" t="n"/>
      <c r="R397" s="10">
        <f>P397-Q397</f>
        <v/>
      </c>
      <c r="S397" s="29">
        <f>R397/P397</f>
        <v/>
      </c>
    </row>
    <row r="398">
      <c r="A398" s="20" t="inlineStr">
        <is>
          <t>1763853</t>
        </is>
      </c>
      <c r="B398" t="inlineStr">
        <is>
          <t>SYS REL Liner Repro 40x46 1.5 MIL BLACK</t>
        </is>
      </c>
      <c r="C398" s="22" t="n">
        <v>100</v>
      </c>
      <c r="E398" s="23" t="n"/>
      <c r="I398" s="69" t="inlineStr">
        <is>
          <t>By EACH</t>
        </is>
      </c>
      <c r="J398" s="24">
        <f>D398/100</f>
        <v/>
      </c>
      <c r="Q398" s="29" t="n"/>
      <c r="R398" s="10">
        <f>P398-Q398</f>
        <v/>
      </c>
      <c r="S398" s="29">
        <f>R398/P398</f>
        <v/>
      </c>
    </row>
    <row r="399">
      <c r="A399" s="20" t="inlineStr">
        <is>
          <t>5658939</t>
        </is>
      </c>
      <c r="B399" t="inlineStr">
        <is>
          <t>Foil Aluminum Sheet 12"x10.75" Pop Up</t>
        </is>
      </c>
      <c r="C399" s="22" t="inlineStr">
        <is>
          <t>500CT</t>
        </is>
      </c>
      <c r="E399" s="23" t="n"/>
      <c r="I399" s="69" t="inlineStr">
        <is>
          <t>By EACH</t>
        </is>
      </c>
      <c r="J399" s="24">
        <f>D399/500</f>
        <v/>
      </c>
      <c r="Q399" s="29" t="n"/>
      <c r="R399" s="10">
        <f>P399-Q399</f>
        <v/>
      </c>
      <c r="S399" s="29">
        <f>R399/P399</f>
        <v/>
      </c>
    </row>
    <row r="400">
      <c r="A400" s="20" t="inlineStr">
        <is>
          <t>6938328</t>
        </is>
      </c>
      <c r="B400" t="inlineStr">
        <is>
          <t>Foil Aluminum Roll 500'</t>
        </is>
      </c>
      <c r="C400" s="22" t="inlineStr">
        <is>
          <t>500ft</t>
        </is>
      </c>
      <c r="E400" s="23" t="n"/>
      <c r="I400" s="69" t="inlineStr">
        <is>
          <t>By ft</t>
        </is>
      </c>
      <c r="J400" s="24">
        <f>D400/500</f>
        <v/>
      </c>
      <c r="Q400" s="29" t="n"/>
      <c r="R400" s="10">
        <f>P400-Q400</f>
        <v/>
      </c>
      <c r="S400" s="29">
        <f>R400/P400</f>
        <v/>
      </c>
    </row>
    <row r="401">
      <c r="A401" s="20" t="inlineStr">
        <is>
          <t>7863739</t>
        </is>
      </c>
      <c r="B401" t="inlineStr">
        <is>
          <t>SYS CLS Bag Plas 4x2x8 .65 MIL REG (1) 1000 ct</t>
        </is>
      </c>
      <c r="C401" s="22" t="inlineStr">
        <is>
          <t>1000ct</t>
        </is>
      </c>
      <c r="E401" s="23" t="n"/>
      <c r="F401" s="16" t="inlineStr">
        <is>
          <t>(1) 1000 CT</t>
        </is>
      </c>
      <c r="G401" t="inlineStr">
        <is>
          <t>4x2x8 x.60</t>
        </is>
      </c>
      <c r="H401" s="20" t="inlineStr">
        <is>
          <t>00810005</t>
        </is>
      </c>
      <c r="I401" s="69" t="inlineStr">
        <is>
          <t>By Each</t>
        </is>
      </c>
      <c r="J401" s="24">
        <f>D401/1000</f>
        <v/>
      </c>
      <c r="K401" s="36">
        <f>E401/1000</f>
        <v/>
      </c>
      <c r="P401" s="10">
        <f>D401</f>
        <v/>
      </c>
      <c r="Q401" s="29">
        <f>E401</f>
        <v/>
      </c>
      <c r="R401" s="10">
        <f>P401-Q401</f>
        <v/>
      </c>
      <c r="S401" s="29">
        <f>R401/P401</f>
        <v/>
      </c>
    </row>
    <row r="402">
      <c r="A402" s="20" t="inlineStr">
        <is>
          <t>4766694</t>
        </is>
      </c>
      <c r="B402" t="inlineStr">
        <is>
          <t>CTSYSCO Label Roll Use By/Shelf</t>
        </is>
      </c>
      <c r="E402" s="23" t="n"/>
      <c r="Q402" s="29" t="n"/>
      <c r="R402" s="10">
        <f>P402-Q402</f>
        <v/>
      </c>
      <c r="S402" s="29">
        <f>R402/P402</f>
        <v/>
      </c>
    </row>
    <row r="403">
      <c r="A403" s="1" t="inlineStr">
        <is>
          <t>2103321</t>
        </is>
      </c>
      <c r="B403" t="inlineStr">
        <is>
          <t>Hangard Chopstick Bamboo (10) 100pcs</t>
        </is>
      </c>
      <c r="E403" s="23" t="n"/>
      <c r="Q403" s="29" t="n"/>
      <c r="R403" s="10">
        <f>P403-Q403</f>
        <v/>
      </c>
      <c r="S403" s="29">
        <f>R403/P403</f>
        <v/>
      </c>
    </row>
    <row r="404">
      <c r="A404" s="1" t="inlineStr">
        <is>
          <t>1376805</t>
        </is>
      </c>
      <c r="B404" t="inlineStr">
        <is>
          <t>Scour Pad 6x9 20ct</t>
        </is>
      </c>
      <c r="E404" s="23" t="n"/>
      <c r="Q404" s="29" t="n"/>
      <c r="R404" s="10">
        <f>P404-Q404</f>
        <v/>
      </c>
      <c r="S404" s="29">
        <f>R404/P404</f>
        <v/>
      </c>
    </row>
    <row r="405">
      <c r="A405" s="1" t="inlineStr">
        <is>
          <t>4031993</t>
        </is>
      </c>
      <c r="B405" t="inlineStr">
        <is>
          <t>Tray Paper</t>
        </is>
      </c>
      <c r="E405" s="23" t="n"/>
      <c r="Q405" s="29" t="n"/>
      <c r="R405" s="10">
        <f>P405-Q405</f>
        <v/>
      </c>
      <c r="S405" s="29">
        <f>R405/P405</f>
        <v/>
      </c>
    </row>
    <row r="406">
      <c r="B406" t="inlineStr">
        <is>
          <t>Little Black Stir Sticks</t>
        </is>
      </c>
      <c r="E406" s="23" t="n"/>
      <c r="F406" s="16" t="inlineStr">
        <is>
          <t>(10) 1,000ct</t>
        </is>
      </c>
      <c r="G406" t="inlineStr">
        <is>
          <t>Stir Stick Black Bar Small</t>
        </is>
      </c>
      <c r="H406" s="1" t="inlineStr">
        <is>
          <t>00865343</t>
        </is>
      </c>
      <c r="Q406" s="29" t="n"/>
      <c r="S406" s="29" t="n"/>
    </row>
    <row r="407">
      <c r="B407" t="inlineStr">
        <is>
          <t>Aluminum Half Pans</t>
        </is>
      </c>
      <c r="E407" s="23" t="n"/>
      <c r="F407" s="16" t="inlineStr">
        <is>
          <t>(1) 100ct</t>
        </is>
      </c>
      <c r="G407" t="inlineStr">
        <is>
          <t>Half Pan</t>
        </is>
      </c>
      <c r="H407" s="1" t="inlineStr">
        <is>
          <t>00802191</t>
        </is>
      </c>
      <c r="Q407" s="29" t="n"/>
      <c r="S407" s="29" t="n"/>
    </row>
    <row r="408">
      <c r="B408" t="inlineStr">
        <is>
          <t>Aluminum Half Pan Lids</t>
        </is>
      </c>
      <c r="E408" s="23" t="n"/>
      <c r="F408" s="16" t="inlineStr">
        <is>
          <t>(1) 100ct</t>
        </is>
      </c>
      <c r="G408" t="inlineStr">
        <is>
          <t>Half Pan Lids</t>
        </is>
      </c>
      <c r="H408" s="1" t="inlineStr">
        <is>
          <t>10066774</t>
        </is>
      </c>
      <c r="Q408" s="29" t="n"/>
      <c r="S408" s="29" t="n"/>
    </row>
    <row r="409">
      <c r="C409" s="32" t="n"/>
      <c r="E409" s="23" t="n"/>
      <c r="F409" s="52" t="n"/>
      <c r="I409" s="32" t="n"/>
      <c r="L409" s="23" t="n"/>
    </row>
    <row customHeight="1" ht="28.5" r="410">
      <c r="A410" s="12" t="n"/>
      <c r="B410" s="13" t="inlineStr">
        <is>
          <t>Dispenser Beverage</t>
        </is>
      </c>
      <c r="C410" s="17" t="n"/>
      <c r="E410" s="23" t="n"/>
      <c r="I410" s="17" t="n"/>
      <c r="J410" s="18" t="n"/>
      <c r="K410" s="15" t="n"/>
      <c r="L410" s="15" t="n"/>
      <c r="M410" s="18" t="n"/>
      <c r="N410" s="13" t="n"/>
      <c r="O410" s="19" t="n"/>
      <c r="P410" s="19" t="n"/>
      <c r="Q410" s="19" t="n"/>
      <c r="R410" s="19" t="n"/>
      <c r="S410" s="19" t="n"/>
    </row>
    <row r="411">
      <c r="A411" s="1" t="inlineStr">
        <is>
          <t>6230619</t>
        </is>
      </c>
      <c r="B411" t="inlineStr">
        <is>
          <t>Tea Iced Brewed (32) 4oz</t>
        </is>
      </c>
      <c r="C411" s="22" t="inlineStr">
        <is>
          <t>(32) 4oz</t>
        </is>
      </c>
      <c r="E411" s="23" t="n"/>
      <c r="F411" s="16" t="inlineStr">
        <is>
          <t>(32) 4oz</t>
        </is>
      </c>
      <c r="G411" t="inlineStr">
        <is>
          <t>Tea Pouch</t>
        </is>
      </c>
      <c r="H411" s="20" t="inlineStr">
        <is>
          <t>00034011</t>
        </is>
      </c>
      <c r="I411" s="35" t="inlineStr">
        <is>
          <t>Per Pouch</t>
        </is>
      </c>
      <c r="J411" s="24">
        <f>D411/32</f>
        <v/>
      </c>
      <c r="K411" s="36">
        <f>E411/32</f>
        <v/>
      </c>
      <c r="P411" s="10">
        <f>D411</f>
        <v/>
      </c>
      <c r="Q411" s="28">
        <f>E411</f>
        <v/>
      </c>
      <c r="R411" s="10">
        <f>P411-Q411</f>
        <v/>
      </c>
      <c r="S411" s="29">
        <f>R411/P411</f>
        <v/>
      </c>
    </row>
    <row r="412">
      <c r="B412" t="inlineStr">
        <is>
          <t>Arabica Coffee (64) 2 oz</t>
        </is>
      </c>
      <c r="E412" s="23" t="n"/>
      <c r="Q412" s="29" t="n"/>
      <c r="R412" s="10">
        <f>P412-Q412</f>
        <v/>
      </c>
      <c r="S412" s="29">
        <f>R412/P412</f>
        <v/>
      </c>
    </row>
    <row r="413">
      <c r="C413" s="32" t="n"/>
      <c r="E413" s="23" t="n"/>
      <c r="F413" s="52" t="n"/>
      <c r="I413" s="32" t="n"/>
      <c r="L413" s="23" t="n"/>
    </row>
    <row customHeight="1" ht="28.5" r="414">
      <c r="A414" s="12" t="n"/>
      <c r="B414" s="13" t="inlineStr">
        <is>
          <t>Chemical</t>
        </is>
      </c>
      <c r="C414" s="17" t="n"/>
      <c r="E414" s="23" t="n"/>
      <c r="I414" s="17" t="n"/>
      <c r="J414" s="18" t="n"/>
      <c r="K414" s="15" t="n"/>
      <c r="L414" s="15" t="n"/>
      <c r="M414" s="18" t="n"/>
      <c r="N414" s="13" t="n"/>
      <c r="O414" s="13" t="n"/>
      <c r="P414" s="19" t="n"/>
      <c r="Q414" s="19" t="n"/>
      <c r="R414" s="19" t="n"/>
      <c r="S414" s="19" t="n"/>
    </row>
    <row r="415">
      <c r="A415" s="1" t="inlineStr">
        <is>
          <t>8412054</t>
        </is>
      </c>
      <c r="B415" t="inlineStr">
        <is>
          <t>Keyston Cleaner Degreaser Fryer Grill (4) 1 gallon</t>
        </is>
      </c>
      <c r="E415" s="23" t="n"/>
      <c r="Q415" s="29" t="n"/>
      <c r="R415" s="10">
        <f>P415-Q415</f>
        <v/>
      </c>
      <c r="S415" s="29">
        <f>R415/P415</f>
        <v/>
      </c>
    </row>
    <row r="416">
      <c r="A416" s="1" t="inlineStr">
        <is>
          <t>2694319</t>
        </is>
      </c>
      <c r="B416" t="inlineStr">
        <is>
          <t>Ecolab Soap Hand Clean and Smooth Liquid (6) 750ml</t>
        </is>
      </c>
      <c r="E416" s="23" t="n"/>
      <c r="Q416" s="29" t="n"/>
      <c r="R416" s="10">
        <f>P416-Q416</f>
        <v/>
      </c>
      <c r="S416" s="29">
        <f>R416/P416</f>
        <v/>
      </c>
    </row>
    <row r="417">
      <c r="A417" s="1" t="inlineStr">
        <is>
          <t>1934027</t>
        </is>
      </c>
      <c r="B417" t="inlineStr">
        <is>
          <t>Bleach</t>
        </is>
      </c>
      <c r="C417" s="22" t="inlineStr">
        <is>
          <t>6 gallon</t>
        </is>
      </c>
      <c r="E417" s="23" t="n"/>
      <c r="F417" s="16" t="inlineStr">
        <is>
          <t>6 gallon</t>
        </is>
      </c>
      <c r="G417" t="inlineStr">
        <is>
          <t xml:space="preserve">Bleach </t>
        </is>
      </c>
      <c r="H417" s="20" t="inlineStr">
        <is>
          <t>00506040</t>
        </is>
      </c>
      <c r="I417" s="35" t="inlineStr">
        <is>
          <t>By Gallon</t>
        </is>
      </c>
      <c r="J417" s="24">
        <f>D417/6</f>
        <v/>
      </c>
      <c r="K417" s="36">
        <f>E417/6</f>
        <v/>
      </c>
      <c r="P417" s="10">
        <f>D417</f>
        <v/>
      </c>
      <c r="Q417" s="28">
        <f>E417</f>
        <v/>
      </c>
      <c r="R417" s="10">
        <f>P417-Q417</f>
        <v/>
      </c>
      <c r="S417" s="29">
        <f>R417/P417</f>
        <v/>
      </c>
    </row>
    <row r="418">
      <c r="A418" s="1" t="inlineStr">
        <is>
          <t>8265585</t>
        </is>
      </c>
      <c r="B418" t="inlineStr">
        <is>
          <t>Ecolab Detergent Mach Solid Power X (4) 9lb</t>
        </is>
      </c>
      <c r="E418" s="23" t="n"/>
      <c r="Q418" s="29" t="n"/>
      <c r="R418" s="10">
        <f>P418-Q418</f>
        <v/>
      </c>
      <c r="S418" s="29">
        <f>R418/P418</f>
        <v/>
      </c>
    </row>
    <row r="419">
      <c r="B419" t="inlineStr">
        <is>
          <t>WINDEX 4/1gallon</t>
        </is>
      </c>
      <c r="E419" s="23" t="n"/>
      <c r="Q419" s="29" t="n"/>
      <c r="R419" s="10">
        <f>P419-Q419</f>
        <v/>
      </c>
      <c r="S419" s="29">
        <f>R419/P419</f>
        <v/>
      </c>
    </row>
    <row r="420">
      <c r="B420" t="inlineStr">
        <is>
          <t>Stainless Steel Cleaner 6/17oz</t>
        </is>
      </c>
      <c r="E420" s="23" t="n"/>
      <c r="Q420" s="29" t="n"/>
      <c r="R420" s="10">
        <f>P420-Q420</f>
        <v/>
      </c>
      <c r="S420" s="29">
        <f>R420/P420</f>
        <v/>
      </c>
    </row>
    <row r="421">
      <c r="B421" t="inlineStr">
        <is>
          <t>Griddle Clean Cleaner Packets 40/3.2oz</t>
        </is>
      </c>
      <c r="E421" s="23" t="n"/>
      <c r="Q421" s="29" t="n"/>
      <c r="R421" s="10">
        <f>P421-Q421</f>
        <v/>
      </c>
      <c r="S421" s="29">
        <f>R421/P421</f>
        <v/>
      </c>
    </row>
    <row r="422">
      <c r="B422" t="inlineStr">
        <is>
          <t>Ecolab Detergent Mach Sump Trump</t>
        </is>
      </c>
      <c r="E422" s="23" t="n"/>
      <c r="Q422" s="29" t="n"/>
      <c r="R422" s="10">
        <f>P422-Q422</f>
        <v/>
      </c>
      <c r="S422" s="29">
        <f>R422/P422</f>
        <v/>
      </c>
    </row>
    <row r="423">
      <c r="B423" t="inlineStr">
        <is>
          <t>Sanitizer Mach Low Temp Ultra</t>
        </is>
      </c>
      <c r="E423" s="23" t="n"/>
      <c r="Q423" s="29" t="n"/>
      <c r="R423" s="10">
        <f>P423-Q423</f>
        <v/>
      </c>
      <c r="S423" s="29">
        <f>R423/P423</f>
        <v/>
      </c>
    </row>
    <row r="424">
      <c r="B424" t="inlineStr">
        <is>
          <t>Rinse Max</t>
        </is>
      </c>
      <c r="E424" s="23" t="n"/>
    </row>
    <row r="425">
      <c r="B425" t="inlineStr">
        <is>
          <t>Hercules</t>
        </is>
      </c>
      <c r="E425" s="23" t="n"/>
      <c r="P425" s="10">
        <f>SUM(P4:P424)</f>
        <v/>
      </c>
      <c r="Q425" s="10">
        <f>SUM(Q4:Q424)</f>
        <v/>
      </c>
      <c r="R425" s="10">
        <f>P425-Q425</f>
        <v/>
      </c>
      <c r="S425" s="29">
        <f>R425/P425</f>
        <v/>
      </c>
    </row>
    <row r="426">
      <c r="E426" s="23" t="n"/>
    </row>
    <row r="427">
      <c r="B427" t="inlineStr">
        <is>
          <t>3-4 Ounce Portion Cups</t>
        </is>
      </c>
      <c r="E427" s="23" t="n"/>
    </row>
    <row r="428">
      <c r="E428" s="23" t="n"/>
    </row>
    <row r="429">
      <c r="E429" s="23" t="n"/>
    </row>
    <row r="430">
      <c r="E430" s="23" t="n"/>
    </row>
    <row r="431">
      <c r="E431" s="23" t="n"/>
    </row>
    <row r="432">
      <c r="E432" s="23" t="n"/>
    </row>
    <row r="433">
      <c r="E433" s="23" t="n"/>
    </row>
    <row r="434">
      <c r="E434" s="23" t="n"/>
    </row>
    <row r="435">
      <c r="E435" s="23" t="n"/>
    </row>
    <row r="436">
      <c r="E436" s="23" t="n"/>
      <c r="R436" s="10" t="inlineStr">
        <is>
          <t>Cheney</t>
        </is>
      </c>
      <c r="S436" t="inlineStr">
        <is>
          <t>Sysco</t>
        </is>
      </c>
    </row>
    <row r="437">
      <c r="A437" s="1" t="inlineStr">
        <is>
          <t>2/17/2020</t>
        </is>
      </c>
      <c r="E437" s="23" t="n"/>
      <c r="R437" s="10" t="n">
        <v>113.52</v>
      </c>
      <c r="S437" t="n">
        <v>214.19</v>
      </c>
    </row>
    <row r="438">
      <c r="A438" s="1" t="inlineStr">
        <is>
          <t>2/20/2020</t>
        </is>
      </c>
      <c r="E438" s="23" t="n"/>
    </row>
    <row r="439">
      <c r="A439" s="1" t="inlineStr">
        <is>
          <t>2/24/2020</t>
        </is>
      </c>
      <c r="E439" s="23" t="n"/>
    </row>
    <row r="440">
      <c r="E440" s="23" t="n"/>
    </row>
    <row r="441">
      <c r="E441" s="23" t="n"/>
    </row>
    <row r="442">
      <c r="E442" s="23" t="n"/>
      <c r="G442" s="72" t="n"/>
      <c r="H442" s="72" t="n"/>
    </row>
    <row r="443">
      <c r="B443">
        <f ref="B443" t="array">B2:B443</f>
        <v/>
      </c>
      <c r="E443" s="23" t="n"/>
    </row>
    <row r="444">
      <c r="D444" s="23" t="n"/>
      <c r="E444" s="23" t="n"/>
      <c r="G444" s="73" t="n"/>
      <c r="I444" s="74" t="n"/>
      <c r="J444" s="75" t="n"/>
    </row>
    <row r="445">
      <c r="D445" s="23" t="n"/>
      <c r="E445" s="23" t="n"/>
      <c r="G445" s="73" t="n"/>
      <c r="I445" s="74" t="n"/>
      <c r="J445" s="75" t="n"/>
    </row>
    <row r="446">
      <c r="D446" s="23" t="n"/>
      <c r="E446" s="23" t="n"/>
      <c r="G446" s="73" t="n"/>
      <c r="I446" s="74" t="n"/>
      <c r="J446" s="75" t="n"/>
    </row>
    <row r="447">
      <c r="D447" s="23" t="n"/>
      <c r="E447" s="23" t="n"/>
      <c r="G447" s="73" t="n"/>
      <c r="I447" s="76" t="n"/>
      <c r="J447" s="75" t="n"/>
    </row>
    <row r="448">
      <c r="D448" s="23" t="n"/>
      <c r="E448" s="23" t="n"/>
      <c r="G448" s="73" t="n"/>
      <c r="I448" s="76" t="n"/>
      <c r="J448" s="75" t="n"/>
    </row>
    <row r="449">
      <c r="D449" s="23" t="n"/>
      <c r="E449" s="23" t="n"/>
      <c r="G449" s="73" t="n"/>
      <c r="I449" s="76" t="n"/>
      <c r="J449" s="75" t="n"/>
    </row>
    <row r="450">
      <c r="D450" s="23" t="n"/>
      <c r="E450" s="23" t="n"/>
      <c r="G450" s="73" t="n"/>
      <c r="I450" s="76" t="n"/>
      <c r="J450" s="75" t="n"/>
    </row>
    <row r="451">
      <c r="D451" s="23" t="n"/>
      <c r="E451" s="23" t="n"/>
      <c r="G451" s="73" t="n"/>
      <c r="I451" s="76" t="n"/>
      <c r="J451" s="75" t="n"/>
    </row>
    <row r="452">
      <c r="D452" s="23" t="n"/>
      <c r="E452" s="23" t="n"/>
    </row>
    <row r="453">
      <c r="D453" s="23" t="n"/>
      <c r="E453" s="23" t="n"/>
    </row>
    <row r="454">
      <c r="D454" s="23" t="n"/>
      <c r="E454" s="23" t="n"/>
    </row>
    <row r="455">
      <c r="D455" s="23" t="n"/>
      <c r="E455" s="23" t="n"/>
    </row>
    <row r="456">
      <c r="D456" s="23" t="n"/>
      <c r="E456" s="23" t="n"/>
    </row>
    <row r="457">
      <c r="D457" s="23" t="n"/>
      <c r="E457" s="23" t="n"/>
    </row>
    <row r="458">
      <c r="D458" s="23" t="n"/>
      <c r="E458" s="23" t="n"/>
    </row>
    <row r="459">
      <c r="D459" s="23" t="n"/>
      <c r="E459" s="23" t="n"/>
    </row>
    <row r="460">
      <c r="D460" s="23" t="n"/>
      <c r="E460" s="23" t="n"/>
    </row>
    <row r="461">
      <c r="D461" s="23" t="n"/>
      <c r="E461" s="23" t="n"/>
    </row>
    <row r="462">
      <c r="D462" s="23" t="n"/>
      <c r="E462" s="23" t="n"/>
    </row>
    <row r="463">
      <c r="D463" s="23" t="n"/>
      <c r="E463" s="23" t="n"/>
    </row>
    <row r="464">
      <c r="D464" s="23" t="n"/>
      <c r="E464" s="23" t="n"/>
    </row>
    <row r="465">
      <c r="D465" s="23" t="n"/>
      <c r="E465" s="23" t="n"/>
    </row>
    <row r="466">
      <c r="D466" s="23" t="n"/>
      <c r="E466" s="23" t="n"/>
    </row>
    <row r="470">
      <c r="G470" s="10" t="n"/>
    </row>
    <row r="471">
      <c r="G471" s="10" t="n"/>
    </row>
  </sheetData>
  <conditionalFormatting sqref="F4:G4">
    <cfRule priority="3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5">
    <cfRule priority="35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G62 F64:G64">
    <cfRule priority="3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G49">
    <cfRule priority="3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G51">
    <cfRule priority="3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:G79">
    <cfRule priority="3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7:G97">
    <cfRule priority="35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G17">
    <cfRule priority="3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:G137">
    <cfRule priority="3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:G147">
    <cfRule priority="3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:G118">
    <cfRule priority="3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5:G115">
    <cfRule priority="3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3:G123">
    <cfRule priority="3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1:G122">
    <cfRule priority="3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4:G175">
    <cfRule priority="36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8:G178">
    <cfRule priority="36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2:G182">
    <cfRule priority="36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3:G183">
    <cfRule priority="36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5:G186">
    <cfRule priority="36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7:G187">
    <cfRule priority="37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8:G188">
    <cfRule priority="37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0:G191">
    <cfRule priority="37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2:G192">
    <cfRule priority="37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3:G193">
    <cfRule priority="37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4:G194">
    <cfRule priority="37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5:G195">
    <cfRule priority="37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6:G196">
    <cfRule priority="37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4:G205">
    <cfRule priority="37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6:G206">
    <cfRule priority="37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6:G267">
    <cfRule priority="38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6:G226">
    <cfRule priority="38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5:G237">
    <cfRule priority="38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3:G293">
    <cfRule priority="38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4:G296 F299:G300">
    <cfRule priority="38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8:G308">
    <cfRule priority="38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1:G311">
    <cfRule priority="38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2:G312">
    <cfRule priority="38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3:G313">
    <cfRule priority="38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5:G306">
    <cfRule priority="38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7:G298">
    <cfRule priority="39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5:G315">
    <cfRule priority="39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6:G316">
    <cfRule priority="39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3:G304">
    <cfRule priority="39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7:G348">
    <cfRule priority="39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0:G340">
    <cfRule priority="39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9:G349 F353:G353">
    <cfRule priority="39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G12 F14:G14">
    <cfRule priority="39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G50">
    <cfRule priority="39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0:G120">
    <cfRule priority="39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:G156">
    <cfRule priority="40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6:G346">
    <cfRule priority="40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G53">
    <cfRule priority="40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:G84">
    <cfRule priority="40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6:G170">
    <cfRule priority="40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:G83">
    <cfRule priority="40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4:G184">
    <cfRule priority="40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:G65">
    <cfRule priority="40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G55">
    <cfRule priority="40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:G59">
    <cfRule priority="40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G60">
    <cfRule priority="4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G76">
    <cfRule priority="4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G81">
    <cfRule priority="4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5:G415">
    <cfRule priority="4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9:G189">
    <cfRule priority="4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7:G278 F252:G253 F260:G261 F269:G270 F274:G275 F238:G243">
    <cfRule priority="4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9:G392">
    <cfRule priority="4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2:G234">
    <cfRule priority="4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G58 F54:G54">
    <cfRule priority="4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1:G292">
    <cfRule priority="4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7:G229 F218:G223 F225:G225">
    <cfRule priority="4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1:G273 F249:G249">
    <cfRule priority="4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1:G251 F224:G224">
    <cfRule priority="4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5:G135 F113:G113">
    <cfRule priority="4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9:G119">
    <cfRule priority="4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:G124">
    <cfRule priority="4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9:N349 M353:N353">
    <cfRule priority="3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1:N351">
    <cfRule priority="3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5:N335">
    <cfRule priority="3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4:N334">
    <cfRule priority="3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1:N331">
    <cfRule priority="3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7:N337">
    <cfRule priority="3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2:N352">
    <cfRule priority="3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6:N346">
    <cfRule priority="3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0:N340">
    <cfRule priority="3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1:N341">
    <cfRule priority="3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4:N174">
    <cfRule priority="3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9:N259">
    <cfRule priority="3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5:N255">
    <cfRule priority="3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N147">
    <cfRule priority="3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:N122">
    <cfRule priority="3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7:N367">
    <cfRule priority="3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4:N364">
    <cfRule priority="3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7:Q367">
    <cfRule priority="3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4:Q364">
    <cfRule priority="3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2:Q362">
    <cfRule priority="3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2:N362">
    <cfRule priority="3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9:Q389">
    <cfRule priority="3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9:N389">
    <cfRule priority="3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0:N390">
    <cfRule priority="3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90:Q390">
    <cfRule priority="3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5:N315">
    <cfRule priority="3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5:Q315">
    <cfRule priority="3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2:N192">
    <cfRule priority="3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2:Q192">
    <cfRule priority="3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2:Q182">
    <cfRule priority="3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:N182">
    <cfRule priority="3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1:G181">
    <cfRule priority="3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1:Q181">
    <cfRule priority="3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1:N181">
    <cfRule priority="3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0:Q190">
    <cfRule priority="3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:N183">
    <cfRule priority="3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3:Q183">
    <cfRule priority="3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9:N179">
    <cfRule priority="3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9:Q179">
    <cfRule priority="3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N18">
    <cfRule priority="3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Q18">
    <cfRule priority="3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N16">
    <cfRule priority="30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Q16">
    <cfRule priority="30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N9">
    <cfRule priority="30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Q9">
    <cfRule priority="30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8:Q188">
    <cfRule priority="30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8:N188">
    <cfRule priority="30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6:N266">
    <cfRule priority="30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6:Q266">
    <cfRule priority="30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1:Q211">
    <cfRule priority="30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1:N211">
    <cfRule priority="30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4:N264">
    <cfRule priority="29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4:Q264">
    <cfRule priority="29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2:Q312">
    <cfRule priority="29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2:N312">
    <cfRule priority="29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:N314">
    <cfRule priority="29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4:Q314">
    <cfRule priority="29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8:N268">
    <cfRule priority="29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8:Q268">
    <cfRule priority="29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N98">
    <cfRule priority="29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:Q98">
    <cfRule priority="29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9:N309">
    <cfRule priority="28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9:Q309">
    <cfRule priority="28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6:N276">
    <cfRule priority="28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6:Q276">
    <cfRule priority="28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1:Q311">
    <cfRule priority="28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0:N310">
    <cfRule priority="28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0:Q310">
    <cfRule priority="28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3:N313">
    <cfRule priority="28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3:Q313">
    <cfRule priority="28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N292">
    <cfRule priority="28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3:N293">
    <cfRule priority="27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2:Q292">
    <cfRule priority="27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3:Q293">
    <cfRule priority="27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4:Q294">
    <cfRule priority="27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7:Q357">
    <cfRule priority="27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9:Q259">
    <cfRule priority="27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39 S41:S43 S135:S226 S346:S435 S46:S117 S438:S1048576 S119:S133 S228:S344">
    <cfRule dxfId="1" operator="greaterThan" priority="270" type="cellIs">
      <formula>0</formula>
    </cfRule>
    <cfRule dxfId="2" operator="lessThan" priority="271" type="cellIs">
      <formula>0</formula>
    </cfRule>
    <cfRule dxfId="1" operator="lessThan" priority="272" type="cellIs">
      <formula>0</formula>
    </cfRule>
    <cfRule dxfId="0" operator="lessThan" priority="273" type="cellIs">
      <formula>0</formula>
    </cfRule>
  </conditionalFormatting>
  <conditionalFormatting sqref="P174:Q174">
    <cfRule priority="26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7:Q147">
    <cfRule priority="26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6:N316">
    <cfRule priority="26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6:Q316">
    <cfRule priority="26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1:Q331">
    <cfRule priority="26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4:Q334">
    <cfRule priority="2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5:Q335">
    <cfRule priority="2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0:Q340">
    <cfRule priority="2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1:Q341">
    <cfRule priority="2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9:Q349 P353:Q353">
    <cfRule priority="2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1:Q351">
    <cfRule priority="2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2:Q352">
    <cfRule priority="2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8:Q238">
    <cfRule priority="25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8:N238">
    <cfRule priority="2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1:N321">
    <cfRule priority="2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1:Q321">
    <cfRule priority="2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1:Q241">
    <cfRule priority="2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5:N125">
    <cfRule priority="25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5:Q125">
    <cfRule priority="2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5:Q145">
    <cfRule priority="2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9:N139">
    <cfRule priority="2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9:Q139">
    <cfRule priority="2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6:Q146">
    <cfRule priority="2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6:N146">
    <cfRule priority="2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1:N151">
    <cfRule priority="2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1:Q151">
    <cfRule priority="2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N94">
    <cfRule priority="2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Q94">
    <cfRule priority="2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:N127">
    <cfRule priority="2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:Q127">
    <cfRule priority="2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0:Q140">
    <cfRule priority="2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6:Q136">
    <cfRule priority="2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5:N135">
    <cfRule priority="2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5:Q135">
    <cfRule priority="2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7:Q137">
    <cfRule priority="2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7:N137">
    <cfRule priority="2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8:Q138">
    <cfRule priority="2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4:Q124">
    <cfRule priority="2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:Q126">
    <cfRule priority="2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N19">
    <cfRule priority="2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:Q19">
    <cfRule priority="2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N15">
    <cfRule priority="2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Q15">
    <cfRule priority="2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:N17">
    <cfRule priority="2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:Q17">
    <cfRule priority="2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:Q77">
    <cfRule priority="2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:N77">
    <cfRule priority="2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N49">
    <cfRule priority="2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Q49">
    <cfRule priority="2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N48">
    <cfRule priority="2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Q48">
    <cfRule priority="2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N51">
    <cfRule priority="2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Q51">
    <cfRule priority="2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N42">
    <cfRule priority="2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Q42">
    <cfRule priority="2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:N81">
    <cfRule priority="2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1:Q81">
    <cfRule priority="2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1:Q101">
    <cfRule priority="2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:N101">
    <cfRule priority="2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:N72">
    <cfRule priority="2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Q72">
    <cfRule priority="20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N71">
    <cfRule priority="20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Q71">
    <cfRule priority="20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N93">
    <cfRule priority="20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:Q93">
    <cfRule priority="20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N27">
    <cfRule priority="20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Q27">
    <cfRule priority="20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Q55">
    <cfRule priority="20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:N55">
    <cfRule priority="20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Q58">
    <cfRule priority="20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N58">
    <cfRule priority="19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Q60">
    <cfRule priority="19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N60">
    <cfRule priority="19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N62">
    <cfRule priority="19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:Q62">
    <cfRule priority="19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Q84">
    <cfRule priority="19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N84">
    <cfRule priority="19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5:N235">
    <cfRule priority="19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0:N230">
    <cfRule priority="19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0:Q230">
    <cfRule priority="19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5:Q235">
    <cfRule priority="18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Q56">
    <cfRule priority="18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N56">
    <cfRule priority="18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N59">
    <cfRule priority="18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Q59">
    <cfRule priority="18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N14">
    <cfRule priority="18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:Q14">
    <cfRule priority="18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4">
    <cfRule priority="18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Q4">
    <cfRule priority="18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8:Q308">
    <cfRule priority="18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N306">
    <cfRule priority="17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6:Q306">
    <cfRule priority="17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0:Q110">
    <cfRule priority="17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:N110">
    <cfRule priority="17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N40">
    <cfRule priority="17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Q40">
    <cfRule priority="17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N41">
    <cfRule priority="17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Q41">
    <cfRule priority="17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N178">
    <cfRule priority="17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8:Q178">
    <cfRule priority="17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6:N206">
    <cfRule priority="16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6:Q206">
    <cfRule priority="16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4:Q204">
    <cfRule priority="16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:N204">
    <cfRule priority="16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4:N184">
    <cfRule priority="16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4:Q184">
    <cfRule priority="1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9:N199">
    <cfRule priority="1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9:Q199">
    <cfRule priority="1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7:N197">
    <cfRule priority="1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7:Q197">
    <cfRule priority="1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:N196">
    <cfRule priority="1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6:Q196">
    <cfRule priority="1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7:N317">
    <cfRule priority="15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7:Q317">
    <cfRule priority="1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7:N227">
    <cfRule priority="1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7:Q227">
    <cfRule priority="1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7">
    <cfRule dxfId="1" operator="greaterThan" priority="150" type="cellIs">
      <formula>0</formula>
    </cfRule>
    <cfRule dxfId="2" operator="lessThan" priority="151" type="cellIs">
      <formula>0</formula>
    </cfRule>
    <cfRule dxfId="1" operator="lessThan" priority="152" type="cellIs">
      <formula>0</formula>
    </cfRule>
    <cfRule dxfId="0" operator="lessThan" priority="153" type="cellIs">
      <formula>0</formula>
    </cfRule>
  </conditionalFormatting>
  <conditionalFormatting sqref="M263:N263">
    <cfRule priority="1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3:Q263">
    <cfRule priority="1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6:Q167">
    <cfRule priority="1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6:N167">
    <cfRule priority="1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5:G165">
    <cfRule priority="1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:N165">
    <cfRule priority="1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Q165">
    <cfRule priority="1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1:Q301">
    <cfRule priority="14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2:Q302">
    <cfRule priority="14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N97">
    <cfRule priority="140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:Q97">
    <cfRule priority="139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5:Q185">
    <cfRule priority="138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5:N185">
    <cfRule priority="137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N80">
    <cfRule priority="13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Q80">
    <cfRule priority="135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7:N297">
    <cfRule priority="1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7:Q297">
    <cfRule priority="1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:N207">
    <cfRule priority="1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7:Q207">
    <cfRule priority="1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8:N208">
    <cfRule priority="1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8:Q208">
    <cfRule priority="1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2:N212">
    <cfRule priority="1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2:Q212">
    <cfRule priority="1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0:Q150">
    <cfRule priority="1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0:N150">
    <cfRule priority="1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2:Q152">
    <cfRule priority="1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2:N152">
    <cfRule priority="1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N153">
    <cfRule priority="1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Q153">
    <cfRule priority="1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4:N154">
    <cfRule priority="1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4:Q154">
    <cfRule priority="1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4:N134">
    <cfRule priority="1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4:Q134">
    <cfRule priority="1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1:N231">
    <cfRule priority="1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1:Q231">
    <cfRule priority="1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N13">
    <cfRule priority="1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Q13">
    <cfRule priority="1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N57">
    <cfRule priority="1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Q57">
    <cfRule priority="1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N65">
    <cfRule priority="1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Q65">
    <cfRule priority="10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:N85">
    <cfRule priority="10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5:Q85">
    <cfRule priority="10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4:N194">
    <cfRule priority="10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4:Q194">
    <cfRule priority="10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1:N171">
    <cfRule priority="10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1:Q171">
    <cfRule priority="10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:N133">
    <cfRule priority="10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Q133">
    <cfRule priority="10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:N115">
    <cfRule priority="10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5:Q115">
    <cfRule priority="9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1:N121">
    <cfRule priority="9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4:N124">
    <cfRule priority="9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1:Q121">
    <cfRule priority="9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9:N119">
    <cfRule priority="9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9:Q119">
    <cfRule priority="9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N96">
    <cfRule priority="9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Q96">
    <cfRule priority="9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1:Q381">
    <cfRule priority="9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0:N160">
    <cfRule priority="9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0:Q160">
    <cfRule priority="8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7:Q337">
    <cfRule priority="8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N31">
    <cfRule priority="8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Q31">
    <cfRule priority="8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N32">
    <cfRule priority="8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Q32">
    <cfRule priority="8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:N116">
    <cfRule priority="8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6:Q116">
    <cfRule priority="8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:N123">
    <cfRule priority="8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3:Q123">
    <cfRule priority="8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4:G164 F171:G175">
    <cfRule priority="4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4:G164 F171:G173">
    <cfRule priority="4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:N279">
    <cfRule priority="7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9:Q279">
    <cfRule priority="7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0:N350">
    <cfRule priority="7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0:Q350">
    <cfRule priority="7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0:Q370">
    <cfRule priority="7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6:Q386">
    <cfRule priority="7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94:Q394">
    <cfRule priority="7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Q12">
    <cfRule priority="7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N8">
    <cfRule priority="7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Q8">
    <cfRule priority="7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4:N344">
    <cfRule priority="6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1:G345 F331:G335">
    <cfRule priority="4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2:G352">
    <cfRule priority="4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5:Q385">
    <cfRule priority="6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6:G386">
    <cfRule priority="4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7:Q417">
    <cfRule priority="6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2:Q382">
    <cfRule priority="6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6:Q327">
    <cfRule priority="6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5:Q285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5:G285">
    <cfRule priority="4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5:N285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8:Q288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8:N288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2:G284 F244:G247">
    <cfRule priority="4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9:G281">
    <cfRule priority="4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4:G134">
    <cfRule priority="4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7:G157 F114:G114 F116:G116 F131:G133 F140:G142 F148:G149 G150">
    <cfRule priority="4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8:N128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8:Q128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0:Q130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4">
    <cfRule dxfId="1" operator="greaterThan" priority="50" type="cellIs">
      <formula>0</formula>
    </cfRule>
    <cfRule dxfId="2" operator="lessThan" priority="51" type="cellIs">
      <formula>0</formula>
    </cfRule>
    <cfRule dxfId="1" operator="lessThan" priority="52" type="cellIs">
      <formula>0</formula>
    </cfRule>
    <cfRule dxfId="0" operator="lessThan" priority="53" type="cellIs">
      <formula>0</formula>
    </cfRule>
  </conditionalFormatting>
  <conditionalFormatting sqref="S40">
    <cfRule dxfId="1" operator="greaterThan" priority="54" type="cellIs">
      <formula>0</formula>
    </cfRule>
    <cfRule dxfId="2" operator="lessThan" priority="55" type="cellIs">
      <formula>0</formula>
    </cfRule>
    <cfRule dxfId="1" operator="lessThan" priority="56" type="cellIs">
      <formula>0</formula>
    </cfRule>
    <cfRule dxfId="0" operator="lessThan" priority="57" type="cellIs">
      <formula>0</formula>
    </cfRule>
  </conditionalFormatting>
  <conditionalFormatting sqref="P195:Q195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Q5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Q25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:Q24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N28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Q28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:Q86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4:Q34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5:Q34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6:Q346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5">
    <cfRule dxfId="1" operator="greaterThan" priority="36" type="cellIs">
      <formula>0</formula>
    </cfRule>
    <cfRule dxfId="2" operator="lessThan" priority="37" type="cellIs">
      <formula>0</formula>
    </cfRule>
    <cfRule dxfId="1" operator="lessThan" priority="38" type="cellIs">
      <formula>0</formula>
    </cfRule>
    <cfRule dxfId="0" operator="lessThan" priority="39" type="cellIs">
      <formula>0</formula>
    </cfRule>
  </conditionalFormatting>
  <conditionalFormatting sqref="M345:N345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Q54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N54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Q45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:S45">
    <cfRule dxfId="1" operator="greaterThan" priority="28" type="cellIs">
      <formula>0</formula>
    </cfRule>
    <cfRule dxfId="2" operator="lessThan" priority="29" type="cellIs">
      <formula>0</formula>
    </cfRule>
    <cfRule dxfId="1" operator="lessThan" priority="30" type="cellIs">
      <formula>0</formula>
    </cfRule>
    <cfRule dxfId="0" operator="lessThan" priority="31" type="cellIs">
      <formula>0</formula>
    </cfRule>
  </conditionalFormatting>
  <conditionalFormatting sqref="P30:Q30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Q3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Q36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Q87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:Q89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3:N193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3:Q193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3:Q203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0:Q210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0:N210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Q91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:N117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N118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:Q117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Q118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">
    <cfRule dxfId="1" operator="greaterThan" priority="9" type="cellIs">
      <formula>0</formula>
    </cfRule>
    <cfRule dxfId="2" operator="lessThan" priority="10" type="cellIs">
      <formula>0</formula>
    </cfRule>
    <cfRule dxfId="1" operator="lessThan" priority="11" type="cellIs">
      <formula>0</formula>
    </cfRule>
    <cfRule dxfId="0" operator="lessThan" priority="12" type="cellIs">
      <formula>0</formula>
    </cfRule>
  </conditionalFormatting>
  <conditionalFormatting sqref="M104:N104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4:Q104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N92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Q92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9:Q249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6:G276">
    <cfRule priority="4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Q35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Q67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7:Q187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allsp</dc:creator>
  <dcterms:created xsi:type="dcterms:W3CDTF">2020-10-19T19:27:53Z</dcterms:created>
  <dcterms:modified xsi:type="dcterms:W3CDTF">2020-10-30T12:56:26Z</dcterms:modified>
  <cp:lastModifiedBy>king star</cp:lastModifiedBy>
</cp:coreProperties>
</file>