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aalibrahim/Repositories/COSMIC-ABM/"/>
    </mc:Choice>
  </mc:AlternateContent>
  <xr:revisionPtr revIDLastSave="0" documentId="13_ncr:1_{92482D83-BD0B-9B47-A4C3-8BA70A486543}" xr6:coauthVersionLast="47" xr6:coauthVersionMax="47" xr10:uidLastSave="{00000000-0000-0000-0000-000000000000}"/>
  <bookViews>
    <workbookView xWindow="4520" yWindow="10820" windowWidth="30040" windowHeight="21580" activeTab="7" xr2:uid="{00000000-000D-0000-FFFF-FFFF00000000}"/>
  </bookViews>
  <sheets>
    <sheet name="Facility Variables" sheetId="4" r:id="rId1"/>
    <sheet name="Catchment" sheetId="5" r:id="rId2"/>
    <sheet name="WomenChar" sheetId="9" r:id="rId3"/>
    <sheet name="PaymentEventSchedule" sheetId="6" r:id="rId4"/>
    <sheet name="Parity census 12" sheetId="8" r:id="rId5"/>
    <sheet name="Bonus Performance" sheetId="10" r:id="rId6"/>
    <sheet name="WomenDecision" sheetId="11" r:id="rId7"/>
    <sheet name="Baseline Validation" sheetId="12" r:id="rId8"/>
  </sheets>
  <definedNames>
    <definedName name="_xlchart.v1.0" hidden="1">PaymentEventSchedule!$E$2:$E$8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4" l="1"/>
  <c r="D40" i="4"/>
  <c r="B40" i="4"/>
  <c r="H11" i="10"/>
  <c r="C11" i="10"/>
  <c r="D11" i="10"/>
  <c r="E11" i="10"/>
  <c r="F11" i="10"/>
  <c r="G11" i="10"/>
  <c r="B11" i="10"/>
  <c r="C13" i="5" l="1"/>
  <c r="C6" i="4"/>
  <c r="D6" i="4"/>
  <c r="B6" i="4"/>
  <c r="N15" i="12"/>
  <c r="O15" i="12"/>
  <c r="M15" i="12"/>
  <c r="Q6" i="12"/>
  <c r="O19" i="12"/>
  <c r="O21" i="12" s="1"/>
  <c r="N19" i="12"/>
  <c r="N21" i="12" s="1"/>
  <c r="M19" i="12"/>
  <c r="M21" i="12" s="1"/>
  <c r="N14" i="12"/>
  <c r="O14" i="12"/>
  <c r="M14" i="12"/>
  <c r="O13" i="12"/>
  <c r="N13" i="12"/>
  <c r="M13" i="12"/>
  <c r="N12" i="12"/>
  <c r="O12" i="12"/>
  <c r="M12" i="12"/>
  <c r="N11" i="12"/>
  <c r="O11" i="12"/>
  <c r="M11" i="12"/>
  <c r="N10" i="12"/>
  <c r="O10" i="12"/>
  <c r="M10" i="12"/>
  <c r="N9" i="12"/>
  <c r="O9" i="12"/>
  <c r="M9" i="12"/>
  <c r="N8" i="12"/>
  <c r="O8" i="12"/>
  <c r="M8" i="12"/>
  <c r="Q5" i="12"/>
  <c r="R5" i="12"/>
  <c r="S5" i="12"/>
  <c r="R6" i="12"/>
  <c r="S6" i="12"/>
  <c r="R4" i="12"/>
  <c r="S4" i="12"/>
  <c r="Q4" i="12"/>
  <c r="D36" i="12"/>
  <c r="C36" i="12"/>
  <c r="D21" i="12"/>
  <c r="C21" i="12"/>
  <c r="B21" i="12"/>
  <c r="D19" i="12"/>
  <c r="C19" i="12"/>
  <c r="B19" i="12"/>
  <c r="E3" i="5"/>
  <c r="E4" i="5"/>
  <c r="E2" i="5"/>
  <c r="J24" i="11"/>
  <c r="G18" i="11"/>
  <c r="K8" i="11"/>
  <c r="G20" i="11"/>
  <c r="J19" i="11" s="1"/>
  <c r="D37" i="4"/>
  <c r="C37" i="4"/>
  <c r="B14" i="9"/>
  <c r="C14" i="9"/>
  <c r="D14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C3" i="9"/>
  <c r="D3" i="9"/>
  <c r="B3" i="9"/>
  <c r="F4" i="5"/>
  <c r="G3" i="8"/>
  <c r="G4" i="8"/>
  <c r="G5" i="8"/>
  <c r="G6" i="8"/>
  <c r="G7" i="8"/>
  <c r="G8" i="8"/>
  <c r="G9" i="8"/>
  <c r="G10" i="8"/>
  <c r="G11" i="8"/>
  <c r="G12" i="8"/>
  <c r="G2" i="8"/>
  <c r="D13" i="5"/>
  <c r="B15" i="8"/>
  <c r="C12" i="8"/>
  <c r="D12" i="8" s="1"/>
  <c r="C11" i="8"/>
  <c r="D11" i="8" s="1"/>
  <c r="C10" i="8"/>
  <c r="D10" i="8" s="1"/>
  <c r="D9" i="8"/>
  <c r="C9" i="8"/>
  <c r="C8" i="8"/>
  <c r="D8" i="8" s="1"/>
  <c r="C7" i="8"/>
  <c r="D7" i="8" s="1"/>
  <c r="C6" i="8"/>
  <c r="D6" i="8" s="1"/>
  <c r="C5" i="8"/>
  <c r="D5" i="8" s="1"/>
  <c r="D4" i="8"/>
  <c r="C4" i="8"/>
  <c r="C3" i="8"/>
  <c r="D3" i="8" s="1"/>
  <c r="C2" i="8"/>
  <c r="C15" i="8" s="1"/>
  <c r="E3" i="6"/>
  <c r="E4" i="6"/>
  <c r="E5" i="6"/>
  <c r="E6" i="6"/>
  <c r="E7" i="6"/>
  <c r="E2" i="6"/>
  <c r="C3" i="5"/>
  <c r="C4" i="5"/>
  <c r="C5" i="5"/>
  <c r="C6" i="5"/>
  <c r="C7" i="5"/>
  <c r="C2" i="5"/>
  <c r="D4" i="5"/>
  <c r="D3" i="5"/>
  <c r="D2" i="5"/>
  <c r="D5" i="5"/>
  <c r="D7" i="5"/>
  <c r="D6" i="5"/>
  <c r="D2" i="8" l="1"/>
  <c r="D15" i="8" s="1"/>
  <c r="H22" i="4"/>
  <c r="G22" i="4"/>
  <c r="F22" i="4"/>
  <c r="D22" i="4"/>
  <c r="C22" i="4"/>
  <c r="B22" i="4"/>
  <c r="H20" i="4"/>
  <c r="G20" i="4"/>
  <c r="F20" i="4"/>
  <c r="D20" i="4"/>
  <c r="C20" i="4"/>
  <c r="B20" i="4"/>
  <c r="E11" i="8" l="1"/>
  <c r="E6" i="8"/>
  <c r="E8" i="8"/>
  <c r="F8" i="8" s="1"/>
  <c r="E3" i="8"/>
  <c r="F3" i="8" s="1"/>
  <c r="E4" i="8"/>
  <c r="E12" i="8"/>
  <c r="E7" i="8"/>
  <c r="F7" i="8" s="1"/>
  <c r="E2" i="8"/>
  <c r="F2" i="8" s="1"/>
  <c r="E10" i="8"/>
  <c r="F10" i="8" s="1"/>
  <c r="E5" i="8"/>
  <c r="F5" i="8" s="1"/>
  <c r="E9" i="8"/>
  <c r="F4" i="8" l="1"/>
  <c r="F6" i="8"/>
  <c r="F9" i="8"/>
  <c r="F11" i="8"/>
  <c r="F12" i="8" s="1"/>
  <c r="F13" i="8" s="1"/>
  <c r="F1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tc={84A652A0-3FE7-4376-9193-66A48DE2C369}</author>
    <author>tc={77980A57-203D-2B46-819F-A3C220567E47}</author>
    <author>tc={F61D80BA-210E-4D5E-961B-45B57BC11E14}</author>
    <author>tc={F0CDCF7D-5BDC-F647-A784-3C586EF6EACA}</author>
    <author>Abdullah Alibrahim</author>
  </authors>
  <commentList>
    <comment ref="B12" authorId="0" shapeId="0" xr:uid="{84A652A0-3FE7-4376-9193-66A48DE2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0 drug?</t>
      </text>
    </comment>
    <comment ref="J12" authorId="1" shapeId="0" xr:uid="{77980A57-203D-2B46-819F-A3C220567E47}">
      <text>
        <t>[Threaded comment]
Your version of Excel allows you to read this threaded comment; however, any edits to it will get removed if the file is opened in a newer version of Excel. Learn more: https://go.microsoft.com/fwlink/?linkid=870924
Comment:
    0 drug?</t>
      </text>
    </comment>
    <comment ref="C14" authorId="2" shapeId="0" xr:uid="{F61D80BA-210E-4D5E-961B-45B57BC11E14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0 -- assumed 1</t>
      </text>
    </comment>
    <comment ref="D14" authorId="3" shapeId="0" xr:uid="{F0CDCF7D-5BDC-F647-A784-3C586EF6EACA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1 - changed to 2 to be consistent with midline and endline</t>
      </text>
    </comment>
    <comment ref="C30" authorId="4" shapeId="0" xr:uid="{D3607490-ED2C-4590-B682-3EFBEBD3E3E2}">
      <text>
        <r>
          <rPr>
            <b/>
            <sz val="9"/>
            <color rgb="FF000000"/>
            <rFont val="Tahoma"/>
            <family val="2"/>
          </rPr>
          <t>Abdullah Alibrahim: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NA - assumed 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Binyaruka</author>
  </authors>
  <commentList>
    <comment ref="J28" authorId="0" shapeId="0" xr:uid="{71983D57-6772-364D-B8B2-11592C2CDEFB}">
      <text>
        <r>
          <rPr>
            <b/>
            <sz val="10"/>
            <color rgb="FF000000"/>
            <rFont val="Tahoma"/>
            <family val="2"/>
          </rPr>
          <t>Peter Binyaruka: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 yellow, missing information. it seems the data for this variable was missing in this facility.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tc={FF6D8968-C3C0-2E4B-8E33-DC3E34D8731D}</author>
    <author>tc={9815AEFD-1DCF-9441-938E-954CFB6ED57D}</author>
    <author>Abdullah Alibrahim</author>
  </authors>
  <commentList>
    <comment ref="B11" authorId="0" shapeId="0" xr:uid="{FF6D8968-C3C0-2E4B-8E33-DC3E34D8731D}">
      <text>
        <t>[Threaded comment]
Your version of Excel allows you to read this threaded comment; however, any edits to it will get removed if the file is opened in a newer version of Excel. Learn more: https://go.microsoft.com/fwlink/?linkid=870924
Comment:
    0 drug?</t>
      </text>
    </comment>
    <comment ref="C13" authorId="1" shapeId="0" xr:uid="{9815AEFD-1DCF-9441-938E-954CFB6ED57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0 -- assumed 1</t>
      </text>
    </comment>
    <comment ref="C29" authorId="2" shapeId="0" xr:uid="{AF9ED972-56A1-5C48-B205-AEC7271DB2B2}">
      <text>
        <r>
          <rPr>
            <b/>
            <sz val="9"/>
            <color rgb="FF000000"/>
            <rFont val="Tahoma"/>
            <family val="2"/>
          </rPr>
          <t>Abdullah Alibrahim: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NA - assumed 0</t>
        </r>
      </text>
    </comment>
  </commentList>
</comments>
</file>

<file path=xl/sharedStrings.xml><?xml version="1.0" encoding="utf-8"?>
<sst xmlns="http://schemas.openxmlformats.org/spreadsheetml/2006/main" count="289" uniqueCount="115">
  <si>
    <t>Baseline</t>
  </si>
  <si>
    <t>Midline</t>
  </si>
  <si>
    <t>Dispensary name</t>
  </si>
  <si>
    <t>Mean</t>
  </si>
  <si>
    <t>Facility waiting time.(mins)</t>
  </si>
  <si>
    <t>Facility consultation time(mins)</t>
  </si>
  <si>
    <t>Outreach activities. (binary 1-Yes, 0-No)</t>
  </si>
  <si>
    <t>OOP.(%ge)</t>
  </si>
  <si>
    <t>Travel time.(mins)</t>
  </si>
  <si>
    <t>Facility interpersonal quality.</t>
  </si>
  <si>
    <t>Facility ANC quality.(%ge)</t>
  </si>
  <si>
    <t>Percentage drugs availability./ del. drug index (score)</t>
  </si>
  <si>
    <t>Facility kindness score.(1-10)</t>
  </si>
  <si>
    <t>Number of delivery beds (capacity limit)</t>
  </si>
  <si>
    <t>Number of staffs</t>
  </si>
  <si>
    <t>Utilities (=1 if electricity &amp; clean water available)</t>
  </si>
  <si>
    <t>clean_facility (share of responses)</t>
  </si>
  <si>
    <t xml:space="preserve">ANC  (4+ visits) </t>
  </si>
  <si>
    <t xml:space="preserve">ANC  (&lt;4 visits) </t>
  </si>
  <si>
    <t xml:space="preserve">Muslim religion </t>
  </si>
  <si>
    <t>Non-Muslim religion</t>
  </si>
  <si>
    <t>Tercile 1 wealth (poorest)</t>
  </si>
  <si>
    <t>Tercile 2 wealth (middle)</t>
  </si>
  <si>
    <t>Tercile 3 wealth (least poor)</t>
  </si>
  <si>
    <t>No education</t>
  </si>
  <si>
    <t>Some primary education</t>
  </si>
  <si>
    <t>Primary/some secondary education</t>
  </si>
  <si>
    <t>Secondary/above education</t>
  </si>
  <si>
    <t>Offering gifts like soap tea(1-Yes, 0-No &amp; NA-No data)</t>
  </si>
  <si>
    <t>Incentivice TBAs (1-Yes, 0-No &amp; NA-No data)</t>
  </si>
  <si>
    <t>NA</t>
  </si>
  <si>
    <t>External supervision (&lt;30 days)</t>
  </si>
  <si>
    <t>missing</t>
  </si>
  <si>
    <t>yes</t>
  </si>
  <si>
    <t>no</t>
  </si>
  <si>
    <t>External supervision (31-90 days)</t>
  </si>
  <si>
    <t>External supervision (&gt;90 days)</t>
  </si>
  <si>
    <t>Share of facility birth deliveries</t>
  </si>
  <si>
    <t>Observation/ number of women</t>
  </si>
  <si>
    <t>Facility</t>
  </si>
  <si>
    <t>Population</t>
  </si>
  <si>
    <t>WRA (15%)</t>
  </si>
  <si>
    <t>WRA(20%)</t>
  </si>
  <si>
    <t>Payment Cycle</t>
  </si>
  <si>
    <t>Performance Calculated to Month x</t>
  </si>
  <si>
    <t>Payment should be issued by month x</t>
  </si>
  <si>
    <t>When it was actually received</t>
  </si>
  <si>
    <t>Delay</t>
  </si>
  <si>
    <t>&gt;50</t>
  </si>
  <si>
    <t>Parity</t>
  </si>
  <si>
    <t>Percentage</t>
  </si>
  <si>
    <t>Fraction</t>
  </si>
  <si>
    <t>Total</t>
  </si>
  <si>
    <t>wi</t>
  </si>
  <si>
    <t>PPR</t>
  </si>
  <si>
    <t>TOTAL</t>
  </si>
  <si>
    <t>Proportion</t>
  </si>
  <si>
    <t>trans_time (min)</t>
  </si>
  <si>
    <t>Travel time</t>
  </si>
  <si>
    <t>Cycle 1</t>
  </si>
  <si>
    <t>Target</t>
  </si>
  <si>
    <t>Performance</t>
  </si>
  <si>
    <t>Cycle 3</t>
  </si>
  <si>
    <t>Cycle 4</t>
  </si>
  <si>
    <t>Cycle 5</t>
  </si>
  <si>
    <t>Cycle 6</t>
  </si>
  <si>
    <t>Cycle 7</t>
  </si>
  <si>
    <t>Cycle 2</t>
  </si>
  <si>
    <t>BL</t>
  </si>
  <si>
    <t>Baseline Indicator (2010)</t>
  </si>
  <si>
    <t>C1</t>
  </si>
  <si>
    <t>C2</t>
  </si>
  <si>
    <t>C3</t>
  </si>
  <si>
    <t>C4</t>
  </si>
  <si>
    <t>C5</t>
  </si>
  <si>
    <t>C6</t>
  </si>
  <si>
    <t>C7</t>
  </si>
  <si>
    <t>Odds Ratio</t>
  </si>
  <si>
    <t>z</t>
  </si>
  <si>
    <t>hf_staffing</t>
  </si>
  <si>
    <t>P&gt;Z</t>
  </si>
  <si>
    <t>m educ 4</t>
  </si>
  <si>
    <t>m_parity_l</t>
  </si>
  <si>
    <t>m anc4</t>
  </si>
  <si>
    <t>hf outreach</t>
  </si>
  <si>
    <t>aitmin</t>
  </si>
  <si>
    <t>onsultmin</t>
  </si>
  <si>
    <t>taff index2</t>
  </si>
  <si>
    <t>hf OOP</t>
  </si>
  <si>
    <t>rans time</t>
  </si>
  <si>
    <t>cons</t>
  </si>
  <si>
    <t>Coef</t>
  </si>
  <si>
    <t>educ 2</t>
  </si>
  <si>
    <t>educ 3</t>
  </si>
  <si>
    <t>Woman Characteristics</t>
  </si>
  <si>
    <t>Y=</t>
  </si>
  <si>
    <t>Prob =</t>
  </si>
  <si>
    <t>New Patient Experience</t>
  </si>
  <si>
    <t>Kindness</t>
  </si>
  <si>
    <t>Out of 10</t>
  </si>
  <si>
    <t>Drugs</t>
  </si>
  <si>
    <t>Out of 100</t>
  </si>
  <si>
    <t>Gifts</t>
  </si>
  <si>
    <t>0 or 1</t>
  </si>
  <si>
    <t>NPE</t>
  </si>
  <si>
    <t>NPE Value</t>
  </si>
  <si>
    <t>if(unif&lt;k8, -1, 1)</t>
  </si>
  <si>
    <t>Positive Mod</t>
  </si>
  <si>
    <t>Mod</t>
  </si>
  <si>
    <t>Prob</t>
  </si>
  <si>
    <t>Negative Mod</t>
  </si>
  <si>
    <t>P(+ Facility Experience)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</si>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</sst>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"/>
    <numFmt numFmtId="166" formatCode="0.000"/>
    <numFmt numFmtId="167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165" fontId="0" fillId="0" borderId="1" xfId="0" applyNumberFormat="1" applyBorder="1"/>
    <xf numFmtId="164" fontId="0" fillId="0" borderId="1" xfId="1" applyNumberFormat="1" applyFont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1" fontId="0" fillId="0" borderId="1" xfId="0" applyNumberFormat="1" applyBorder="1"/>
    <xf numFmtId="0" fontId="0" fillId="0" borderId="1" xfId="1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2" fontId="0" fillId="0" borderId="1" xfId="0" applyNumberFormat="1" applyBorder="1"/>
    <xf numFmtId="2" fontId="0" fillId="0" borderId="1" xfId="1" applyNumberFormat="1" applyFont="1" applyBorder="1"/>
    <xf numFmtId="0" fontId="4" fillId="0" borderId="0" xfId="0" applyFont="1"/>
    <xf numFmtId="0" fontId="0" fillId="0" borderId="0" xfId="0" applyAlignment="1">
      <alignment wrapText="1"/>
    </xf>
    <xf numFmtId="0" fontId="0" fillId="0" borderId="2" xfId="0" applyBorder="1"/>
    <xf numFmtId="166" fontId="1" fillId="0" borderId="1" xfId="0" applyNumberFormat="1" applyFont="1" applyBorder="1"/>
    <xf numFmtId="166" fontId="0" fillId="0" borderId="0" xfId="0" applyNumberFormat="1"/>
    <xf numFmtId="0" fontId="0" fillId="3" borderId="0" xfId="0" applyFill="1"/>
    <xf numFmtId="164" fontId="0" fillId="2" borderId="0" xfId="0" applyNumberFormat="1" applyFill="1"/>
    <xf numFmtId="165" fontId="0" fillId="2" borderId="1" xfId="0" applyNumberFormat="1" applyFill="1" applyBorder="1"/>
    <xf numFmtId="43" fontId="0" fillId="2" borderId="0" xfId="2" applyFont="1" applyFill="1"/>
    <xf numFmtId="2" fontId="2" fillId="2" borderId="1" xfId="3" applyNumberFormat="1" applyFont="1" applyFill="1" applyBorder="1" applyAlignment="1">
      <alignment horizontal="right"/>
    </xf>
    <xf numFmtId="2" fontId="9" fillId="2" borderId="1" xfId="3" applyNumberFormat="1" applyFont="1" applyFill="1" applyBorder="1" applyAlignment="1">
      <alignment horizontal="right"/>
    </xf>
    <xf numFmtId="2" fontId="10" fillId="2" borderId="1" xfId="3" applyNumberFormat="1" applyFont="1" applyFill="1" applyBorder="1" applyAlignment="1">
      <alignment horizontal="right"/>
    </xf>
    <xf numFmtId="2" fontId="2" fillId="2" borderId="1" xfId="1" applyNumberFormat="1" applyFont="1" applyFill="1" applyBorder="1"/>
    <xf numFmtId="2" fontId="11" fillId="4" borderId="1" xfId="0" applyNumberFormat="1" applyFont="1" applyFill="1" applyBorder="1"/>
    <xf numFmtId="9" fontId="0" fillId="0" borderId="0" xfId="0" applyNumberFormat="1"/>
    <xf numFmtId="2" fontId="0" fillId="0" borderId="0" xfId="0" applyNumberFormat="1"/>
    <xf numFmtId="166" fontId="0" fillId="0" borderId="1" xfId="1" applyNumberFormat="1" applyFont="1" applyBorder="1"/>
    <xf numFmtId="10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</cellXfs>
  <cellStyles count="4">
    <cellStyle name="Comma" xfId="2" builtinId="3"/>
    <cellStyle name="Normal" xfId="0" builtinId="0"/>
    <cellStyle name="Percent" xfId="1" builtinId="5"/>
    <cellStyle name="Percent 4" xfId="3" xr:uid="{C405DCE4-B146-024A-91B7-A5BC49C14A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census 12'!$F$1</c:f>
              <c:strCache>
                <c:ptCount val="1"/>
                <c:pt idx="0">
                  <c:v>PPR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'Parity census 12'!$A$2:$A$14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'Parity census 12'!$F$2:$F$14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0.82608695652173914</c:v>
                </c:pt>
                <c:pt idx="2">
                  <c:v>0.79904306220095689</c:v>
                </c:pt>
                <c:pt idx="3">
                  <c:v>0.78243512974051899</c:v>
                </c:pt>
                <c:pt idx="4">
                  <c:v>0.75765306122448972</c:v>
                </c:pt>
                <c:pt idx="5">
                  <c:v>0.75084175084175098</c:v>
                </c:pt>
                <c:pt idx="6">
                  <c:v>0.71748878923766812</c:v>
                </c:pt>
                <c:pt idx="7">
                  <c:v>0.70625000000000004</c:v>
                </c:pt>
                <c:pt idx="8">
                  <c:v>0.67256637168141586</c:v>
                </c:pt>
                <c:pt idx="9">
                  <c:v>0.64473684210526316</c:v>
                </c:pt>
                <c:pt idx="10">
                  <c:v>0.42982456140350878</c:v>
                </c:pt>
                <c:pt idx="11">
                  <c:v>0.21491228070175439</c:v>
                </c:pt>
                <c:pt idx="1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2-0044-8D66-D42F09DED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661135"/>
        <c:axId val="1229306447"/>
      </c:lineChart>
      <c:catAx>
        <c:axId val="124866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29306447"/>
        <c:crosses val="autoZero"/>
        <c:auto val="1"/>
        <c:lblAlgn val="ctr"/>
        <c:lblOffset val="100"/>
        <c:noMultiLvlLbl val="0"/>
      </c:catAx>
      <c:valAx>
        <c:axId val="12293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866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&amp; Validation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Performance'!$A$8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'Bonus Performance'!$B$8:$G$8</c:f>
              <c:numCache>
                <c:formatCode>0.00</c:formatCode>
                <c:ptCount val="6"/>
                <c:pt idx="0">
                  <c:v>0.13</c:v>
                </c:pt>
                <c:pt idx="1">
                  <c:v>0.11290322580645161</c:v>
                </c:pt>
                <c:pt idx="2">
                  <c:v>9.6774193548387094E-2</c:v>
                </c:pt>
                <c:pt idx="3">
                  <c:v>0.224</c:v>
                </c:pt>
                <c:pt idx="4">
                  <c:v>0.34799999999999998</c:v>
                </c:pt>
                <c:pt idx="5">
                  <c:v>0.8640000000000001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9-CA47-B4F1-46407F64B9E2}"/>
            </c:ext>
          </c:extLst>
        </c:ser>
        <c:ser>
          <c:idx val="1"/>
          <c:order val="1"/>
          <c:tx>
            <c:strRef>
              <c:f>'Bonus Performance'!$A$9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'Bonus Performance'!$B$9:$G$9</c:f>
              <c:numCache>
                <c:formatCode>0.00</c:formatCode>
                <c:ptCount val="6"/>
                <c:pt idx="0">
                  <c:v>1</c:v>
                </c:pt>
                <c:pt idx="1">
                  <c:v>0.86153846153846159</c:v>
                </c:pt>
                <c:pt idx="2">
                  <c:v>0.27692307692307694</c:v>
                </c:pt>
                <c:pt idx="3">
                  <c:v>0.70769230769230773</c:v>
                </c:pt>
                <c:pt idx="4">
                  <c:v>0.7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9-CA47-B4F1-46407F64B9E2}"/>
            </c:ext>
          </c:extLst>
        </c:ser>
        <c:ser>
          <c:idx val="2"/>
          <c:order val="2"/>
          <c:tx>
            <c:strRef>
              <c:f>'Bonus Performance'!$A$10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'Bonus Performance'!$B$10:$G$10</c:f>
              <c:numCache>
                <c:formatCode>0.00</c:formatCode>
                <c:ptCount val="6"/>
                <c:pt idx="0">
                  <c:v>0.84210526315789469</c:v>
                </c:pt>
                <c:pt idx="1">
                  <c:v>0.8771929824561403</c:v>
                </c:pt>
                <c:pt idx="2">
                  <c:v>0.73684210526315785</c:v>
                </c:pt>
                <c:pt idx="3">
                  <c:v>0.60416666666666663</c:v>
                </c:pt>
                <c:pt idx="4">
                  <c:v>0.92900000000000005</c:v>
                </c:pt>
                <c:pt idx="5">
                  <c:v>0.92900000000000005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9-CA47-B4F1-46407F64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66400"/>
        <c:axId val="460930880"/>
      </c:lineChart>
      <c:catAx>
        <c:axId val="46096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460930880"/>
        <c:crosses val="autoZero"/>
        <c:auto val="1"/>
        <c:lblAlgn val="ctr"/>
        <c:lblOffset val="100"/>
        <c:noMultiLvlLbl val="0"/>
      </c:catAx>
      <c:valAx>
        <c:axId val="4609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4609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Delays in Months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Delays in Months</a:t>
          </a:r>
        </a:p>
      </cx:txPr>
    </cx:title>
    <cx:plotArea>
      <cx:plotAreaRegion>
        <cx:series layoutId="clusteredColumn" uniqueId="{CF40C025-FC74-454F-861C-10B798F995CC}">
          <cx:dataId val="0"/>
          <cx:layoutPr>
            <cx:binning intervalClosed="r" overflow="auto">
              <cx:binSize val="0.9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150978</xdr:rowOff>
    </xdr:from>
    <xdr:to>
      <xdr:col>7</xdr:col>
      <xdr:colOff>184944</xdr:colOff>
      <xdr:row>52</xdr:row>
      <xdr:rowOff>42362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CFF851-1A75-3D01-D681-EDEA5D1DC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38600"/>
          <a:ext cx="5966552" cy="6232503"/>
        </a:xfrm>
        <a:prstGeom prst="rect">
          <a:avLst/>
        </a:prstGeom>
      </xdr:spPr>
    </xdr:pic>
    <xdr:clientData/>
  </xdr:twoCellAnchor>
  <xdr:twoCellAnchor>
    <xdr:from>
      <xdr:col>5</xdr:col>
      <xdr:colOff>595924</xdr:colOff>
      <xdr:row>0</xdr:row>
      <xdr:rowOff>613331</xdr:rowOff>
    </xdr:from>
    <xdr:to>
      <xdr:col>11</xdr:col>
      <xdr:colOff>212259</xdr:colOff>
      <xdr:row>14</xdr:row>
      <xdr:rowOff>114923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C1D4D29-20EB-454C-0051-EE182A253E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7424" y="613331"/>
              <a:ext cx="4874135" cy="27908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180731</xdr:colOff>
      <xdr:row>5</xdr:row>
      <xdr:rowOff>10746</xdr:rowOff>
    </xdr:from>
    <xdr:to>
      <xdr:col>12</xdr:col>
      <xdr:colOff>600808</xdr:colOff>
      <xdr:row>19</xdr:row>
      <xdr:rowOff>18561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F231A-B5EC-3147-8A23-CC097CE24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393699</xdr:colOff>
      <xdr:row>13</xdr:row>
      <xdr:rowOff>93134</xdr:rowOff>
    </xdr:from>
    <xdr:to>
      <xdr:col>10</xdr:col>
      <xdr:colOff>817033</xdr:colOff>
      <xdr:row>27</xdr:row>
      <xdr:rowOff>110067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1760B6-2A45-720C-769D-E0904F6D3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dullah Alibrahim" id="{B8BFAA2C-0E91-4A65-95BE-FFB78E7014F9}" userId="Abdullah Alibrahim" providerId="None"/>
  <person displayName="Abdullah Alibrahim" id="{CD06ED64-79DC-A54E-9FF0-9CE6D87CE113}" userId="S::ABDULLAH.ALIBRAHIM@ku.edu.kw::6d8d2a05-a526-4095-8a52-50ff2021f66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dT="2022-09-06T04:38:01.38" personId="{B8BFAA2C-0E91-4A65-95BE-FFB78E7014F9}" id="{84A652A0-3FE7-4376-9193-66A48DE2C369}">
    <text>0 drug?</text>
  </threadedComment>
  <threadedComment ref="J12" dT="2022-09-06T04:38:01.38" personId="{B8BFAA2C-0E91-4A65-95BE-FFB78E7014F9}" id="{77980A57-203D-2B46-819F-A3C220567E47}">
    <text>0 drug?</text>
  </threadedComment>
  <threadedComment ref="C14" dT="2022-05-29T07:48:48.14" personId="{B8BFAA2C-0E91-4A65-95BE-FFB78E7014F9}" id="{F61D80BA-210E-4D5E-961B-45B57BC11E14}">
    <text>Was 0 -- assumed 1</text>
  </threadedComment>
  <threadedComment ref="D14" dT="2023-02-27T19:32:40.89" personId="{CD06ED64-79DC-A54E-9FF0-9CE6D87CE113}" id="{F0CDCF7D-5BDC-F647-A784-3C586EF6EACA}">
    <text>Was 1 - changed to 2 to be consistent with midline and endline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1" dT="2022-09-06T04:38:01.38" personId="{B8BFAA2C-0E91-4A65-95BE-FFB78E7014F9}" id="{FF6D8968-C3C0-2E4B-8E33-DC3E34D8731D}">
    <text>0 drug?</text>
  </threadedComment>
  <threadedComment ref="C13" dT="2022-05-29T07:48:48.14" personId="{B8BFAA2C-0E91-4A65-95BE-FFB78E7014F9}" id="{9815AEFD-1DCF-9441-938E-954CFB6ED57D}">
    <text>Was 0 -- assumed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800F-DF29-4107-B2D2-9C530BEF1BED}">
  <dimension ref="A1:L41"/>
  <sheetViews>
    <sheetView zoomScale="172" workbookViewId="0">
      <selection activeCell="F15" sqref="F15"/>
    </sheetView>
  </sheetViews>
  <sheetFormatPr baseColWidth="10" defaultColWidth="8.83203125" defaultRowHeight="15" x14ac:dyDescent="0.2"/>
  <cols>
    <col min="1" max="1" width="36.33203125" customWidth="1"/>
    <col min="3" max="3" width="10.6640625" bestFit="1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</row>
    <row r="2" spans="1:12" x14ac:dyDescent="0.2">
      <c r="A2" s="1"/>
      <c r="B2" s="2" t="s">
        <v>0</v>
      </c>
      <c r="C2" s="1"/>
      <c r="D2" s="1"/>
      <c r="E2" s="1"/>
      <c r="F2" s="3" t="s">
        <v>1</v>
      </c>
      <c r="G2" s="1"/>
      <c r="H2" s="1"/>
    </row>
    <row r="3" spans="1:12" x14ac:dyDescent="0.2">
      <c r="A3" s="4" t="s">
        <v>2</v>
      </c>
      <c r="B3" s="4" t="s">
        <v>112</v>
      </c>
      <c r="C3" s="4" t="s">
        <v>113</v>
      </c>
      <c r="D3" s="4" t="s">
        <v>114</v>
      </c>
      <c r="E3" s="1"/>
      <c r="F3" s="4" t="s">
        <v>112</v>
      </c>
      <c r="G3" s="4" t="s">
        <v>113</v>
      </c>
      <c r="H3" s="4" t="s">
        <v>114</v>
      </c>
    </row>
    <row r="4" spans="1:12" x14ac:dyDescent="0.2">
      <c r="A4" s="1"/>
      <c r="B4" s="4" t="s">
        <v>3</v>
      </c>
      <c r="C4" s="4" t="s">
        <v>3</v>
      </c>
      <c r="D4" s="4" t="s">
        <v>3</v>
      </c>
      <c r="E4" s="1"/>
      <c r="F4" s="4" t="s">
        <v>3</v>
      </c>
      <c r="G4" s="4" t="s">
        <v>3</v>
      </c>
      <c r="H4" s="4" t="s">
        <v>3</v>
      </c>
    </row>
    <row r="5" spans="1:12" x14ac:dyDescent="0.2">
      <c r="A5" s="1" t="s">
        <v>4</v>
      </c>
      <c r="B5" s="13">
        <v>91</v>
      </c>
      <c r="C5" s="13">
        <v>42.5</v>
      </c>
      <c r="D5" s="13">
        <v>20.714279999999999</v>
      </c>
      <c r="E5" s="1"/>
      <c r="F5" s="1">
        <v>29.5</v>
      </c>
      <c r="G5" s="1">
        <v>47.6</v>
      </c>
      <c r="H5" s="1">
        <v>54.5</v>
      </c>
    </row>
    <row r="6" spans="1:12" x14ac:dyDescent="0.2">
      <c r="A6" s="1" t="s">
        <v>5</v>
      </c>
      <c r="B6" s="13">
        <f>AVERAGE(F6,J6)</f>
        <v>10.166665</v>
      </c>
      <c r="C6" s="13">
        <f t="shared" ref="C6:D6" si="0">AVERAGE(G6,K6)</f>
        <v>12.137499999999999</v>
      </c>
      <c r="D6" s="13">
        <f t="shared" si="0"/>
        <v>14.017856999999999</v>
      </c>
      <c r="E6" s="1"/>
      <c r="F6" s="5">
        <v>10</v>
      </c>
      <c r="G6" s="5">
        <v>10.9</v>
      </c>
      <c r="H6" s="5">
        <v>18.75</v>
      </c>
      <c r="J6" s="13">
        <v>10.33333</v>
      </c>
      <c r="K6" s="13">
        <v>13.375</v>
      </c>
      <c r="L6" s="13">
        <v>9.2857140000000005</v>
      </c>
    </row>
    <row r="7" spans="1:12" x14ac:dyDescent="0.2">
      <c r="A7" s="1" t="s">
        <v>6</v>
      </c>
      <c r="B7" s="13">
        <v>0</v>
      </c>
      <c r="C7" s="13">
        <v>1</v>
      </c>
      <c r="D7" s="13">
        <v>1</v>
      </c>
      <c r="E7" s="1"/>
      <c r="F7" s="1">
        <v>0</v>
      </c>
      <c r="G7" s="1">
        <v>1</v>
      </c>
      <c r="H7" s="1">
        <v>1</v>
      </c>
    </row>
    <row r="8" spans="1:12" x14ac:dyDescent="0.2">
      <c r="A8" s="1" t="s">
        <v>7</v>
      </c>
      <c r="B8" s="14">
        <v>0.1666667</v>
      </c>
      <c r="C8" s="14">
        <v>0.2</v>
      </c>
      <c r="D8" s="14">
        <v>0.27777780000000002</v>
      </c>
      <c r="E8" s="1"/>
      <c r="F8" s="6">
        <v>0.1052632</v>
      </c>
      <c r="G8" s="6">
        <v>0.2</v>
      </c>
      <c r="H8" s="6">
        <v>0</v>
      </c>
    </row>
    <row r="9" spans="1:12" x14ac:dyDescent="0.2">
      <c r="A9" s="1" t="s">
        <v>8</v>
      </c>
      <c r="B9" s="13">
        <v>13.33333</v>
      </c>
      <c r="C9" s="13">
        <v>30</v>
      </c>
      <c r="D9" s="13">
        <v>37.5</v>
      </c>
      <c r="E9" s="1"/>
      <c r="F9" s="5">
        <v>16</v>
      </c>
      <c r="G9" s="5">
        <v>50</v>
      </c>
      <c r="H9" s="5">
        <v>60</v>
      </c>
    </row>
    <row r="10" spans="1:12" x14ac:dyDescent="0.2">
      <c r="A10" s="1" t="s">
        <v>9</v>
      </c>
      <c r="B10" s="31">
        <v>0.97142859999999998</v>
      </c>
      <c r="C10" s="31">
        <v>0.71428570000000002</v>
      </c>
      <c r="D10" s="31">
        <v>0.76530609999999999</v>
      </c>
      <c r="E10" s="1"/>
      <c r="F10" s="6">
        <v>0.75</v>
      </c>
      <c r="G10" s="6">
        <v>0.8</v>
      </c>
      <c r="H10" s="6">
        <v>0.89285709999999996</v>
      </c>
    </row>
    <row r="11" spans="1:12" x14ac:dyDescent="0.2">
      <c r="A11" s="1" t="s">
        <v>10</v>
      </c>
      <c r="B11" s="14">
        <v>0.8070176</v>
      </c>
      <c r="C11" s="14">
        <v>0.62811790000000001</v>
      </c>
      <c r="D11" s="14">
        <v>0.74074079999999998</v>
      </c>
      <c r="E11" s="1"/>
      <c r="F11" s="6">
        <v>0.80687830000000005</v>
      </c>
      <c r="G11" s="6">
        <v>0.60634920000000003</v>
      </c>
      <c r="H11" s="6">
        <v>0.81453629999999999</v>
      </c>
      <c r="J11" t="s">
        <v>68</v>
      </c>
    </row>
    <row r="12" spans="1:12" x14ac:dyDescent="0.2">
      <c r="A12" s="1" t="s">
        <v>11</v>
      </c>
      <c r="B12" s="14">
        <v>0.33333334999999997</v>
      </c>
      <c r="C12" s="14">
        <v>0.33333334999999997</v>
      </c>
      <c r="D12" s="14">
        <v>0.5</v>
      </c>
      <c r="E12" s="1"/>
      <c r="F12" s="6">
        <v>0.66666669999999995</v>
      </c>
      <c r="G12" s="6">
        <v>0</v>
      </c>
      <c r="H12" s="6">
        <v>0.3333333</v>
      </c>
      <c r="J12" s="14">
        <v>0</v>
      </c>
      <c r="K12" s="14">
        <v>0.66666669999999995</v>
      </c>
      <c r="L12" s="14">
        <v>0.66666669999999995</v>
      </c>
    </row>
    <row r="13" spans="1:12" x14ac:dyDescent="0.2">
      <c r="A13" s="1" t="s">
        <v>12</v>
      </c>
      <c r="B13" s="13">
        <v>6.3846150000000002</v>
      </c>
      <c r="C13" s="13">
        <v>5.1333330000000004</v>
      </c>
      <c r="D13" s="13">
        <v>9.0714279999999992</v>
      </c>
      <c r="E13" s="1"/>
      <c r="F13" s="5">
        <v>8.6666670000000003</v>
      </c>
      <c r="G13" s="5">
        <v>8.3846150000000002</v>
      </c>
      <c r="H13" s="5">
        <v>8.1578949999999999</v>
      </c>
    </row>
    <row r="14" spans="1:12" x14ac:dyDescent="0.2">
      <c r="A14" s="1" t="s">
        <v>13</v>
      </c>
      <c r="B14" s="13">
        <v>2</v>
      </c>
      <c r="C14" s="13">
        <v>1</v>
      </c>
      <c r="D14" s="13">
        <v>2</v>
      </c>
      <c r="E14" s="1"/>
      <c r="F14" s="1">
        <v>6</v>
      </c>
      <c r="G14" s="1">
        <v>1</v>
      </c>
      <c r="H14" s="1">
        <v>2</v>
      </c>
    </row>
    <row r="15" spans="1:12" x14ac:dyDescent="0.2">
      <c r="A15" s="1" t="s">
        <v>14</v>
      </c>
      <c r="B15" s="13">
        <v>2</v>
      </c>
      <c r="C15" s="13">
        <v>2</v>
      </c>
      <c r="D15" s="13">
        <v>3</v>
      </c>
      <c r="E15" s="1"/>
      <c r="F15" s="1">
        <v>2</v>
      </c>
      <c r="G15" s="1">
        <v>2</v>
      </c>
      <c r="H15" s="1">
        <v>3</v>
      </c>
    </row>
    <row r="16" spans="1:12" ht="32" x14ac:dyDescent="0.2">
      <c r="A16" s="7" t="s">
        <v>15</v>
      </c>
      <c r="B16" s="1">
        <v>0</v>
      </c>
      <c r="C16" s="1">
        <v>0</v>
      </c>
      <c r="D16" s="1">
        <v>0</v>
      </c>
      <c r="E16" s="1"/>
      <c r="F16" s="1">
        <v>1</v>
      </c>
      <c r="G16" s="1">
        <v>1</v>
      </c>
      <c r="H16" s="1">
        <v>0</v>
      </c>
    </row>
    <row r="17" spans="1:8" x14ac:dyDescent="0.2">
      <c r="A17" s="1" t="s">
        <v>16</v>
      </c>
      <c r="B17" s="6">
        <v>1</v>
      </c>
      <c r="C17" s="6">
        <v>0.5</v>
      </c>
      <c r="D17" s="6">
        <v>0.85714290000000004</v>
      </c>
      <c r="E17" s="1"/>
      <c r="F17" s="6">
        <v>0.5</v>
      </c>
      <c r="G17" s="6">
        <v>0.2</v>
      </c>
      <c r="H17" s="6">
        <v>0.75</v>
      </c>
    </row>
    <row r="18" spans="1:8" x14ac:dyDescent="0.2">
      <c r="A18" s="1"/>
      <c r="B18" s="6"/>
      <c r="C18" s="6"/>
      <c r="D18" s="6"/>
      <c r="E18" s="1"/>
      <c r="F18" s="6"/>
      <c r="G18" s="6"/>
      <c r="H18" s="6"/>
    </row>
    <row r="19" spans="1:8" x14ac:dyDescent="0.2">
      <c r="A19" s="1" t="s">
        <v>17</v>
      </c>
      <c r="B19" s="8">
        <v>0.73699999999999999</v>
      </c>
      <c r="C19" s="8">
        <v>0.71399999999999997</v>
      </c>
      <c r="D19" s="8">
        <v>0.52600000000000002</v>
      </c>
      <c r="E19" s="1"/>
      <c r="F19" s="6">
        <v>0.68421050000000005</v>
      </c>
      <c r="G19" s="6">
        <v>0.53333330000000001</v>
      </c>
      <c r="H19" s="6">
        <v>0.63157890000000005</v>
      </c>
    </row>
    <row r="20" spans="1:8" x14ac:dyDescent="0.2">
      <c r="A20" s="1" t="s">
        <v>18</v>
      </c>
      <c r="B20" s="8">
        <f>1-B19</f>
        <v>0.26300000000000001</v>
      </c>
      <c r="C20" s="8">
        <f t="shared" ref="C20:D20" si="1">1-C19</f>
        <v>0.28600000000000003</v>
      </c>
      <c r="D20" s="8">
        <f t="shared" si="1"/>
        <v>0.47399999999999998</v>
      </c>
      <c r="E20" s="8"/>
      <c r="F20" s="8">
        <f t="shared" ref="F20:H20" si="2">1-F19</f>
        <v>0.31578949999999995</v>
      </c>
      <c r="G20" s="8">
        <f t="shared" si="2"/>
        <v>0.46666669999999999</v>
      </c>
      <c r="H20" s="8">
        <f t="shared" si="2"/>
        <v>0.36842109999999995</v>
      </c>
    </row>
    <row r="21" spans="1:8" x14ac:dyDescent="0.2">
      <c r="A21" s="1" t="s">
        <v>19</v>
      </c>
      <c r="B21" s="8">
        <v>0.78900000000000003</v>
      </c>
      <c r="C21" s="8">
        <v>0.47599999999999998</v>
      </c>
      <c r="D21" s="8">
        <v>0.68400000000000005</v>
      </c>
      <c r="E21" s="1"/>
      <c r="F21" s="6">
        <v>0.5789474</v>
      </c>
      <c r="G21" s="6">
        <v>0.86666670000000001</v>
      </c>
      <c r="H21" s="6">
        <v>0.63157890000000005</v>
      </c>
    </row>
    <row r="22" spans="1:8" x14ac:dyDescent="0.2">
      <c r="A22" s="1" t="s">
        <v>20</v>
      </c>
      <c r="B22" s="8">
        <f>1-B21</f>
        <v>0.21099999999999997</v>
      </c>
      <c r="C22" s="8">
        <f t="shared" ref="C22:H22" si="3">1-C21</f>
        <v>0.52400000000000002</v>
      </c>
      <c r="D22" s="8">
        <f t="shared" si="3"/>
        <v>0.31599999999999995</v>
      </c>
      <c r="E22" s="8"/>
      <c r="F22" s="8">
        <f t="shared" si="3"/>
        <v>0.4210526</v>
      </c>
      <c r="G22" s="8">
        <f t="shared" si="3"/>
        <v>0.13333329999999999</v>
      </c>
      <c r="H22" s="8">
        <f t="shared" si="3"/>
        <v>0.36842109999999995</v>
      </c>
    </row>
    <row r="23" spans="1:8" x14ac:dyDescent="0.2">
      <c r="A23" s="1" t="s">
        <v>21</v>
      </c>
      <c r="B23" s="8">
        <v>5.2999999999999999E-2</v>
      </c>
      <c r="C23" s="8">
        <v>0.23799999999999999</v>
      </c>
      <c r="D23" s="8">
        <v>0.47399999999999998</v>
      </c>
      <c r="E23" s="1"/>
      <c r="F23" s="6">
        <v>0.3684211</v>
      </c>
      <c r="G23" s="6">
        <v>0.66666669999999995</v>
      </c>
      <c r="H23" s="6">
        <v>0.78947369999999994</v>
      </c>
    </row>
    <row r="24" spans="1:8" x14ac:dyDescent="0.2">
      <c r="A24" s="1" t="s">
        <v>22</v>
      </c>
      <c r="B24" s="8">
        <v>0.36799999999999999</v>
      </c>
      <c r="C24" s="8">
        <v>0.52400000000000002</v>
      </c>
      <c r="D24" s="8">
        <v>0.36799999999999999</v>
      </c>
      <c r="E24" s="1"/>
      <c r="F24" s="6">
        <v>0.4736842</v>
      </c>
      <c r="G24" s="6">
        <v>0.26666669999999998</v>
      </c>
      <c r="H24" s="6">
        <v>0.1578947</v>
      </c>
    </row>
    <row r="25" spans="1:8" x14ac:dyDescent="0.2">
      <c r="A25" s="1" t="s">
        <v>23</v>
      </c>
      <c r="B25" s="8">
        <v>0.57899999999999996</v>
      </c>
      <c r="C25" s="8">
        <v>0.23799999999999999</v>
      </c>
      <c r="D25" s="8">
        <v>0.157</v>
      </c>
      <c r="E25" s="1"/>
      <c r="F25" s="6">
        <v>0.1578947</v>
      </c>
      <c r="G25" s="6">
        <v>6.6666699999999995E-2</v>
      </c>
      <c r="H25" s="6">
        <v>5.2631600000000001E-2</v>
      </c>
    </row>
    <row r="26" spans="1:8" x14ac:dyDescent="0.2">
      <c r="A26" s="1" t="s">
        <v>24</v>
      </c>
      <c r="B26" s="8">
        <v>0.158</v>
      </c>
      <c r="C26" s="8">
        <v>0.28599999999999998</v>
      </c>
      <c r="D26" s="8">
        <v>0.158</v>
      </c>
      <c r="E26" s="1"/>
      <c r="F26" s="6">
        <v>5.2631600000000001E-2</v>
      </c>
      <c r="G26" s="6">
        <v>0.13333329999999999</v>
      </c>
      <c r="H26" s="6">
        <v>0.2631579</v>
      </c>
    </row>
    <row r="27" spans="1:8" x14ac:dyDescent="0.2">
      <c r="A27" s="1" t="s">
        <v>25</v>
      </c>
      <c r="B27" s="8">
        <v>0</v>
      </c>
      <c r="C27" s="8">
        <v>0.19</v>
      </c>
      <c r="D27" s="8">
        <v>0</v>
      </c>
      <c r="E27" s="1"/>
      <c r="F27" s="6">
        <v>0.2631579</v>
      </c>
      <c r="G27" s="6">
        <v>0.26666669999999998</v>
      </c>
      <c r="H27" s="6">
        <v>0</v>
      </c>
    </row>
    <row r="28" spans="1:8" x14ac:dyDescent="0.2">
      <c r="A28" s="1" t="s">
        <v>26</v>
      </c>
      <c r="B28" s="8">
        <v>0.68400000000000005</v>
      </c>
      <c r="C28" s="8">
        <v>0.52300000000000002</v>
      </c>
      <c r="D28" s="8">
        <v>0.78900000000000003</v>
      </c>
      <c r="E28" s="1"/>
      <c r="F28" s="6">
        <v>0.5789474</v>
      </c>
      <c r="G28" s="6">
        <v>0.53333330000000001</v>
      </c>
      <c r="H28" s="6">
        <v>0.68421050000000005</v>
      </c>
    </row>
    <row r="29" spans="1:8" x14ac:dyDescent="0.2">
      <c r="A29" s="1" t="s">
        <v>27</v>
      </c>
      <c r="B29" s="8">
        <v>0.158</v>
      </c>
      <c r="C29" s="8">
        <v>0</v>
      </c>
      <c r="D29" s="8">
        <v>5.2999999999999999E-2</v>
      </c>
      <c r="E29" s="1"/>
      <c r="F29" s="6">
        <v>0.1052632</v>
      </c>
      <c r="G29" s="6">
        <v>6.6666699999999995E-2</v>
      </c>
      <c r="H29" s="6">
        <v>5.2631600000000001E-2</v>
      </c>
    </row>
    <row r="30" spans="1:8" x14ac:dyDescent="0.2">
      <c r="A30" s="1" t="s">
        <v>28</v>
      </c>
      <c r="B30" s="9">
        <v>1</v>
      </c>
      <c r="C30" s="9">
        <v>0</v>
      </c>
      <c r="D30" s="9">
        <v>1</v>
      </c>
      <c r="E30" s="1"/>
      <c r="F30" s="10">
        <v>1</v>
      </c>
      <c r="G30" s="9">
        <v>0</v>
      </c>
      <c r="H30" s="10">
        <v>1</v>
      </c>
    </row>
    <row r="31" spans="1:8" x14ac:dyDescent="0.2">
      <c r="A31" s="1" t="s">
        <v>29</v>
      </c>
      <c r="B31" s="8" t="s">
        <v>30</v>
      </c>
      <c r="C31" s="8" t="s">
        <v>30</v>
      </c>
      <c r="D31" s="8" t="s">
        <v>30</v>
      </c>
      <c r="E31" s="1"/>
      <c r="F31" s="6" t="s">
        <v>30</v>
      </c>
      <c r="G31" s="6" t="s">
        <v>30</v>
      </c>
      <c r="H31" s="6" t="s">
        <v>30</v>
      </c>
    </row>
    <row r="32" spans="1:8" x14ac:dyDescent="0.2">
      <c r="A32" s="1" t="s">
        <v>31</v>
      </c>
      <c r="B32" s="11" t="s">
        <v>32</v>
      </c>
      <c r="C32" s="11" t="s">
        <v>33</v>
      </c>
      <c r="D32" s="11" t="s">
        <v>34</v>
      </c>
      <c r="E32" s="1"/>
      <c r="F32" s="11" t="s">
        <v>33</v>
      </c>
      <c r="G32" s="11" t="s">
        <v>32</v>
      </c>
      <c r="H32" s="11" t="s">
        <v>34</v>
      </c>
    </row>
    <row r="33" spans="1:8" x14ac:dyDescent="0.2">
      <c r="A33" s="1" t="s">
        <v>35</v>
      </c>
      <c r="B33" s="11" t="s">
        <v>32</v>
      </c>
      <c r="C33" s="11" t="s">
        <v>34</v>
      </c>
      <c r="D33" s="11" t="s">
        <v>34</v>
      </c>
      <c r="E33" s="1"/>
      <c r="F33" s="11" t="s">
        <v>34</v>
      </c>
      <c r="G33" s="11" t="s">
        <v>32</v>
      </c>
      <c r="H33" s="11" t="s">
        <v>33</v>
      </c>
    </row>
    <row r="34" spans="1:8" x14ac:dyDescent="0.2">
      <c r="A34" s="1" t="s">
        <v>36</v>
      </c>
      <c r="B34" s="11" t="s">
        <v>32</v>
      </c>
      <c r="C34" s="11" t="s">
        <v>34</v>
      </c>
      <c r="D34" s="11" t="s">
        <v>33</v>
      </c>
      <c r="E34" s="1"/>
      <c r="F34" s="11" t="s">
        <v>34</v>
      </c>
      <c r="G34" s="11" t="s">
        <v>32</v>
      </c>
      <c r="H34" s="11" t="s">
        <v>34</v>
      </c>
    </row>
    <row r="35" spans="1:8" x14ac:dyDescent="0.2">
      <c r="A35" s="1" t="s">
        <v>37</v>
      </c>
      <c r="B35" s="8">
        <v>0.68400000000000005</v>
      </c>
      <c r="C35" s="8">
        <v>0.71399999999999997</v>
      </c>
      <c r="D35" s="8">
        <v>0.98</v>
      </c>
      <c r="E35" s="8"/>
      <c r="F35" s="8">
        <v>0.78900000000000003</v>
      </c>
      <c r="G35" s="8">
        <v>0.86699999999999999</v>
      </c>
      <c r="H35" s="8">
        <v>1</v>
      </c>
    </row>
    <row r="36" spans="1:8" ht="16" x14ac:dyDescent="0.2">
      <c r="A36" s="12" t="s">
        <v>38</v>
      </c>
      <c r="B36" s="12">
        <v>19</v>
      </c>
      <c r="C36" s="12">
        <v>21</v>
      </c>
      <c r="D36" s="12">
        <v>19</v>
      </c>
      <c r="E36" s="1"/>
      <c r="F36" s="12">
        <v>19</v>
      </c>
      <c r="G36" s="12">
        <v>15</v>
      </c>
      <c r="H36" s="12">
        <v>19</v>
      </c>
    </row>
    <row r="37" spans="1:8" x14ac:dyDescent="0.2">
      <c r="A37" s="17" t="s">
        <v>69</v>
      </c>
      <c r="B37" s="29">
        <v>0.13</v>
      </c>
      <c r="C37" s="8">
        <f>'Bonus Performance'!B9</f>
        <v>1</v>
      </c>
      <c r="D37" s="8">
        <f>'Bonus Performance'!B10</f>
        <v>0.84210526315789469</v>
      </c>
    </row>
    <row r="38" spans="1:8" x14ac:dyDescent="0.2">
      <c r="B38">
        <v>0.26848874598070738</v>
      </c>
      <c r="C38">
        <v>0.48392282958199356</v>
      </c>
      <c r="D38">
        <v>0.24758842443729903</v>
      </c>
    </row>
    <row r="40" spans="1:8" x14ac:dyDescent="0.2">
      <c r="A40" t="s">
        <v>111</v>
      </c>
      <c r="B40">
        <f>0.4*B12+0.04*B13</f>
        <v>0.38871794000000004</v>
      </c>
      <c r="C40">
        <f t="shared" ref="C40:D40" si="4">0.4*C12+0.04*C13</f>
        <v>0.33866666000000001</v>
      </c>
      <c r="D40">
        <f t="shared" si="4"/>
        <v>0.56285711999999999</v>
      </c>
    </row>
    <row r="41" spans="1:8" x14ac:dyDescent="0.2">
      <c r="C41" s="3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3874-AAEF-4C60-9D26-E32B829C0DC9}">
  <dimension ref="A1:F13"/>
  <sheetViews>
    <sheetView zoomScale="289" workbookViewId="0">
      <selection activeCell="A5" sqref="A5:A7"/>
    </sheetView>
  </sheetViews>
  <sheetFormatPr baseColWidth="10" defaultColWidth="8.83203125" defaultRowHeight="15" x14ac:dyDescent="0.2"/>
  <sheetData>
    <row r="1" spans="1:6" x14ac:dyDescent="0.2">
      <c r="A1" t="s">
        <v>39</v>
      </c>
      <c r="B1" t="s">
        <v>40</v>
      </c>
      <c r="C1" t="s">
        <v>41</v>
      </c>
      <c r="D1" t="s">
        <v>42</v>
      </c>
    </row>
    <row r="2" spans="1:6" x14ac:dyDescent="0.2">
      <c r="A2" s="15" t="s">
        <v>112</v>
      </c>
      <c r="B2" s="15">
        <v>3338</v>
      </c>
      <c r="C2" s="15">
        <f>ROUND(B2*0.15,0)</f>
        <v>501</v>
      </c>
      <c r="D2" s="15">
        <f>ROUND(B2*0.2,0)</f>
        <v>668</v>
      </c>
      <c r="E2">
        <f>C2/(SUM($C$2:$C$4))</f>
        <v>0.26848874598070738</v>
      </c>
    </row>
    <row r="3" spans="1:6" x14ac:dyDescent="0.2">
      <c r="A3" s="15" t="s">
        <v>113</v>
      </c>
      <c r="B3" s="15">
        <v>6018</v>
      </c>
      <c r="C3" s="15">
        <f t="shared" ref="C3:C4" si="0">ROUND(B3*0.15,0)</f>
        <v>903</v>
      </c>
      <c r="D3" s="15">
        <f t="shared" ref="D3:D4" si="1">ROUND(B3*0.2,0)</f>
        <v>1204</v>
      </c>
      <c r="E3">
        <f t="shared" ref="E3:E4" si="2">C3/(SUM($C$2:$C$4))</f>
        <v>0.48392282958199356</v>
      </c>
    </row>
    <row r="4" spans="1:6" x14ac:dyDescent="0.2">
      <c r="A4" s="15" t="s">
        <v>114</v>
      </c>
      <c r="B4" s="15">
        <v>3083</v>
      </c>
      <c r="C4" s="15">
        <f t="shared" si="0"/>
        <v>462</v>
      </c>
      <c r="D4" s="15">
        <f t="shared" si="1"/>
        <v>617</v>
      </c>
      <c r="E4">
        <f t="shared" si="2"/>
        <v>0.24758842443729903</v>
      </c>
      <c r="F4">
        <f>501*0.75/2</f>
        <v>187.875</v>
      </c>
    </row>
    <row r="5" spans="1:6" x14ac:dyDescent="0.2">
      <c r="B5">
        <v>4097</v>
      </c>
      <c r="C5">
        <f t="shared" ref="C5" si="3">B5*0.15</f>
        <v>614.54999999999995</v>
      </c>
      <c r="D5">
        <f t="shared" ref="D5" si="4">B5*0.2</f>
        <v>819.40000000000009</v>
      </c>
    </row>
    <row r="6" spans="1:6" x14ac:dyDescent="0.2">
      <c r="B6">
        <v>3013</v>
      </c>
      <c r="C6">
        <f>B6*0.15</f>
        <v>451.95</v>
      </c>
      <c r="D6">
        <f>B6*0.2</f>
        <v>602.6</v>
      </c>
    </row>
    <row r="7" spans="1:6" x14ac:dyDescent="0.2">
      <c r="B7">
        <v>3127</v>
      </c>
      <c r="C7">
        <f>B7*0.15</f>
        <v>469.04999999999995</v>
      </c>
      <c r="D7">
        <f>B7*0.2</f>
        <v>625.40000000000009</v>
      </c>
    </row>
    <row r="13" spans="1:6" x14ac:dyDescent="0.2">
      <c r="C13">
        <f>SUM(C2:C4)</f>
        <v>1866</v>
      </c>
      <c r="D13">
        <f>SUM(D2:D4)</f>
        <v>2489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2C3D-17BB-EE4B-80AF-D67F7BF93D09}">
  <dimension ref="A2:L30"/>
  <sheetViews>
    <sheetView workbookViewId="0">
      <selection activeCell="L16" sqref="L16"/>
    </sheetView>
  </sheetViews>
  <sheetFormatPr baseColWidth="10" defaultRowHeight="15" x14ac:dyDescent="0.2"/>
  <sheetData>
    <row r="2" spans="1:12" x14ac:dyDescent="0.2">
      <c r="B2" s="1" t="s">
        <v>112</v>
      </c>
      <c r="C2" s="1" t="s">
        <v>113</v>
      </c>
      <c r="D2" s="1" t="s">
        <v>114</v>
      </c>
      <c r="F2" s="20"/>
      <c r="J2" s="20"/>
    </row>
    <row r="3" spans="1:12" x14ac:dyDescent="0.2">
      <c r="A3" s="1" t="s">
        <v>17</v>
      </c>
      <c r="B3" s="21">
        <f t="shared" ref="B3:B14" si="0">AVERAGE(B17,F17,J17)</f>
        <v>0.67373683333333334</v>
      </c>
      <c r="C3" s="21">
        <f t="shared" ref="C3:D3" si="1">AVERAGE(C17,G17,K17)</f>
        <v>0.59911110000000001</v>
      </c>
      <c r="D3" s="21">
        <f t="shared" si="1"/>
        <v>0.6525263</v>
      </c>
      <c r="F3" s="20"/>
      <c r="J3" s="20"/>
    </row>
    <row r="4" spans="1:12" x14ac:dyDescent="0.2">
      <c r="A4" s="1" t="s">
        <v>18</v>
      </c>
      <c r="B4" s="21">
        <f t="shared" si="0"/>
        <v>0.32626316666666666</v>
      </c>
      <c r="C4" s="21">
        <f t="shared" ref="C4:C14" si="2">AVERAGE(C18,G18,K18)</f>
        <v>0.40088889999999999</v>
      </c>
      <c r="D4" s="21">
        <f t="shared" ref="D4:D14" si="3">AVERAGE(D18,H18,L18)</f>
        <v>0.34747369999999994</v>
      </c>
      <c r="F4" s="20"/>
      <c r="J4" s="20"/>
    </row>
    <row r="5" spans="1:12" x14ac:dyDescent="0.2">
      <c r="A5" s="1" t="s">
        <v>19</v>
      </c>
      <c r="B5" s="21">
        <f t="shared" si="0"/>
        <v>0.75598246666666669</v>
      </c>
      <c r="C5" s="21">
        <f t="shared" si="2"/>
        <v>0.71422223333333346</v>
      </c>
      <c r="D5" s="21">
        <f t="shared" si="3"/>
        <v>0.68852630000000004</v>
      </c>
      <c r="F5" s="20"/>
      <c r="J5" s="20"/>
    </row>
    <row r="6" spans="1:12" x14ac:dyDescent="0.2">
      <c r="A6" s="1" t="s">
        <v>20</v>
      </c>
      <c r="B6" s="21">
        <f t="shared" si="0"/>
        <v>0.24401753333333331</v>
      </c>
      <c r="C6" s="21">
        <f t="shared" si="2"/>
        <v>0.28577776666666671</v>
      </c>
      <c r="D6" s="21">
        <f t="shared" si="3"/>
        <v>0.31147369999999996</v>
      </c>
      <c r="F6" s="20"/>
      <c r="J6" s="20"/>
    </row>
    <row r="7" spans="1:12" x14ac:dyDescent="0.2">
      <c r="A7" s="1" t="s">
        <v>21</v>
      </c>
      <c r="B7" s="21">
        <f t="shared" si="0"/>
        <v>0.30714036666666666</v>
      </c>
      <c r="C7" s="21">
        <f t="shared" si="2"/>
        <v>0.36822223333333332</v>
      </c>
      <c r="D7" s="21">
        <f t="shared" si="3"/>
        <v>0.62115790000000004</v>
      </c>
      <c r="F7" s="20"/>
      <c r="J7" s="20"/>
    </row>
    <row r="8" spans="1:12" x14ac:dyDescent="0.2">
      <c r="A8" s="1" t="s">
        <v>22</v>
      </c>
      <c r="B8" s="21">
        <f t="shared" si="0"/>
        <v>0.41389473333333332</v>
      </c>
      <c r="C8" s="21">
        <f t="shared" si="2"/>
        <v>0.36355556666666672</v>
      </c>
      <c r="D8" s="21">
        <f t="shared" si="3"/>
        <v>0.24196490000000001</v>
      </c>
      <c r="F8" s="20"/>
      <c r="J8" s="20"/>
    </row>
    <row r="9" spans="1:12" x14ac:dyDescent="0.2">
      <c r="A9" s="1" t="s">
        <v>23</v>
      </c>
      <c r="B9" s="21">
        <f t="shared" si="0"/>
        <v>0.27896489999999996</v>
      </c>
      <c r="C9" s="21">
        <f t="shared" si="2"/>
        <v>0.26822223333333334</v>
      </c>
      <c r="D9" s="21">
        <f t="shared" si="3"/>
        <v>0.13654386666666665</v>
      </c>
      <c r="F9" s="20"/>
      <c r="J9" s="20"/>
    </row>
    <row r="10" spans="1:12" x14ac:dyDescent="0.2">
      <c r="A10" s="1" t="s">
        <v>24</v>
      </c>
      <c r="B10" s="21">
        <f t="shared" si="0"/>
        <v>0.12021053333333333</v>
      </c>
      <c r="C10" s="21">
        <f t="shared" si="2"/>
        <v>0.22311109999999998</v>
      </c>
      <c r="D10" s="21">
        <f t="shared" si="3"/>
        <v>0.17371929999999999</v>
      </c>
      <c r="F10" s="20"/>
      <c r="J10" s="20"/>
    </row>
    <row r="11" spans="1:12" x14ac:dyDescent="0.2">
      <c r="A11" s="1" t="s">
        <v>25</v>
      </c>
      <c r="B11" s="21">
        <f t="shared" si="0"/>
        <v>8.77193E-2</v>
      </c>
      <c r="C11" s="21">
        <f t="shared" si="2"/>
        <v>0.16888890000000001</v>
      </c>
      <c r="D11" s="21">
        <f t="shared" si="3"/>
        <v>3.3333333333333333E-2</v>
      </c>
      <c r="F11" s="20"/>
      <c r="J11" s="20"/>
    </row>
    <row r="12" spans="1:12" x14ac:dyDescent="0.2">
      <c r="A12" s="1" t="s">
        <v>26</v>
      </c>
      <c r="B12" s="21">
        <f t="shared" si="0"/>
        <v>0.68764913333333333</v>
      </c>
      <c r="C12" s="21">
        <f t="shared" si="2"/>
        <v>0.58544443333333329</v>
      </c>
      <c r="D12" s="21">
        <f t="shared" si="3"/>
        <v>0.72440349999999987</v>
      </c>
      <c r="F12" s="20"/>
      <c r="J12" s="20"/>
    </row>
    <row r="13" spans="1:12" x14ac:dyDescent="0.2">
      <c r="A13" s="1" t="s">
        <v>27</v>
      </c>
      <c r="B13" s="21">
        <f t="shared" si="0"/>
        <v>0.10442106666666667</v>
      </c>
      <c r="C13" s="21">
        <f t="shared" si="2"/>
        <v>2.2222233333333331E-2</v>
      </c>
      <c r="D13" s="21">
        <f t="shared" si="3"/>
        <v>6.8543866666666661E-2</v>
      </c>
      <c r="F13" s="20"/>
      <c r="J13" s="20"/>
    </row>
    <row r="14" spans="1:12" x14ac:dyDescent="0.2">
      <c r="A14" s="17" t="s">
        <v>58</v>
      </c>
      <c r="B14" s="23">
        <f t="shared" si="0"/>
        <v>14.666665</v>
      </c>
      <c r="C14" s="23">
        <f t="shared" si="2"/>
        <v>39.766666666666666</v>
      </c>
      <c r="D14" s="23">
        <f t="shared" si="3"/>
        <v>46.866666666666667</v>
      </c>
      <c r="F14" s="20"/>
      <c r="J14" s="20"/>
    </row>
    <row r="15" spans="1:12" x14ac:dyDescent="0.2">
      <c r="B15" s="21"/>
      <c r="C15" s="21"/>
      <c r="D15" s="21"/>
      <c r="F15" s="20"/>
      <c r="J15" s="20"/>
    </row>
    <row r="16" spans="1:12" x14ac:dyDescent="0.2">
      <c r="A16" s="1" t="s">
        <v>2</v>
      </c>
      <c r="B16" s="1" t="s">
        <v>112</v>
      </c>
      <c r="C16" s="1" t="s">
        <v>113</v>
      </c>
      <c r="D16" s="1" t="s">
        <v>114</v>
      </c>
      <c r="F16" s="1" t="s">
        <v>112</v>
      </c>
      <c r="G16" s="1" t="s">
        <v>113</v>
      </c>
      <c r="H16" s="1" t="s">
        <v>114</v>
      </c>
      <c r="J16" s="1" t="s">
        <v>112</v>
      </c>
      <c r="K16" s="1" t="s">
        <v>113</v>
      </c>
      <c r="L16" s="1" t="s">
        <v>114</v>
      </c>
    </row>
    <row r="17" spans="1:12" x14ac:dyDescent="0.2">
      <c r="A17" s="1" t="s">
        <v>17</v>
      </c>
      <c r="B17" s="8">
        <v>0.73699999999999999</v>
      </c>
      <c r="C17" s="8">
        <v>0.71399999999999997</v>
      </c>
      <c r="D17" s="8">
        <v>0.52600000000000002</v>
      </c>
      <c r="F17" s="6">
        <v>0.68421050000000005</v>
      </c>
      <c r="G17" s="6">
        <v>0.53333330000000001</v>
      </c>
      <c r="H17" s="6">
        <v>0.63157890000000005</v>
      </c>
      <c r="J17" s="6">
        <v>0.6</v>
      </c>
      <c r="K17" s="6">
        <v>0.55000000000000004</v>
      </c>
      <c r="L17" s="6">
        <v>0.8</v>
      </c>
    </row>
    <row r="18" spans="1:12" x14ac:dyDescent="0.2">
      <c r="A18" s="1" t="s">
        <v>18</v>
      </c>
      <c r="B18" s="8">
        <v>0.26300000000000001</v>
      </c>
      <c r="C18" s="8">
        <v>0.28600000000000003</v>
      </c>
      <c r="D18" s="8">
        <v>0.47399999999999998</v>
      </c>
      <c r="E18" s="8"/>
      <c r="F18" s="8">
        <v>0.31578949999999995</v>
      </c>
      <c r="G18" s="8">
        <v>0.46666669999999999</v>
      </c>
      <c r="H18" s="8">
        <v>0.36842109999999995</v>
      </c>
      <c r="J18" s="6">
        <v>0.4</v>
      </c>
      <c r="K18" s="8">
        <v>0.45</v>
      </c>
      <c r="L18" s="8">
        <v>0.2</v>
      </c>
    </row>
    <row r="19" spans="1:12" x14ac:dyDescent="0.2">
      <c r="A19" s="1" t="s">
        <v>19</v>
      </c>
      <c r="B19" s="8">
        <v>0.78900000000000003</v>
      </c>
      <c r="C19" s="8">
        <v>0.47599999999999998</v>
      </c>
      <c r="D19" s="8">
        <v>0.68400000000000005</v>
      </c>
      <c r="F19" s="6">
        <v>0.5789474</v>
      </c>
      <c r="G19" s="6">
        <v>0.86666670000000001</v>
      </c>
      <c r="H19" s="6">
        <v>0.63157890000000005</v>
      </c>
      <c r="J19" s="6">
        <v>0.9</v>
      </c>
      <c r="K19" s="6">
        <v>0.8</v>
      </c>
      <c r="L19" s="6">
        <v>0.75</v>
      </c>
    </row>
    <row r="20" spans="1:12" x14ac:dyDescent="0.2">
      <c r="A20" s="1" t="s">
        <v>20</v>
      </c>
      <c r="B20" s="8">
        <v>0.21099999999999997</v>
      </c>
      <c r="C20" s="8">
        <v>0.52400000000000002</v>
      </c>
      <c r="D20" s="8">
        <v>0.31599999999999995</v>
      </c>
      <c r="E20" s="8"/>
      <c r="F20" s="8">
        <v>0.4210526</v>
      </c>
      <c r="G20" s="8">
        <v>0.13333329999999999</v>
      </c>
      <c r="H20" s="8">
        <v>0.36842109999999995</v>
      </c>
      <c r="J20" s="6">
        <v>0.1</v>
      </c>
      <c r="K20" s="8">
        <v>0.2</v>
      </c>
      <c r="L20" s="8">
        <v>0.25</v>
      </c>
    </row>
    <row r="21" spans="1:12" x14ac:dyDescent="0.2">
      <c r="A21" s="1" t="s">
        <v>21</v>
      </c>
      <c r="B21" s="8">
        <v>5.2999999999999999E-2</v>
      </c>
      <c r="C21" s="8">
        <v>0.23799999999999999</v>
      </c>
      <c r="D21" s="8">
        <v>0.47399999999999998</v>
      </c>
      <c r="F21" s="6">
        <v>0.3684211</v>
      </c>
      <c r="G21" s="6">
        <v>0.66666669999999995</v>
      </c>
      <c r="H21" s="6">
        <v>0.78947369999999994</v>
      </c>
      <c r="J21" s="6">
        <v>0.5</v>
      </c>
      <c r="K21" s="6">
        <v>0.2</v>
      </c>
      <c r="L21" s="6">
        <v>0.6</v>
      </c>
    </row>
    <row r="22" spans="1:12" x14ac:dyDescent="0.2">
      <c r="A22" s="1" t="s">
        <v>22</v>
      </c>
      <c r="B22" s="8">
        <v>0.36799999999999999</v>
      </c>
      <c r="C22" s="8">
        <v>0.52400000000000002</v>
      </c>
      <c r="D22" s="8">
        <v>0.36799999999999999</v>
      </c>
      <c r="F22" s="6">
        <v>0.4736842</v>
      </c>
      <c r="G22" s="6">
        <v>0.26666669999999998</v>
      </c>
      <c r="H22" s="6">
        <v>0.1578947</v>
      </c>
      <c r="J22" s="6">
        <v>0.4</v>
      </c>
      <c r="K22" s="6">
        <v>0.3</v>
      </c>
      <c r="L22" s="6">
        <v>0.2</v>
      </c>
    </row>
    <row r="23" spans="1:12" x14ac:dyDescent="0.2">
      <c r="A23" s="1" t="s">
        <v>23</v>
      </c>
      <c r="B23" s="8">
        <v>0.57899999999999996</v>
      </c>
      <c r="C23" s="8">
        <v>0.23799999999999999</v>
      </c>
      <c r="D23" s="8">
        <v>0.157</v>
      </c>
      <c r="F23" s="6">
        <v>0.1578947</v>
      </c>
      <c r="G23" s="6">
        <v>6.6666699999999995E-2</v>
      </c>
      <c r="H23" s="6">
        <v>5.2631600000000001E-2</v>
      </c>
      <c r="J23" s="6">
        <v>0.1</v>
      </c>
      <c r="K23" s="6">
        <v>0.5</v>
      </c>
      <c r="L23" s="6">
        <v>0.2</v>
      </c>
    </row>
    <row r="24" spans="1:12" x14ac:dyDescent="0.2">
      <c r="A24" s="1" t="s">
        <v>24</v>
      </c>
      <c r="B24" s="8">
        <v>0.158</v>
      </c>
      <c r="C24" s="8">
        <v>0.28599999999999998</v>
      </c>
      <c r="D24" s="8">
        <v>0.158</v>
      </c>
      <c r="F24" s="6">
        <v>5.2631600000000001E-2</v>
      </c>
      <c r="G24" s="6">
        <v>0.13333329999999999</v>
      </c>
      <c r="H24" s="6">
        <v>0.2631579</v>
      </c>
      <c r="J24" s="6">
        <v>0.15</v>
      </c>
      <c r="K24" s="6">
        <v>0.25</v>
      </c>
      <c r="L24" s="6">
        <v>0.1</v>
      </c>
    </row>
    <row r="25" spans="1:12" x14ac:dyDescent="0.2">
      <c r="A25" s="1" t="s">
        <v>25</v>
      </c>
      <c r="B25" s="8">
        <v>0</v>
      </c>
      <c r="C25" s="8">
        <v>0.19</v>
      </c>
      <c r="D25" s="8">
        <v>0</v>
      </c>
      <c r="F25" s="6">
        <v>0.2631579</v>
      </c>
      <c r="G25" s="6">
        <v>0.26666669999999998</v>
      </c>
      <c r="H25" s="6">
        <v>0</v>
      </c>
      <c r="J25" s="6">
        <v>0</v>
      </c>
      <c r="K25" s="6">
        <v>0.05</v>
      </c>
      <c r="L25" s="6">
        <v>0.1</v>
      </c>
    </row>
    <row r="26" spans="1:12" x14ac:dyDescent="0.2">
      <c r="A26" s="1" t="s">
        <v>26</v>
      </c>
      <c r="B26" s="8">
        <v>0.68400000000000005</v>
      </c>
      <c r="C26" s="8">
        <v>0.52300000000000002</v>
      </c>
      <c r="D26" s="8">
        <v>0.78900000000000003</v>
      </c>
      <c r="F26" s="6">
        <v>0.5789474</v>
      </c>
      <c r="G26" s="6">
        <v>0.53333330000000001</v>
      </c>
      <c r="H26" s="6">
        <v>0.68421050000000005</v>
      </c>
      <c r="J26" s="6">
        <v>0.8</v>
      </c>
      <c r="K26" s="6">
        <v>0.7</v>
      </c>
      <c r="L26" s="6">
        <v>0.7</v>
      </c>
    </row>
    <row r="27" spans="1:12" x14ac:dyDescent="0.2">
      <c r="A27" s="1" t="s">
        <v>27</v>
      </c>
      <c r="B27" s="8">
        <v>0.158</v>
      </c>
      <c r="C27" s="8">
        <v>0</v>
      </c>
      <c r="D27" s="8">
        <v>5.2999999999999999E-2</v>
      </c>
      <c r="F27" s="6">
        <v>0.1052632</v>
      </c>
      <c r="G27" s="6">
        <v>6.6666699999999995E-2</v>
      </c>
      <c r="H27" s="6">
        <v>5.2631600000000001E-2</v>
      </c>
      <c r="J27" s="6">
        <v>0.05</v>
      </c>
      <c r="K27" s="6">
        <v>0</v>
      </c>
      <c r="L27" s="6">
        <v>0.1</v>
      </c>
    </row>
    <row r="28" spans="1:12" x14ac:dyDescent="0.2">
      <c r="A28" s="1" t="s">
        <v>57</v>
      </c>
      <c r="B28" s="5">
        <v>13.33333</v>
      </c>
      <c r="C28" s="5">
        <v>30</v>
      </c>
      <c r="D28" s="5">
        <v>37.5</v>
      </c>
      <c r="F28" s="5">
        <v>16</v>
      </c>
      <c r="G28" s="5">
        <v>50</v>
      </c>
      <c r="H28" s="5">
        <v>60</v>
      </c>
      <c r="J28" s="22"/>
      <c r="K28" s="5">
        <v>39.299999999999997</v>
      </c>
      <c r="L28" s="5">
        <v>43.1</v>
      </c>
    </row>
    <row r="30" spans="1:12" x14ac:dyDescent="0.2">
      <c r="B30" s="33">
        <v>0.38871794000000004</v>
      </c>
      <c r="C30" s="33">
        <v>0.33866666000000001</v>
      </c>
      <c r="D30" s="33">
        <v>0.56285711999999999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BDD4-0DF7-D348-9F06-02EF7F2D4F8D}">
  <dimension ref="A1:E10"/>
  <sheetViews>
    <sheetView topLeftCell="A17" zoomScale="143" workbookViewId="0">
      <selection activeCell="H18" sqref="H18"/>
    </sheetView>
  </sheetViews>
  <sheetFormatPr baseColWidth="10" defaultColWidth="11.5" defaultRowHeight="15" x14ac:dyDescent="0.2"/>
  <sheetData>
    <row r="1" spans="1:5" ht="64" x14ac:dyDescent="0.2">
      <c r="A1" s="16" t="s">
        <v>43</v>
      </c>
      <c r="B1" s="16" t="s">
        <v>44</v>
      </c>
      <c r="C1" s="16" t="s">
        <v>45</v>
      </c>
      <c r="D1" s="16" t="s">
        <v>46</v>
      </c>
      <c r="E1" s="16" t="s">
        <v>47</v>
      </c>
    </row>
    <row r="2" spans="1:5" x14ac:dyDescent="0.2">
      <c r="A2">
        <v>1</v>
      </c>
      <c r="B2">
        <v>6</v>
      </c>
      <c r="C2">
        <v>9</v>
      </c>
      <c r="D2">
        <v>13</v>
      </c>
      <c r="E2">
        <f>D2-C2</f>
        <v>4</v>
      </c>
    </row>
    <row r="3" spans="1:5" x14ac:dyDescent="0.2">
      <c r="A3">
        <v>2</v>
      </c>
      <c r="B3">
        <v>12</v>
      </c>
      <c r="C3">
        <v>15</v>
      </c>
      <c r="D3">
        <v>18</v>
      </c>
      <c r="E3">
        <f t="shared" ref="E3:E7" si="0">D3-C3</f>
        <v>3</v>
      </c>
    </row>
    <row r="4" spans="1:5" x14ac:dyDescent="0.2">
      <c r="A4">
        <v>3</v>
      </c>
      <c r="B4">
        <v>18</v>
      </c>
      <c r="C4">
        <v>21</v>
      </c>
      <c r="D4">
        <v>22</v>
      </c>
      <c r="E4">
        <f t="shared" si="0"/>
        <v>1</v>
      </c>
    </row>
    <row r="5" spans="1:5" x14ac:dyDescent="0.2">
      <c r="A5">
        <v>4</v>
      </c>
      <c r="B5">
        <v>24</v>
      </c>
      <c r="C5">
        <v>27</v>
      </c>
      <c r="D5">
        <v>27</v>
      </c>
      <c r="E5">
        <f t="shared" si="0"/>
        <v>0</v>
      </c>
    </row>
    <row r="6" spans="1:5" x14ac:dyDescent="0.2">
      <c r="A6">
        <v>5</v>
      </c>
      <c r="B6">
        <v>30</v>
      </c>
      <c r="C6">
        <v>33</v>
      </c>
      <c r="D6">
        <v>34</v>
      </c>
      <c r="E6">
        <f t="shared" si="0"/>
        <v>1</v>
      </c>
    </row>
    <row r="7" spans="1:5" x14ac:dyDescent="0.2">
      <c r="A7">
        <v>6</v>
      </c>
      <c r="B7">
        <v>36</v>
      </c>
      <c r="C7">
        <v>39</v>
      </c>
      <c r="D7">
        <v>42</v>
      </c>
      <c r="E7">
        <f t="shared" si="0"/>
        <v>3</v>
      </c>
    </row>
    <row r="8" spans="1:5" x14ac:dyDescent="0.2">
      <c r="A8">
        <v>7</v>
      </c>
      <c r="B8">
        <v>42</v>
      </c>
      <c r="C8">
        <v>45</v>
      </c>
      <c r="D8" t="s">
        <v>48</v>
      </c>
      <c r="E8">
        <v>6</v>
      </c>
    </row>
    <row r="9" spans="1:5" x14ac:dyDescent="0.2">
      <c r="A9">
        <v>8</v>
      </c>
      <c r="B9">
        <v>48</v>
      </c>
      <c r="C9">
        <v>51</v>
      </c>
    </row>
    <row r="10" spans="1:5" x14ac:dyDescent="0.2">
      <c r="A10">
        <v>9</v>
      </c>
      <c r="B10">
        <v>54</v>
      </c>
      <c r="C10">
        <v>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2434-AE14-3941-9614-0ADEA09B4BE6}">
  <dimension ref="A1:G18"/>
  <sheetViews>
    <sheetView zoomScale="180" zoomScaleNormal="130" workbookViewId="0">
      <selection activeCell="C18" sqref="C18"/>
    </sheetView>
  </sheetViews>
  <sheetFormatPr baseColWidth="10" defaultColWidth="11.5" defaultRowHeight="15" x14ac:dyDescent="0.2"/>
  <sheetData>
    <row r="1" spans="1:7" x14ac:dyDescent="0.2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7" t="s">
        <v>56</v>
      </c>
    </row>
    <row r="2" spans="1:7" x14ac:dyDescent="0.2">
      <c r="A2" s="1">
        <v>0</v>
      </c>
      <c r="B2" s="1">
        <v>24.1</v>
      </c>
      <c r="C2" s="1">
        <f>B2/100</f>
        <v>0.24100000000000002</v>
      </c>
      <c r="D2" s="1">
        <f>C2*12032885</f>
        <v>2899925.2850000001</v>
      </c>
      <c r="E2" s="1">
        <f>SUM(D2:D$12)/D$15</f>
        <v>1</v>
      </c>
      <c r="F2" s="18">
        <f>IF(E2=0," ",E3/E2)</f>
        <v>0.75900000000000001</v>
      </c>
      <c r="G2">
        <f>_xlfn.CEILING.MATH(C2*SUM(Catchment!$C$2:$C$4))</f>
        <v>450</v>
      </c>
    </row>
    <row r="3" spans="1:7" x14ac:dyDescent="0.2">
      <c r="A3" s="1">
        <v>1</v>
      </c>
      <c r="B3" s="1">
        <v>13.2</v>
      </c>
      <c r="C3" s="1">
        <f t="shared" ref="C3:C12" si="0">B3/100</f>
        <v>0.13200000000000001</v>
      </c>
      <c r="D3" s="1">
        <f t="shared" ref="D3:D12" si="1">C3*12032885</f>
        <v>1588340.82</v>
      </c>
      <c r="E3" s="1">
        <f>SUM(D3:D$12)/D$15</f>
        <v>0.75900000000000001</v>
      </c>
      <c r="F3" s="18">
        <f t="shared" ref="F3:F11" si="2">IF(E3=0," ",E4/E3)</f>
        <v>0.82608695652173914</v>
      </c>
      <c r="G3">
        <f>_xlfn.CEILING.MATH(C3*SUM(Catchment!$C$2:$C$4))</f>
        <v>247</v>
      </c>
    </row>
    <row r="4" spans="1:7" x14ac:dyDescent="0.2">
      <c r="A4" s="1">
        <v>2</v>
      </c>
      <c r="B4" s="1">
        <v>12.6</v>
      </c>
      <c r="C4" s="1">
        <f t="shared" si="0"/>
        <v>0.126</v>
      </c>
      <c r="D4" s="1">
        <f t="shared" si="1"/>
        <v>1516143.51</v>
      </c>
      <c r="E4" s="1">
        <f>SUM(D4:D$12)/D$15</f>
        <v>0.627</v>
      </c>
      <c r="F4" s="18">
        <f t="shared" si="2"/>
        <v>0.79904306220095689</v>
      </c>
      <c r="G4">
        <f>_xlfn.CEILING.MATH(C4*SUM(Catchment!$C$2:$C$4))</f>
        <v>236</v>
      </c>
    </row>
    <row r="5" spans="1:7" x14ac:dyDescent="0.2">
      <c r="A5" s="1">
        <v>3</v>
      </c>
      <c r="B5" s="1">
        <v>10.9</v>
      </c>
      <c r="C5" s="1">
        <f t="shared" si="0"/>
        <v>0.109</v>
      </c>
      <c r="D5" s="1">
        <f t="shared" si="1"/>
        <v>1311584.4650000001</v>
      </c>
      <c r="E5" s="1">
        <f>SUM(D5:D$12)/D$15</f>
        <v>0.501</v>
      </c>
      <c r="F5" s="18">
        <f t="shared" si="2"/>
        <v>0.78243512974051899</v>
      </c>
      <c r="G5">
        <f>_xlfn.CEILING.MATH(C5*SUM(Catchment!$C$2:$C$4))</f>
        <v>204</v>
      </c>
    </row>
    <row r="6" spans="1:7" x14ac:dyDescent="0.2">
      <c r="A6" s="1">
        <v>4</v>
      </c>
      <c r="B6" s="1">
        <v>9.5</v>
      </c>
      <c r="C6" s="1">
        <f t="shared" si="0"/>
        <v>9.5000000000000001E-2</v>
      </c>
      <c r="D6" s="1">
        <f t="shared" si="1"/>
        <v>1143124.075</v>
      </c>
      <c r="E6" s="1">
        <f>SUM(D6:D$12)/D$15</f>
        <v>0.39200000000000002</v>
      </c>
      <c r="F6" s="18">
        <f t="shared" si="2"/>
        <v>0.75765306122448972</v>
      </c>
      <c r="G6">
        <f>_xlfn.CEILING.MATH(C6*SUM(Catchment!$C$2:$C$4))</f>
        <v>178</v>
      </c>
    </row>
    <row r="7" spans="1:7" x14ac:dyDescent="0.2">
      <c r="A7" s="1">
        <v>5</v>
      </c>
      <c r="B7" s="1">
        <v>7.4</v>
      </c>
      <c r="C7" s="1">
        <f t="shared" si="0"/>
        <v>7.400000000000001E-2</v>
      </c>
      <c r="D7" s="1">
        <f t="shared" si="1"/>
        <v>890433.49000000011</v>
      </c>
      <c r="E7" s="1">
        <f>SUM(D7:D$12)/D$15</f>
        <v>0.29699999999999999</v>
      </c>
      <c r="F7" s="18">
        <f t="shared" si="2"/>
        <v>0.75084175084175098</v>
      </c>
      <c r="G7">
        <f>_xlfn.CEILING.MATH(C7*SUM(Catchment!$C$2:$C$4))</f>
        <v>139</v>
      </c>
    </row>
    <row r="8" spans="1:7" x14ac:dyDescent="0.2">
      <c r="A8" s="1">
        <v>6</v>
      </c>
      <c r="B8" s="1">
        <v>6.3</v>
      </c>
      <c r="C8" s="1">
        <f t="shared" si="0"/>
        <v>6.3E-2</v>
      </c>
      <c r="D8" s="1">
        <f t="shared" si="1"/>
        <v>758071.755</v>
      </c>
      <c r="E8" s="1">
        <f>SUM(D8:D$12)/D$15</f>
        <v>0.22300000000000003</v>
      </c>
      <c r="F8" s="18">
        <f t="shared" si="2"/>
        <v>0.71748878923766812</v>
      </c>
      <c r="G8">
        <f>_xlfn.CEILING.MATH(C8*SUM(Catchment!$C$2:$C$4))</f>
        <v>118</v>
      </c>
    </row>
    <row r="9" spans="1:7" x14ac:dyDescent="0.2">
      <c r="A9" s="1">
        <v>7</v>
      </c>
      <c r="B9" s="1">
        <v>4.7</v>
      </c>
      <c r="C9" s="1">
        <f t="shared" si="0"/>
        <v>4.7E-2</v>
      </c>
      <c r="D9" s="1">
        <f t="shared" si="1"/>
        <v>565545.59499999997</v>
      </c>
      <c r="E9" s="1">
        <f>SUM(D9:D$12)/D$15</f>
        <v>0.16</v>
      </c>
      <c r="F9" s="18">
        <f t="shared" si="2"/>
        <v>0.70625000000000004</v>
      </c>
      <c r="G9">
        <f>_xlfn.CEILING.MATH(C9*SUM(Catchment!$C$2:$C$4))</f>
        <v>88</v>
      </c>
    </row>
    <row r="10" spans="1:7" x14ac:dyDescent="0.2">
      <c r="A10" s="1">
        <v>8</v>
      </c>
      <c r="B10" s="1">
        <v>3.7</v>
      </c>
      <c r="C10" s="1">
        <f t="shared" si="0"/>
        <v>3.7000000000000005E-2</v>
      </c>
      <c r="D10" s="1">
        <f t="shared" si="1"/>
        <v>445216.74500000005</v>
      </c>
      <c r="E10" s="1">
        <f>SUM(D10:D$12)/D$15</f>
        <v>0.113</v>
      </c>
      <c r="F10" s="18">
        <f t="shared" si="2"/>
        <v>0.67256637168141586</v>
      </c>
      <c r="G10">
        <f>_xlfn.CEILING.MATH(C10*SUM(Catchment!$C$2:$C$4))</f>
        <v>70</v>
      </c>
    </row>
    <row r="11" spans="1:7" x14ac:dyDescent="0.2">
      <c r="A11" s="1">
        <v>9</v>
      </c>
      <c r="B11" s="1">
        <v>2.7</v>
      </c>
      <c r="C11" s="1">
        <f t="shared" si="0"/>
        <v>2.7000000000000003E-2</v>
      </c>
      <c r="D11" s="1">
        <f t="shared" si="1"/>
        <v>324887.89500000002</v>
      </c>
      <c r="E11" s="1">
        <f>SUM(D11:D$12)/D$15</f>
        <v>7.5999999999999998E-2</v>
      </c>
      <c r="F11" s="18">
        <f t="shared" si="2"/>
        <v>0.64473684210526316</v>
      </c>
      <c r="G11">
        <f>_xlfn.CEILING.MATH(C11*SUM(Catchment!$C$2:$C$4))</f>
        <v>51</v>
      </c>
    </row>
    <row r="12" spans="1:7" x14ac:dyDescent="0.2">
      <c r="A12" s="1">
        <v>10</v>
      </c>
      <c r="B12" s="1">
        <v>4.9000000000000004</v>
      </c>
      <c r="C12" s="1">
        <f t="shared" si="0"/>
        <v>4.9000000000000002E-2</v>
      </c>
      <c r="D12" s="1">
        <f t="shared" si="1"/>
        <v>589611.36499999999</v>
      </c>
      <c r="E12" s="1">
        <f>SUM(D12:D$12)/D$15</f>
        <v>4.9000000000000002E-2</v>
      </c>
      <c r="F12" s="18">
        <f>F11-F11/3</f>
        <v>0.42982456140350878</v>
      </c>
      <c r="G12">
        <f>_xlfn.CEILING.MATH(C12*SUM(Catchment!$C$2:$C$4))</f>
        <v>92</v>
      </c>
    </row>
    <row r="13" spans="1:7" x14ac:dyDescent="0.2">
      <c r="A13" s="1">
        <v>11</v>
      </c>
      <c r="B13" s="1"/>
      <c r="C13" s="1"/>
      <c r="D13" s="1"/>
      <c r="E13" s="1"/>
      <c r="F13" s="18">
        <f>F12-F11/3</f>
        <v>0.21491228070175439</v>
      </c>
    </row>
    <row r="14" spans="1:7" x14ac:dyDescent="0.2">
      <c r="A14" s="1">
        <v>12</v>
      </c>
      <c r="B14" s="1"/>
      <c r="C14" s="1"/>
      <c r="D14" s="1"/>
      <c r="E14" s="1"/>
      <c r="F14" s="4">
        <f>F13-F11/3</f>
        <v>0</v>
      </c>
    </row>
    <row r="15" spans="1:7" x14ac:dyDescent="0.2">
      <c r="A15" s="1" t="s">
        <v>55</v>
      </c>
      <c r="B15" s="1">
        <f>SUM(B2:B12)</f>
        <v>100.00000000000001</v>
      </c>
      <c r="C15" s="1">
        <f t="shared" ref="C15:D15" si="3">SUM(C2:C12)</f>
        <v>1</v>
      </c>
      <c r="D15" s="1">
        <f t="shared" si="3"/>
        <v>12032885</v>
      </c>
      <c r="E15" s="1"/>
      <c r="F15" s="1"/>
    </row>
    <row r="18" spans="6:6" x14ac:dyDescent="0.2">
      <c r="F18" s="19">
        <v>0.75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1B55-0AA5-054C-A2BF-A5E332642ABD}">
  <dimension ref="A1:P15"/>
  <sheetViews>
    <sheetView zoomScale="150" workbookViewId="0">
      <selection activeCell="A11" sqref="A11"/>
    </sheetView>
  </sheetViews>
  <sheetFormatPr baseColWidth="10" defaultRowHeight="15" x14ac:dyDescent="0.2"/>
  <sheetData>
    <row r="1" spans="1:16" x14ac:dyDescent="0.2">
      <c r="B1">
        <v>2010</v>
      </c>
      <c r="C1" t="s">
        <v>59</v>
      </c>
      <c r="E1" t="s">
        <v>67</v>
      </c>
      <c r="G1" s="34" t="s">
        <v>62</v>
      </c>
      <c r="H1" s="34"/>
      <c r="I1" s="34" t="s">
        <v>63</v>
      </c>
      <c r="J1" s="34"/>
      <c r="K1" s="34" t="s">
        <v>64</v>
      </c>
      <c r="L1" s="34"/>
      <c r="M1" s="34" t="s">
        <v>65</v>
      </c>
      <c r="N1" s="34"/>
      <c r="O1" s="34" t="s">
        <v>66</v>
      </c>
      <c r="P1" s="34"/>
    </row>
    <row r="2" spans="1:16" x14ac:dyDescent="0.2">
      <c r="B2" t="s">
        <v>68</v>
      </c>
      <c r="C2" t="s">
        <v>60</v>
      </c>
      <c r="D2" t="s">
        <v>61</v>
      </c>
      <c r="E2" t="s">
        <v>60</v>
      </c>
      <c r="F2" t="s">
        <v>61</v>
      </c>
      <c r="G2" t="s">
        <v>60</v>
      </c>
      <c r="H2" t="s">
        <v>61</v>
      </c>
      <c r="I2" t="s">
        <v>60</v>
      </c>
      <c r="J2" t="s">
        <v>61</v>
      </c>
      <c r="K2" t="s">
        <v>60</v>
      </c>
      <c r="L2" t="s">
        <v>61</v>
      </c>
      <c r="M2" t="s">
        <v>60</v>
      </c>
      <c r="N2" t="s">
        <v>61</v>
      </c>
      <c r="O2" t="s">
        <v>60</v>
      </c>
      <c r="P2" t="s">
        <v>61</v>
      </c>
    </row>
    <row r="3" spans="1:16" x14ac:dyDescent="0.2">
      <c r="A3" s="4" t="s">
        <v>112</v>
      </c>
      <c r="B3" s="28">
        <v>0.13</v>
      </c>
      <c r="C3" s="27">
        <v>0.27903225806451615</v>
      </c>
      <c r="D3" s="27">
        <v>0.11290322580645161</v>
      </c>
      <c r="E3" s="27">
        <v>0.26290322580645159</v>
      </c>
      <c r="F3" s="27">
        <v>9.6774193548387094E-2</v>
      </c>
      <c r="G3" s="24">
        <v>0.24677419354838709</v>
      </c>
      <c r="H3" s="25">
        <v>0.224</v>
      </c>
      <c r="I3" s="24">
        <v>0.32400000000000001</v>
      </c>
      <c r="J3" s="25">
        <v>0.34799999999999998</v>
      </c>
      <c r="K3" s="24">
        <v>0.44799999999999995</v>
      </c>
      <c r="L3" s="25">
        <v>0.8640000000000001</v>
      </c>
      <c r="M3" s="24">
        <v>0.85</v>
      </c>
      <c r="N3" s="25">
        <v>0.83299999999999996</v>
      </c>
      <c r="O3" s="24">
        <v>0.88300000000000001</v>
      </c>
      <c r="P3" s="25"/>
    </row>
    <row r="4" spans="1:16" x14ac:dyDescent="0.2">
      <c r="A4" s="4" t="s">
        <v>113</v>
      </c>
      <c r="B4" s="27">
        <v>1.1230769230769231</v>
      </c>
      <c r="C4" s="27">
        <v>0.85</v>
      </c>
      <c r="D4" s="27">
        <v>0.86153846153846159</v>
      </c>
      <c r="E4" s="27">
        <v>0.85</v>
      </c>
      <c r="F4" s="27">
        <v>0.27692307692307694</v>
      </c>
      <c r="G4" s="24">
        <v>0.37692307692307692</v>
      </c>
      <c r="H4" s="25">
        <v>0.70769230769230773</v>
      </c>
      <c r="I4" s="24">
        <v>0.75769230769230778</v>
      </c>
      <c r="J4" s="25">
        <v>0.7</v>
      </c>
      <c r="K4" s="24">
        <v>0.75</v>
      </c>
      <c r="L4" s="25">
        <v>1.056</v>
      </c>
      <c r="M4" s="24">
        <v>0.85</v>
      </c>
      <c r="N4" s="25">
        <v>1.4850000000000001</v>
      </c>
      <c r="O4" s="24">
        <v>0.85</v>
      </c>
      <c r="P4" s="25">
        <v>1.198</v>
      </c>
    </row>
    <row r="5" spans="1:16" x14ac:dyDescent="0.2">
      <c r="A5" s="4" t="s">
        <v>114</v>
      </c>
      <c r="B5" s="27">
        <v>0.84210526315789469</v>
      </c>
      <c r="C5" s="27">
        <v>0.89210526315789473</v>
      </c>
      <c r="D5" s="27">
        <v>0.8771929824561403</v>
      </c>
      <c r="E5" s="27">
        <v>0.85</v>
      </c>
      <c r="F5" s="27">
        <v>0.73684210526315785</v>
      </c>
      <c r="G5" s="24">
        <v>0.7868421052631579</v>
      </c>
      <c r="H5" s="25">
        <v>0.60416666666666663</v>
      </c>
      <c r="I5" s="24">
        <v>0.65416666666666667</v>
      </c>
      <c r="J5" s="25">
        <v>0.92900000000000005</v>
      </c>
      <c r="K5" s="24">
        <v>0.85</v>
      </c>
      <c r="L5" s="26">
        <v>0.92900000000000005</v>
      </c>
      <c r="M5" s="24">
        <v>0.85</v>
      </c>
      <c r="N5" s="25">
        <v>1.2290000000000001</v>
      </c>
      <c r="O5" s="24">
        <v>0.85</v>
      </c>
      <c r="P5" s="25">
        <v>0.8859999999999999</v>
      </c>
    </row>
    <row r="7" spans="1:16" x14ac:dyDescent="0.2">
      <c r="C7" t="s">
        <v>70</v>
      </c>
      <c r="D7" t="s">
        <v>71</v>
      </c>
      <c r="E7" t="s">
        <v>72</v>
      </c>
      <c r="F7" t="s">
        <v>73</v>
      </c>
      <c r="G7" t="s">
        <v>74</v>
      </c>
      <c r="H7" t="s">
        <v>75</v>
      </c>
      <c r="I7" t="s">
        <v>76</v>
      </c>
    </row>
    <row r="8" spans="1:16" x14ac:dyDescent="0.2">
      <c r="A8" s="4" t="s">
        <v>112</v>
      </c>
      <c r="B8" s="28">
        <v>0.13</v>
      </c>
      <c r="C8" s="27">
        <v>0.11290322580645161</v>
      </c>
      <c r="D8" s="27">
        <v>9.6774193548387094E-2</v>
      </c>
      <c r="E8" s="25">
        <v>0.224</v>
      </c>
      <c r="F8" s="25">
        <v>0.34799999999999998</v>
      </c>
      <c r="G8" s="25">
        <v>0.8640000000000001</v>
      </c>
      <c r="H8" s="25">
        <v>0.83299999999999996</v>
      </c>
      <c r="I8" s="25">
        <v>0.59699999999999998</v>
      </c>
    </row>
    <row r="9" spans="1:16" x14ac:dyDescent="0.2">
      <c r="A9" s="4" t="s">
        <v>113</v>
      </c>
      <c r="B9" s="27">
        <v>1</v>
      </c>
      <c r="C9" s="27">
        <v>0.86153846153846159</v>
      </c>
      <c r="D9" s="27">
        <v>0.27692307692307694</v>
      </c>
      <c r="E9" s="25">
        <v>0.70769230769230773</v>
      </c>
      <c r="F9" s="25">
        <v>0.7</v>
      </c>
      <c r="G9" s="25">
        <v>1</v>
      </c>
      <c r="H9" s="25">
        <v>1</v>
      </c>
      <c r="I9" s="25">
        <v>1</v>
      </c>
    </row>
    <row r="10" spans="1:16" x14ac:dyDescent="0.2">
      <c r="A10" s="4" t="s">
        <v>114</v>
      </c>
      <c r="B10" s="27">
        <v>0.84210526315789469</v>
      </c>
      <c r="C10" s="27">
        <v>0.8771929824561403</v>
      </c>
      <c r="D10" s="27">
        <v>0.73684210526315785</v>
      </c>
      <c r="E10" s="25">
        <v>0.60416666666666663</v>
      </c>
      <c r="F10" s="25">
        <v>0.92900000000000005</v>
      </c>
      <c r="G10" s="26">
        <v>0.92900000000000005</v>
      </c>
      <c r="H10" s="25">
        <v>1</v>
      </c>
      <c r="I10" s="25">
        <v>0.8859999999999999</v>
      </c>
    </row>
    <row r="11" spans="1:16" x14ac:dyDescent="0.2">
      <c r="B11" s="30">
        <f>AVERAGE(B8:B10)</f>
        <v>0.65736842105263149</v>
      </c>
      <c r="C11" s="30">
        <f t="shared" ref="C11:G11" si="0">AVERAGE(C8:C10)</f>
        <v>0.61721155660035121</v>
      </c>
      <c r="D11" s="30">
        <f t="shared" si="0"/>
        <v>0.3701797919115406</v>
      </c>
      <c r="E11" s="30">
        <f t="shared" si="0"/>
        <v>0.51195299145299145</v>
      </c>
      <c r="F11" s="30">
        <f t="shared" si="0"/>
        <v>0.65900000000000003</v>
      </c>
      <c r="G11" s="30">
        <f t="shared" si="0"/>
        <v>0.93100000000000005</v>
      </c>
      <c r="H11" s="30">
        <f>AVERAGE(H8:H10)</f>
        <v>0.94433333333333336</v>
      </c>
    </row>
    <row r="15" spans="1:16" x14ac:dyDescent="0.2">
      <c r="M15" s="30"/>
    </row>
  </sheetData>
  <mergeCells count="5">
    <mergeCell ref="G1:H1"/>
    <mergeCell ref="I1:J1"/>
    <mergeCell ref="K1:L1"/>
    <mergeCell ref="M1:N1"/>
    <mergeCell ref="O1:P1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C079-6DDA-A141-9C95-0AF6FF4CFC59}">
  <dimension ref="A2:L24"/>
  <sheetViews>
    <sheetView zoomScale="170" workbookViewId="0">
      <selection activeCell="E17" sqref="A2:E17"/>
    </sheetView>
  </sheetViews>
  <sheetFormatPr baseColWidth="10" defaultRowHeight="15" x14ac:dyDescent="0.2"/>
  <cols>
    <col min="1" max="1" width="9.83203125" bestFit="1" customWidth="1"/>
    <col min="2" max="2" width="9.33203125" bestFit="1" customWidth="1"/>
    <col min="3" max="3" width="6.6640625" bestFit="1" customWidth="1"/>
    <col min="4" max="4" width="5.6640625" bestFit="1" customWidth="1"/>
    <col min="5" max="5" width="6.1640625" bestFit="1" customWidth="1"/>
  </cols>
  <sheetData>
    <row r="2" spans="1:12" x14ac:dyDescent="0.2">
      <c r="B2" t="s">
        <v>77</v>
      </c>
      <c r="C2" t="s">
        <v>91</v>
      </c>
      <c r="D2" t="s">
        <v>78</v>
      </c>
      <c r="E2" t="s">
        <v>80</v>
      </c>
    </row>
    <row r="3" spans="1:12" x14ac:dyDescent="0.2">
      <c r="G3" t="s">
        <v>94</v>
      </c>
      <c r="J3" t="s">
        <v>97</v>
      </c>
    </row>
    <row r="4" spans="1:12" x14ac:dyDescent="0.2">
      <c r="A4" t="s">
        <v>92</v>
      </c>
      <c r="B4">
        <v>1.4950000000000001</v>
      </c>
      <c r="C4">
        <v>0.40200000000000002</v>
      </c>
      <c r="D4">
        <v>1.94</v>
      </c>
      <c r="E4">
        <v>5.2999999999999999E-2</v>
      </c>
      <c r="G4">
        <v>0</v>
      </c>
      <c r="J4" t="s">
        <v>98</v>
      </c>
      <c r="K4">
        <v>5.133</v>
      </c>
      <c r="L4" t="s">
        <v>99</v>
      </c>
    </row>
    <row r="5" spans="1:12" x14ac:dyDescent="0.2">
      <c r="A5" t="s">
        <v>93</v>
      </c>
      <c r="B5">
        <v>1.821</v>
      </c>
      <c r="C5">
        <v>0.59899999999999998</v>
      </c>
      <c r="D5">
        <v>4.68</v>
      </c>
      <c r="E5">
        <v>0</v>
      </c>
      <c r="G5">
        <v>0</v>
      </c>
      <c r="J5" t="s">
        <v>100</v>
      </c>
      <c r="K5" s="30">
        <v>66.667000000000002</v>
      </c>
      <c r="L5" t="s">
        <v>101</v>
      </c>
    </row>
    <row r="6" spans="1:12" x14ac:dyDescent="0.2">
      <c r="A6" t="s">
        <v>81</v>
      </c>
      <c r="B6">
        <v>6.9249999999999998</v>
      </c>
      <c r="C6">
        <v>1.9350000000000001</v>
      </c>
      <c r="D6">
        <v>4.47</v>
      </c>
      <c r="E6">
        <v>0</v>
      </c>
      <c r="G6">
        <v>1</v>
      </c>
      <c r="J6" t="s">
        <v>102</v>
      </c>
      <c r="K6">
        <v>0</v>
      </c>
      <c r="L6" t="s">
        <v>103</v>
      </c>
    </row>
    <row r="7" spans="1:12" x14ac:dyDescent="0.2">
      <c r="A7" t="s">
        <v>82</v>
      </c>
      <c r="B7">
        <v>1.6040000000000001</v>
      </c>
      <c r="C7">
        <v>0.47199999999999998</v>
      </c>
      <c r="D7">
        <v>3.41</v>
      </c>
      <c r="E7">
        <v>1E-3</v>
      </c>
      <c r="G7">
        <v>1</v>
      </c>
    </row>
    <row r="8" spans="1:12" x14ac:dyDescent="0.2">
      <c r="A8" t="s">
        <v>83</v>
      </c>
      <c r="B8">
        <v>1.399</v>
      </c>
      <c r="C8">
        <v>0.33600000000000002</v>
      </c>
      <c r="D8">
        <v>2.94</v>
      </c>
      <c r="E8">
        <v>3.0000000000000001E-3</v>
      </c>
      <c r="G8">
        <v>0</v>
      </c>
      <c r="J8" t="s">
        <v>104</v>
      </c>
      <c r="K8">
        <f>0.4*(K4/10) + 0.4*(K5/100)+0.2*K6</f>
        <v>0.47198800000000002</v>
      </c>
    </row>
    <row r="9" spans="1:12" x14ac:dyDescent="0.2">
      <c r="A9" t="s">
        <v>79</v>
      </c>
      <c r="B9">
        <v>1.012</v>
      </c>
      <c r="C9">
        <v>1.2E-2</v>
      </c>
      <c r="D9">
        <v>3.56</v>
      </c>
      <c r="E9">
        <v>0</v>
      </c>
      <c r="G9">
        <v>2</v>
      </c>
      <c r="J9" t="s">
        <v>105</v>
      </c>
      <c r="K9">
        <v>1</v>
      </c>
      <c r="L9" t="s">
        <v>106</v>
      </c>
    </row>
    <row r="10" spans="1:12" x14ac:dyDescent="0.2">
      <c r="A10" t="s">
        <v>84</v>
      </c>
      <c r="B10">
        <v>1.4530000000000001</v>
      </c>
      <c r="C10">
        <v>0.374</v>
      </c>
      <c r="D10">
        <v>2.88</v>
      </c>
      <c r="E10">
        <v>0</v>
      </c>
      <c r="G10">
        <v>0</v>
      </c>
    </row>
    <row r="11" spans="1:12" x14ac:dyDescent="0.2">
      <c r="A11" t="s">
        <v>85</v>
      </c>
      <c r="B11">
        <v>0.99399999999999999</v>
      </c>
      <c r="C11">
        <v>-6.0000000000000001E-3</v>
      </c>
      <c r="D11">
        <v>-3</v>
      </c>
      <c r="E11">
        <v>3.0000000000000001E-3</v>
      </c>
      <c r="G11">
        <v>91</v>
      </c>
    </row>
    <row r="12" spans="1:12" x14ac:dyDescent="0.2">
      <c r="A12" t="s">
        <v>86</v>
      </c>
      <c r="B12">
        <v>1.0329999999999999</v>
      </c>
      <c r="C12">
        <v>3.2000000000000001E-2</v>
      </c>
      <c r="D12">
        <v>2.71</v>
      </c>
      <c r="E12">
        <v>0</v>
      </c>
      <c r="G12">
        <v>10.33</v>
      </c>
    </row>
    <row r="13" spans="1:12" x14ac:dyDescent="0.2">
      <c r="A13" t="s">
        <v>87</v>
      </c>
      <c r="B13">
        <v>4.4820000000000002</v>
      </c>
      <c r="C13">
        <v>1.5</v>
      </c>
      <c r="D13">
        <v>2.9</v>
      </c>
      <c r="E13">
        <v>0</v>
      </c>
      <c r="G13">
        <v>1</v>
      </c>
    </row>
    <row r="14" spans="1:12" x14ac:dyDescent="0.2">
      <c r="A14" t="s">
        <v>88</v>
      </c>
      <c r="B14">
        <v>0.31900000000000001</v>
      </c>
      <c r="C14">
        <v>-1.1419999999999999</v>
      </c>
      <c r="D14">
        <v>-3.98</v>
      </c>
      <c r="E14">
        <v>0</v>
      </c>
      <c r="G14">
        <v>0</v>
      </c>
    </row>
    <row r="15" spans="1:12" x14ac:dyDescent="0.2">
      <c r="A15" t="s">
        <v>89</v>
      </c>
      <c r="B15">
        <v>0.98799999999999999</v>
      </c>
      <c r="C15">
        <v>-1.2E-2</v>
      </c>
      <c r="D15">
        <v>-3.69</v>
      </c>
      <c r="E15">
        <v>0</v>
      </c>
      <c r="G15">
        <v>30.847999999999999</v>
      </c>
    </row>
    <row r="17" spans="1:10" x14ac:dyDescent="0.2">
      <c r="A17" t="s">
        <v>90</v>
      </c>
      <c r="B17">
        <v>0.88100000000000001</v>
      </c>
      <c r="C17">
        <v>-0.126</v>
      </c>
      <c r="D17">
        <v>-0.26</v>
      </c>
      <c r="E17">
        <v>0.79300000000000004</v>
      </c>
      <c r="J17" t="s">
        <v>107</v>
      </c>
    </row>
    <row r="18" spans="1:10" x14ac:dyDescent="0.2">
      <c r="F18" t="s">
        <v>95</v>
      </c>
      <c r="G18">
        <f>SUMPRODUCT(C4:C15,G4:G15)+C17</f>
        <v>3.2193840000000002</v>
      </c>
      <c r="I18" t="s">
        <v>108</v>
      </c>
      <c r="J18">
        <v>0.56599999999999995</v>
      </c>
    </row>
    <row r="19" spans="1:10" x14ac:dyDescent="0.2">
      <c r="I19" t="s">
        <v>109</v>
      </c>
      <c r="J19">
        <f>G20*(1+J18*(1-G20))</f>
        <v>0.98247938649625166</v>
      </c>
    </row>
    <row r="20" spans="1:10" x14ac:dyDescent="0.2">
      <c r="F20" t="s">
        <v>96</v>
      </c>
      <c r="G20">
        <f>EXP(G18)/(1+EXP(G18))</f>
        <v>0.96155725059024477</v>
      </c>
    </row>
    <row r="22" spans="1:10" x14ac:dyDescent="0.2">
      <c r="J22" t="s">
        <v>110</v>
      </c>
    </row>
    <row r="23" spans="1:10" x14ac:dyDescent="0.2">
      <c r="I23" t="s">
        <v>108</v>
      </c>
      <c r="J23">
        <v>-0.06</v>
      </c>
    </row>
    <row r="24" spans="1:10" x14ac:dyDescent="0.2">
      <c r="I24" t="s">
        <v>109</v>
      </c>
      <c r="J24">
        <f>G20*(1+J23)</f>
        <v>0.90386381555483009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23DB-B983-BB42-88D6-508718393A1B}">
  <dimension ref="A1:S53"/>
  <sheetViews>
    <sheetView tabSelected="1" topLeftCell="A2" zoomScale="125" workbookViewId="0">
      <selection activeCell="I15" sqref="I15"/>
    </sheetView>
  </sheetViews>
  <sheetFormatPr baseColWidth="10" defaultRowHeight="15" x14ac:dyDescent="0.2"/>
  <cols>
    <col min="1" max="1" width="21.83203125" customWidth="1"/>
  </cols>
  <sheetData>
    <row r="1" spans="1:19" x14ac:dyDescent="0.2">
      <c r="A1" s="1"/>
      <c r="B1" s="2" t="s">
        <v>0</v>
      </c>
      <c r="C1" s="1"/>
      <c r="D1" s="1"/>
    </row>
    <row r="2" spans="1:19" x14ac:dyDescent="0.2">
      <c r="A2" s="4" t="s">
        <v>2</v>
      </c>
      <c r="B2" s="4" t="s">
        <v>112</v>
      </c>
      <c r="C2" s="4" t="s">
        <v>113</v>
      </c>
      <c r="D2" s="4" t="s">
        <v>114</v>
      </c>
      <c r="H2" t="s">
        <v>77</v>
      </c>
      <c r="I2" t="s">
        <v>91</v>
      </c>
      <c r="J2" t="s">
        <v>78</v>
      </c>
      <c r="K2" t="s">
        <v>80</v>
      </c>
      <c r="M2" s="4" t="s">
        <v>112</v>
      </c>
      <c r="N2" s="4" t="s">
        <v>113</v>
      </c>
      <c r="O2" s="4" t="s">
        <v>114</v>
      </c>
    </row>
    <row r="3" spans="1:19" x14ac:dyDescent="0.2">
      <c r="A3" s="1"/>
      <c r="B3" s="4" t="s">
        <v>3</v>
      </c>
      <c r="C3" s="4" t="s">
        <v>3</v>
      </c>
      <c r="D3" s="4" t="s">
        <v>3</v>
      </c>
      <c r="M3" s="30"/>
      <c r="N3" s="30"/>
      <c r="O3" s="30"/>
    </row>
    <row r="4" spans="1:19" x14ac:dyDescent="0.2">
      <c r="A4" s="1" t="s">
        <v>4</v>
      </c>
      <c r="B4" s="13">
        <v>91</v>
      </c>
      <c r="C4" s="13">
        <v>42.5</v>
      </c>
      <c r="D4" s="13">
        <v>20.714279999999999</v>
      </c>
      <c r="G4" t="s">
        <v>92</v>
      </c>
      <c r="H4">
        <v>1.4950000000000001</v>
      </c>
      <c r="I4">
        <v>0.40200000000000002</v>
      </c>
      <c r="J4">
        <v>1.94</v>
      </c>
      <c r="K4">
        <v>5.2999999999999999E-2</v>
      </c>
      <c r="M4">
        <v>0</v>
      </c>
      <c r="N4">
        <v>0</v>
      </c>
      <c r="O4">
        <v>0</v>
      </c>
      <c r="Q4" s="30">
        <f t="shared" ref="Q4:S6" si="0">B50</f>
        <v>8.77193E-2</v>
      </c>
      <c r="R4" s="30">
        <f t="shared" si="0"/>
        <v>0.16888890000000001</v>
      </c>
      <c r="S4" s="30">
        <f t="shared" si="0"/>
        <v>3.3333333333333333E-2</v>
      </c>
    </row>
    <row r="5" spans="1:19" x14ac:dyDescent="0.2">
      <c r="A5" s="1" t="s">
        <v>5</v>
      </c>
      <c r="B5" s="13">
        <v>10.33333</v>
      </c>
      <c r="C5" s="13">
        <v>13.375</v>
      </c>
      <c r="D5" s="13">
        <v>9.2857140000000005</v>
      </c>
      <c r="G5" t="s">
        <v>93</v>
      </c>
      <c r="H5">
        <v>1.821</v>
      </c>
      <c r="I5">
        <v>0.59899999999999998</v>
      </c>
      <c r="J5">
        <v>4.68</v>
      </c>
      <c r="K5">
        <v>0</v>
      </c>
      <c r="M5">
        <v>1</v>
      </c>
      <c r="N5">
        <v>1</v>
      </c>
      <c r="O5">
        <v>1</v>
      </c>
      <c r="Q5" s="30">
        <f t="shared" si="0"/>
        <v>0.68764913333333333</v>
      </c>
      <c r="R5" s="30">
        <f t="shared" si="0"/>
        <v>0.58544443333333329</v>
      </c>
      <c r="S5" s="30">
        <f t="shared" si="0"/>
        <v>0.72440349999999987</v>
      </c>
    </row>
    <row r="6" spans="1:19" x14ac:dyDescent="0.2">
      <c r="A6" s="1" t="s">
        <v>6</v>
      </c>
      <c r="B6" s="13">
        <v>0</v>
      </c>
      <c r="C6" s="13">
        <v>1</v>
      </c>
      <c r="D6" s="13">
        <v>1</v>
      </c>
      <c r="G6" t="s">
        <v>81</v>
      </c>
      <c r="H6">
        <v>6.9249999999999998</v>
      </c>
      <c r="I6">
        <v>1.9350000000000001</v>
      </c>
      <c r="J6">
        <v>4.47</v>
      </c>
      <c r="K6">
        <v>0</v>
      </c>
      <c r="M6">
        <v>0</v>
      </c>
      <c r="N6">
        <v>0</v>
      </c>
      <c r="O6">
        <v>0</v>
      </c>
      <c r="Q6" s="30">
        <f t="shared" si="0"/>
        <v>0.10442106666666667</v>
      </c>
      <c r="R6" s="30">
        <f t="shared" si="0"/>
        <v>2.2222233333333331E-2</v>
      </c>
      <c r="S6" s="30">
        <f t="shared" si="0"/>
        <v>6.8543866666666661E-2</v>
      </c>
    </row>
    <row r="7" spans="1:19" x14ac:dyDescent="0.2">
      <c r="A7" s="1" t="s">
        <v>7</v>
      </c>
      <c r="B7" s="14">
        <v>0.1666667</v>
      </c>
      <c r="C7" s="14">
        <v>0.2</v>
      </c>
      <c r="D7" s="14">
        <v>0.27777780000000002</v>
      </c>
      <c r="G7" t="s">
        <v>82</v>
      </c>
      <c r="H7">
        <v>1.6040000000000001</v>
      </c>
      <c r="I7">
        <v>0.47199999999999998</v>
      </c>
      <c r="J7">
        <v>3.41</v>
      </c>
      <c r="K7">
        <v>1E-3</v>
      </c>
      <c r="M7" s="30">
        <v>1</v>
      </c>
      <c r="N7" s="30">
        <v>1</v>
      </c>
      <c r="O7" s="30">
        <v>1</v>
      </c>
    </row>
    <row r="8" spans="1:19" x14ac:dyDescent="0.2">
      <c r="A8" s="1" t="s">
        <v>8</v>
      </c>
      <c r="B8" s="13">
        <v>13.33333</v>
      </c>
      <c r="C8" s="13">
        <v>30</v>
      </c>
      <c r="D8" s="13">
        <v>37.5</v>
      </c>
      <c r="G8" t="s">
        <v>83</v>
      </c>
      <c r="H8">
        <v>1.399</v>
      </c>
      <c r="I8">
        <v>0.33600000000000002</v>
      </c>
      <c r="J8">
        <v>2.94</v>
      </c>
      <c r="K8">
        <v>3.0000000000000001E-3</v>
      </c>
      <c r="M8" s="30">
        <f>B42</f>
        <v>0.67373683333333334</v>
      </c>
      <c r="N8" s="30">
        <f t="shared" ref="N8:O8" si="1">C42</f>
        <v>0.59911110000000001</v>
      </c>
      <c r="O8" s="30">
        <f t="shared" si="1"/>
        <v>0.6525263</v>
      </c>
    </row>
    <row r="9" spans="1:19" x14ac:dyDescent="0.2">
      <c r="A9" s="1" t="s">
        <v>9</v>
      </c>
      <c r="B9" s="31">
        <v>0.97142859999999998</v>
      </c>
      <c r="C9" s="31">
        <v>0.71428570000000002</v>
      </c>
      <c r="D9" s="31">
        <v>0.76530609999999999</v>
      </c>
      <c r="G9" t="s">
        <v>79</v>
      </c>
      <c r="H9">
        <v>1.012</v>
      </c>
      <c r="I9">
        <v>1.2E-2</v>
      </c>
      <c r="J9">
        <v>3.56</v>
      </c>
      <c r="K9">
        <v>0</v>
      </c>
      <c r="M9" s="30">
        <f>B14</f>
        <v>2</v>
      </c>
      <c r="N9" s="30">
        <f t="shared" ref="N9:O9" si="2">C14</f>
        <v>2</v>
      </c>
      <c r="O9" s="30">
        <f t="shared" si="2"/>
        <v>3</v>
      </c>
    </row>
    <row r="10" spans="1:19" x14ac:dyDescent="0.2">
      <c r="A10" s="1" t="s">
        <v>10</v>
      </c>
      <c r="B10" s="14">
        <v>0.8070176</v>
      </c>
      <c r="C10" s="14">
        <v>0.62811790000000001</v>
      </c>
      <c r="D10" s="14">
        <v>0.74074079999999998</v>
      </c>
      <c r="G10" t="s">
        <v>84</v>
      </c>
      <c r="H10">
        <v>1.4530000000000001</v>
      </c>
      <c r="I10">
        <v>0.374</v>
      </c>
      <c r="J10">
        <v>2.88</v>
      </c>
      <c r="K10">
        <v>0</v>
      </c>
      <c r="M10" s="30">
        <f>B6</f>
        <v>0</v>
      </c>
      <c r="N10" s="30">
        <f t="shared" ref="N10:O10" si="3">C6</f>
        <v>1</v>
      </c>
      <c r="O10" s="30">
        <f t="shared" si="3"/>
        <v>1</v>
      </c>
    </row>
    <row r="11" spans="1:19" x14ac:dyDescent="0.2">
      <c r="A11" s="1" t="s">
        <v>11</v>
      </c>
      <c r="B11" s="14">
        <v>0</v>
      </c>
      <c r="C11" s="14">
        <v>0.66666669999999995</v>
      </c>
      <c r="D11" s="14">
        <v>0.66666669999999995</v>
      </c>
      <c r="G11" t="s">
        <v>85</v>
      </c>
      <c r="H11">
        <v>0.99399999999999999</v>
      </c>
      <c r="I11">
        <v>-6.0000000000000001E-3</v>
      </c>
      <c r="J11">
        <v>-3</v>
      </c>
      <c r="K11">
        <v>3.0000000000000001E-3</v>
      </c>
      <c r="M11" s="30">
        <f>B4</f>
        <v>91</v>
      </c>
      <c r="N11" s="30">
        <f t="shared" ref="N11:O11" si="4">C4</f>
        <v>42.5</v>
      </c>
      <c r="O11" s="30">
        <f t="shared" si="4"/>
        <v>20.714279999999999</v>
      </c>
    </row>
    <row r="12" spans="1:19" x14ac:dyDescent="0.2">
      <c r="A12" s="1" t="s">
        <v>12</v>
      </c>
      <c r="B12" s="13">
        <v>6.3846150000000002</v>
      </c>
      <c r="C12" s="13">
        <v>5.1333330000000004</v>
      </c>
      <c r="D12" s="13">
        <v>9.0714279999999992</v>
      </c>
      <c r="G12" t="s">
        <v>86</v>
      </c>
      <c r="H12">
        <v>1.0329999999999999</v>
      </c>
      <c r="I12">
        <v>3.2000000000000001E-2</v>
      </c>
      <c r="J12">
        <v>2.71</v>
      </c>
      <c r="K12">
        <v>0</v>
      </c>
      <c r="M12" s="30">
        <f>B5</f>
        <v>10.33333</v>
      </c>
      <c r="N12" s="30">
        <f t="shared" ref="N12:O12" si="5">C5</f>
        <v>13.375</v>
      </c>
      <c r="O12" s="30">
        <f t="shared" si="5"/>
        <v>9.2857140000000005</v>
      </c>
    </row>
    <row r="13" spans="1:19" x14ac:dyDescent="0.2">
      <c r="A13" s="1" t="s">
        <v>13</v>
      </c>
      <c r="B13" s="13">
        <v>2</v>
      </c>
      <c r="C13" s="13">
        <v>1</v>
      </c>
      <c r="D13" s="13">
        <v>1</v>
      </c>
      <c r="G13" t="s">
        <v>87</v>
      </c>
      <c r="H13">
        <v>4.4820000000000002</v>
      </c>
      <c r="I13">
        <v>1.5</v>
      </c>
      <c r="J13">
        <v>2.9</v>
      </c>
      <c r="K13">
        <v>0</v>
      </c>
      <c r="M13" s="30">
        <f>B9</f>
        <v>0.97142859999999998</v>
      </c>
      <c r="N13" s="30">
        <f>C9</f>
        <v>0.71428570000000002</v>
      </c>
      <c r="O13" s="30">
        <f>D9</f>
        <v>0.76530609999999999</v>
      </c>
    </row>
    <row r="14" spans="1:19" x14ac:dyDescent="0.2">
      <c r="A14" s="1" t="s">
        <v>14</v>
      </c>
      <c r="B14" s="13">
        <v>2</v>
      </c>
      <c r="C14" s="13">
        <v>2</v>
      </c>
      <c r="D14" s="13">
        <v>3</v>
      </c>
      <c r="G14" t="s">
        <v>88</v>
      </c>
      <c r="H14">
        <v>0.31900000000000001</v>
      </c>
      <c r="I14">
        <v>-1.1419999999999999</v>
      </c>
      <c r="J14">
        <v>-3.98</v>
      </c>
      <c r="K14">
        <v>0</v>
      </c>
      <c r="M14" s="30">
        <f>B7</f>
        <v>0.1666667</v>
      </c>
      <c r="N14" s="30">
        <f t="shared" ref="N14:O14" si="6">C7</f>
        <v>0.2</v>
      </c>
      <c r="O14" s="30">
        <f t="shared" si="6"/>
        <v>0.27777780000000002</v>
      </c>
    </row>
    <row r="15" spans="1:19" ht="32" x14ac:dyDescent="0.2">
      <c r="A15" s="7" t="s">
        <v>15</v>
      </c>
      <c r="B15" s="1">
        <v>0</v>
      </c>
      <c r="C15" s="1">
        <v>0</v>
      </c>
      <c r="D15" s="1">
        <v>0</v>
      </c>
      <c r="G15" t="s">
        <v>89</v>
      </c>
      <c r="H15">
        <v>0.98799999999999999</v>
      </c>
      <c r="I15">
        <v>-1.2E-2</v>
      </c>
      <c r="J15">
        <v>-3.69</v>
      </c>
      <c r="K15">
        <v>0</v>
      </c>
      <c r="M15" s="30">
        <f>'Facility Variables'!B40</f>
        <v>0.38871794000000004</v>
      </c>
      <c r="N15" s="30">
        <f>'Facility Variables'!C40</f>
        <v>0.33866666000000001</v>
      </c>
      <c r="O15" s="30">
        <f>'Facility Variables'!D40</f>
        <v>0.56285711999999999</v>
      </c>
    </row>
    <row r="16" spans="1:19" x14ac:dyDescent="0.2">
      <c r="A16" s="1" t="s">
        <v>16</v>
      </c>
      <c r="B16" s="6">
        <v>1</v>
      </c>
      <c r="C16" s="6">
        <v>0.5</v>
      </c>
      <c r="D16" s="6">
        <v>0.85714290000000004</v>
      </c>
    </row>
    <row r="17" spans="1:15" x14ac:dyDescent="0.2">
      <c r="A17" s="1"/>
      <c r="B17" s="6"/>
      <c r="C17" s="6"/>
      <c r="D17" s="6"/>
      <c r="G17" t="s">
        <v>90</v>
      </c>
      <c r="H17">
        <v>0.88100000000000001</v>
      </c>
      <c r="I17">
        <v>-0.126</v>
      </c>
      <c r="J17">
        <v>-0.26</v>
      </c>
      <c r="K17">
        <v>0.79300000000000004</v>
      </c>
      <c r="M17">
        <v>1</v>
      </c>
      <c r="N17">
        <v>1</v>
      </c>
      <c r="O17">
        <v>1</v>
      </c>
    </row>
    <row r="18" spans="1:15" x14ac:dyDescent="0.2">
      <c r="A18" s="1" t="s">
        <v>17</v>
      </c>
      <c r="B18" s="8">
        <v>0.73699999999999999</v>
      </c>
      <c r="C18" s="8">
        <v>0.71399999999999997</v>
      </c>
      <c r="D18" s="8">
        <v>0.52600000000000002</v>
      </c>
    </row>
    <row r="19" spans="1:15" x14ac:dyDescent="0.2">
      <c r="A19" s="1" t="s">
        <v>18</v>
      </c>
      <c r="B19" s="8">
        <f>1-B18</f>
        <v>0.26300000000000001</v>
      </c>
      <c r="C19" s="8">
        <f t="shared" ref="C19:D19" si="7">1-C18</f>
        <v>0.28600000000000003</v>
      </c>
      <c r="D19" s="8">
        <f t="shared" si="7"/>
        <v>0.47399999999999998</v>
      </c>
      <c r="M19">
        <f>SUMPRODUCT($I$4:$I$17,M4:M17)</f>
        <v>2.2421870493200005</v>
      </c>
      <c r="N19">
        <f t="shared" ref="N19:O19" si="8">SUMPRODUCT($I$4:$I$17,N4:N17)</f>
        <v>2.5562658796800002</v>
      </c>
      <c r="O19">
        <f t="shared" si="8"/>
        <v>2.57108862176</v>
      </c>
    </row>
    <row r="20" spans="1:15" x14ac:dyDescent="0.2">
      <c r="A20" s="1" t="s">
        <v>19</v>
      </c>
      <c r="B20" s="8">
        <v>0.78900000000000003</v>
      </c>
      <c r="C20" s="8">
        <v>0.47599999999999998</v>
      </c>
      <c r="D20" s="8">
        <v>0.68400000000000005</v>
      </c>
    </row>
    <row r="21" spans="1:15" x14ac:dyDescent="0.2">
      <c r="A21" s="1" t="s">
        <v>20</v>
      </c>
      <c r="B21" s="8">
        <f>1-B20</f>
        <v>0.21099999999999997</v>
      </c>
      <c r="C21" s="8">
        <f t="shared" ref="C21:D21" si="9">1-C20</f>
        <v>0.52400000000000002</v>
      </c>
      <c r="D21" s="8">
        <f t="shared" si="9"/>
        <v>0.31599999999999995</v>
      </c>
      <c r="M21">
        <f>EXP(M19)/(1+EXP(M19))</f>
        <v>0.9039744720911046</v>
      </c>
      <c r="N21">
        <f t="shared" ref="N21" si="10">EXP(N19)/(1+EXP(N19))</f>
        <v>0.9279933358825726</v>
      </c>
      <c r="O21">
        <f>EXP(O19)/(1+EXP(O19))</f>
        <v>0.92897755483306743</v>
      </c>
    </row>
    <row r="22" spans="1:15" x14ac:dyDescent="0.2">
      <c r="A22" s="1" t="s">
        <v>21</v>
      </c>
      <c r="B22" s="8">
        <v>5.2999999999999999E-2</v>
      </c>
      <c r="C22" s="8">
        <v>0.23799999999999999</v>
      </c>
      <c r="D22" s="8">
        <v>0.47399999999999998</v>
      </c>
    </row>
    <row r="23" spans="1:15" x14ac:dyDescent="0.2">
      <c r="A23" s="1" t="s">
        <v>22</v>
      </c>
      <c r="B23" s="8">
        <v>0.36799999999999999</v>
      </c>
      <c r="C23" s="8">
        <v>0.52400000000000002</v>
      </c>
      <c r="D23" s="8">
        <v>0.36799999999999999</v>
      </c>
    </row>
    <row r="24" spans="1:15" x14ac:dyDescent="0.2">
      <c r="A24" s="1" t="s">
        <v>23</v>
      </c>
      <c r="B24" s="8">
        <v>0.57899999999999996</v>
      </c>
      <c r="C24" s="8">
        <v>0.23799999999999999</v>
      </c>
      <c r="D24" s="8">
        <v>0.157</v>
      </c>
    </row>
    <row r="25" spans="1:15" x14ac:dyDescent="0.2">
      <c r="A25" s="1" t="s">
        <v>24</v>
      </c>
      <c r="B25" s="8">
        <v>0.158</v>
      </c>
      <c r="C25" s="8">
        <v>0.28599999999999998</v>
      </c>
      <c r="D25" s="8">
        <v>0.158</v>
      </c>
    </row>
    <row r="26" spans="1:15" x14ac:dyDescent="0.2">
      <c r="A26" s="1" t="s">
        <v>25</v>
      </c>
      <c r="B26" s="8">
        <v>0</v>
      </c>
      <c r="C26" s="8">
        <v>0.19</v>
      </c>
      <c r="D26" s="8">
        <v>0</v>
      </c>
    </row>
    <row r="27" spans="1:15" x14ac:dyDescent="0.2">
      <c r="A27" s="1" t="s">
        <v>26</v>
      </c>
      <c r="B27" s="8">
        <v>0.68400000000000005</v>
      </c>
      <c r="C27" s="8">
        <v>0.52300000000000002</v>
      </c>
      <c r="D27" s="8">
        <v>0.78900000000000003</v>
      </c>
    </row>
    <row r="28" spans="1:15" x14ac:dyDescent="0.2">
      <c r="A28" s="1" t="s">
        <v>27</v>
      </c>
      <c r="B28" s="8">
        <v>0.158</v>
      </c>
      <c r="C28" s="8">
        <v>0</v>
      </c>
      <c r="D28" s="8">
        <v>5.2999999999999999E-2</v>
      </c>
    </row>
    <row r="29" spans="1:15" x14ac:dyDescent="0.2">
      <c r="A29" s="1" t="s">
        <v>28</v>
      </c>
      <c r="B29" s="9">
        <v>1</v>
      </c>
      <c r="C29" s="9">
        <v>0</v>
      </c>
      <c r="D29" s="9">
        <v>1</v>
      </c>
    </row>
    <row r="30" spans="1:15" x14ac:dyDescent="0.2">
      <c r="A30" s="1" t="s">
        <v>29</v>
      </c>
      <c r="B30" s="8" t="s">
        <v>30</v>
      </c>
      <c r="C30" s="8" t="s">
        <v>30</v>
      </c>
      <c r="D30" s="8" t="s">
        <v>30</v>
      </c>
    </row>
    <row r="31" spans="1:15" x14ac:dyDescent="0.2">
      <c r="A31" s="1" t="s">
        <v>31</v>
      </c>
      <c r="B31" s="11" t="s">
        <v>32</v>
      </c>
      <c r="C31" s="11" t="s">
        <v>33</v>
      </c>
      <c r="D31" s="11" t="s">
        <v>34</v>
      </c>
    </row>
    <row r="32" spans="1:15" x14ac:dyDescent="0.2">
      <c r="A32" s="1" t="s">
        <v>35</v>
      </c>
      <c r="B32" s="11" t="s">
        <v>32</v>
      </c>
      <c r="C32" s="11" t="s">
        <v>34</v>
      </c>
      <c r="D32" s="11" t="s">
        <v>34</v>
      </c>
    </row>
    <row r="33" spans="1:4" x14ac:dyDescent="0.2">
      <c r="A33" s="1" t="s">
        <v>36</v>
      </c>
      <c r="B33" s="11" t="s">
        <v>32</v>
      </c>
      <c r="C33" s="11" t="s">
        <v>34</v>
      </c>
      <c r="D33" s="11" t="s">
        <v>33</v>
      </c>
    </row>
    <row r="34" spans="1:4" x14ac:dyDescent="0.2">
      <c r="A34" s="1" t="s">
        <v>37</v>
      </c>
      <c r="B34" s="8">
        <v>0.68400000000000005</v>
      </c>
      <c r="C34" s="8">
        <v>0.71399999999999997</v>
      </c>
      <c r="D34" s="8">
        <v>0.98</v>
      </c>
    </row>
    <row r="35" spans="1:4" ht="16" x14ac:dyDescent="0.2">
      <c r="A35" s="12" t="s">
        <v>38</v>
      </c>
      <c r="B35" s="12">
        <v>19</v>
      </c>
      <c r="C35" s="12">
        <v>21</v>
      </c>
      <c r="D35" s="12">
        <v>19</v>
      </c>
    </row>
    <row r="36" spans="1:4" x14ac:dyDescent="0.2">
      <c r="A36" s="17" t="s">
        <v>69</v>
      </c>
      <c r="B36" s="29">
        <v>0.13</v>
      </c>
      <c r="C36" s="8">
        <f>'Bonus Performance'!B8</f>
        <v>0.13</v>
      </c>
      <c r="D36" s="8">
        <f>'Bonus Performance'!B9</f>
        <v>1</v>
      </c>
    </row>
    <row r="37" spans="1:4" x14ac:dyDescent="0.2">
      <c r="B37">
        <v>0.26848874598070738</v>
      </c>
      <c r="C37">
        <v>0.48392282958199356</v>
      </c>
      <c r="D37">
        <v>0.24758842443729903</v>
      </c>
    </row>
    <row r="41" spans="1:4" x14ac:dyDescent="0.2">
      <c r="B41" s="1" t="s">
        <v>112</v>
      </c>
      <c r="C41" s="1" t="s">
        <v>113</v>
      </c>
      <c r="D41" s="1" t="s">
        <v>114</v>
      </c>
    </row>
    <row r="42" spans="1:4" x14ac:dyDescent="0.2">
      <c r="A42" s="1" t="s">
        <v>17</v>
      </c>
      <c r="B42" s="21">
        <v>0.67373683333333334</v>
      </c>
      <c r="C42" s="21">
        <v>0.59911110000000001</v>
      </c>
      <c r="D42" s="21">
        <v>0.6525263</v>
      </c>
    </row>
    <row r="43" spans="1:4" x14ac:dyDescent="0.2">
      <c r="A43" s="1" t="s">
        <v>18</v>
      </c>
      <c r="B43" s="21">
        <v>0.32626316666666666</v>
      </c>
      <c r="C43" s="21">
        <v>0.40088889999999999</v>
      </c>
      <c r="D43" s="21">
        <v>0.34747369999999994</v>
      </c>
    </row>
    <row r="44" spans="1:4" x14ac:dyDescent="0.2">
      <c r="A44" s="1" t="s">
        <v>19</v>
      </c>
      <c r="B44" s="21">
        <v>0.75598246666666669</v>
      </c>
      <c r="C44" s="21">
        <v>0.71422223333333346</v>
      </c>
      <c r="D44" s="21">
        <v>0.68852630000000004</v>
      </c>
    </row>
    <row r="45" spans="1:4" x14ac:dyDescent="0.2">
      <c r="A45" s="1" t="s">
        <v>20</v>
      </c>
      <c r="B45" s="21">
        <v>0.24401753333333331</v>
      </c>
      <c r="C45" s="21">
        <v>0.28577776666666671</v>
      </c>
      <c r="D45" s="21">
        <v>0.31147369999999996</v>
      </c>
    </row>
    <row r="46" spans="1:4" x14ac:dyDescent="0.2">
      <c r="A46" s="1" t="s">
        <v>21</v>
      </c>
      <c r="B46" s="21">
        <v>0.30714036666666666</v>
      </c>
      <c r="C46" s="21">
        <v>0.36822223333333332</v>
      </c>
      <c r="D46" s="21">
        <v>0.62115790000000004</v>
      </c>
    </row>
    <row r="47" spans="1:4" x14ac:dyDescent="0.2">
      <c r="A47" s="1" t="s">
        <v>22</v>
      </c>
      <c r="B47" s="21">
        <v>0.41389473333333332</v>
      </c>
      <c r="C47" s="21">
        <v>0.36355556666666672</v>
      </c>
      <c r="D47" s="21">
        <v>0.24196490000000001</v>
      </c>
    </row>
    <row r="48" spans="1:4" x14ac:dyDescent="0.2">
      <c r="A48" s="1" t="s">
        <v>23</v>
      </c>
      <c r="B48" s="21">
        <v>0.27896489999999996</v>
      </c>
      <c r="C48" s="21">
        <v>0.26822223333333334</v>
      </c>
      <c r="D48" s="21">
        <v>0.13654386666666665</v>
      </c>
    </row>
    <row r="49" spans="1:4" x14ac:dyDescent="0.2">
      <c r="A49" s="1" t="s">
        <v>24</v>
      </c>
      <c r="B49" s="21">
        <v>0.12021053333333333</v>
      </c>
      <c r="C49" s="21">
        <v>0.22311109999999998</v>
      </c>
      <c r="D49" s="21">
        <v>0.17371929999999999</v>
      </c>
    </row>
    <row r="50" spans="1:4" x14ac:dyDescent="0.2">
      <c r="A50" s="1" t="s">
        <v>25</v>
      </c>
      <c r="B50" s="21">
        <v>8.77193E-2</v>
      </c>
      <c r="C50" s="21">
        <v>0.16888890000000001</v>
      </c>
      <c r="D50" s="21">
        <v>3.3333333333333333E-2</v>
      </c>
    </row>
    <row r="51" spans="1:4" x14ac:dyDescent="0.2">
      <c r="A51" s="1" t="s">
        <v>26</v>
      </c>
      <c r="B51" s="21">
        <v>0.68764913333333333</v>
      </c>
      <c r="C51" s="21">
        <v>0.58544443333333329</v>
      </c>
      <c r="D51" s="21">
        <v>0.72440349999999987</v>
      </c>
    </row>
    <row r="52" spans="1:4" x14ac:dyDescent="0.2">
      <c r="A52" s="1" t="s">
        <v>27</v>
      </c>
      <c r="B52" s="21">
        <v>0.10442106666666667</v>
      </c>
      <c r="C52" s="21">
        <v>2.2222233333333331E-2</v>
      </c>
      <c r="D52" s="21">
        <v>6.8543866666666661E-2</v>
      </c>
    </row>
    <row r="53" spans="1:4" x14ac:dyDescent="0.2">
      <c r="A53" s="17" t="s">
        <v>58</v>
      </c>
      <c r="B53" s="23">
        <v>14.666665</v>
      </c>
      <c r="C53" s="23">
        <v>39.766666666666666</v>
      </c>
      <c r="D53" s="23">
        <v>46.866666666666667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Facility Variables</vt:lpstr>
      <vt:lpstr>Catchment</vt:lpstr>
      <vt:lpstr>WomenChar</vt:lpstr>
      <vt:lpstr>PaymentEventSchedule</vt:lpstr>
      <vt:lpstr>Parity census 12</vt:lpstr>
      <vt:lpstr>Bonus Performance</vt:lpstr>
      <vt:lpstr>WomenDecision</vt:lpstr>
      <vt:lpstr>Baseline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Nicholaus Mziray</dc:creator>
  <cp:keywords/>
  <dc:description/>
  <cp:lastModifiedBy>Dr. Abdullah Alibrahim</cp:lastModifiedBy>
  <cp:revision/>
  <dcterms:created xsi:type="dcterms:W3CDTF">2015-06-05T18:17:20Z</dcterms:created>
  <dcterms:modified xsi:type="dcterms:W3CDTF">2024-08-13T16:31:55Z</dcterms:modified>
  <cp:category/>
  <cp:contentStatus/>
</cp:coreProperties>
</file>