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MAMUN\Documents\GW-BootCamp\Excel_Homework_Due_23Sep\"/>
    </mc:Choice>
  </mc:AlternateContent>
  <bookViews>
    <workbookView xWindow="0" yWindow="0" windowWidth="12735" windowHeight="2400" activeTab="4"/>
  </bookViews>
  <sheets>
    <sheet name="Data" sheetId="1" r:id="rId1"/>
    <sheet name="category" sheetId="4" r:id="rId2"/>
    <sheet name="sub-category" sheetId="5" r:id="rId3"/>
    <sheet name="Outcome_launch_date" sheetId="6" r:id="rId4"/>
    <sheet name="Bonus" sheetId="7" r:id="rId5"/>
  </sheets>
  <definedNames>
    <definedName name="_xlnm._FilterDatabase" localSheetId="0" hidden="1">Data!$A$1:$R$4115</definedName>
    <definedName name="backers_count">Data!$L$1</definedName>
    <definedName name="Category_and_Sub_Category">Data!$N$1</definedName>
    <definedName name="goal">Data!$D$2:$D$4115</definedName>
    <definedName name="outcome">Data!$F$2:$F$4115</definedName>
  </definedNames>
  <calcPr calcId="17102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" i="7" l="1"/>
  <c r="H5" i="7"/>
  <c r="H6" i="7"/>
  <c r="H7" i="7"/>
  <c r="H8" i="7"/>
  <c r="H9" i="7"/>
  <c r="H10" i="7"/>
  <c r="H11" i="7"/>
  <c r="H12" i="7"/>
  <c r="H13" i="7"/>
  <c r="H14" i="7"/>
  <c r="H3" i="7"/>
  <c r="G4" i="7"/>
  <c r="G5" i="7"/>
  <c r="G6" i="7"/>
  <c r="G7" i="7"/>
  <c r="G8" i="7"/>
  <c r="G9" i="7"/>
  <c r="G10" i="7"/>
  <c r="G11" i="7"/>
  <c r="G12" i="7"/>
  <c r="G13" i="7"/>
  <c r="G14" i="7"/>
  <c r="G3" i="7"/>
  <c r="F4" i="7"/>
  <c r="F5" i="7"/>
  <c r="F6" i="7"/>
  <c r="F7" i="7"/>
  <c r="F8" i="7"/>
  <c r="F9" i="7"/>
  <c r="F10" i="7"/>
  <c r="F11" i="7"/>
  <c r="F12" i="7"/>
  <c r="F13" i="7"/>
  <c r="F14" i="7"/>
  <c r="F3" i="7"/>
  <c r="E4" i="7"/>
  <c r="E5" i="7"/>
  <c r="E6" i="7"/>
  <c r="E7" i="7"/>
  <c r="E8" i="7"/>
  <c r="E9" i="7"/>
  <c r="E10" i="7"/>
  <c r="E11" i="7"/>
  <c r="E12" i="7"/>
  <c r="E13" i="7"/>
  <c r="E14" i="7"/>
  <c r="E3" i="7"/>
  <c r="D14" i="7"/>
  <c r="D13" i="7"/>
  <c r="D12" i="7"/>
  <c r="D11" i="7"/>
  <c r="D10" i="7"/>
  <c r="D9" i="7"/>
  <c r="D8" i="7"/>
  <c r="D7" i="7"/>
  <c r="D6" i="7"/>
  <c r="D5" i="7"/>
  <c r="D4" i="7"/>
  <c r="D3" i="7"/>
  <c r="C14" i="7"/>
  <c r="C13" i="7"/>
  <c r="C12" i="7"/>
  <c r="C11" i="7"/>
  <c r="C10" i="7"/>
  <c r="C9" i="7"/>
  <c r="C8" i="7"/>
  <c r="C7" i="7"/>
  <c r="C6" i="7"/>
  <c r="C5" i="7"/>
  <c r="C4" i="7"/>
  <c r="C3" i="7"/>
  <c r="B14" i="7"/>
  <c r="B13" i="7"/>
  <c r="B12" i="7"/>
  <c r="B11" i="7"/>
  <c r="B10" i="7"/>
  <c r="B9" i="7"/>
  <c r="B8" i="7"/>
  <c r="B5" i="7"/>
  <c r="B7" i="7"/>
  <c r="B6" i="7"/>
  <c r="B3" i="7"/>
  <c r="B4" i="7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<sst xmlns="http://schemas.openxmlformats.org/spreadsheetml/2006/main" count="24821" uniqueCount="8400">
  <si>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</si>
  <si>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</si>
  <si>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</si>
  <si>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</si>
  <si>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</si>
  <si>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</si>
  <si>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</si>
  <si>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</si>
  <si>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</si>
  <si>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</si>
  <si>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</si>
  <si>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</si>
  <si>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</si>
  <si>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</si>
  <si>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</si>
  <si>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</si>
  <si>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</si>
  <si>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</si>
  <si>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</si>
  <si>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</si>
  <si>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</si>
  <si>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</si>
  <si>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</si>
  <si>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</si>
  <si>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</si>
  <si>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</si>
  <si>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</si>
  <si>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</si>
  <si>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</si>
  <si>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</si>
  <si>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</si>
  <si>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</si>
  <si>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</si>
  <si>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</si>
  <si>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</si>
  <si>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</si>
  <si>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</si>
  <si>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</si>
  <si>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</si>
  <si>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</si>
  <si>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</si>
  <si>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</si>
  <si>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</si>
  <si>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</si>
  <si>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</si>
  <si>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</si>
  <si>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</si>
  <si>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</si>
  <si>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</si>
  <si>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</si>
  <si>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</si>
  <si>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</si>
  <si>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</si>
  <si>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</si>
  <si>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</si>
  <si>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</si>
  <si>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</si>
  <si>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</si>
  <si>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</si>
  <si>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</si>
  <si>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</si>
  <si>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</si>
  <si>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</si>
  <si>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</si>
  <si>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</si>
  <si>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</si>
  <si>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</si>
  <si>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</si>
  <si>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</si>
  <si>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</si>
  <si>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</si>
  <si>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</si>
  <si>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</si>
  <si>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</si>
  <si>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</si>
  <si>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</si>
  <si>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</si>
  <si>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</si>
  <si>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</si>
  <si>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</si>
  <si>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</si>
  <si>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</si>
  <si>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</si>
  <si>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</si>
  <si>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</si>
  <si>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</si>
  <si>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</si>
  <si>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</si>
  <si>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</si>
  <si>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</si>
  <si>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</si>
  <si>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</si>
  <si>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</si>
  <si>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</si>
  <si>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</si>
  <si>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</si>
  <si>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</si>
  <si>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</si>
  <si>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</si>
  <si>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</si>
  <si>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</si>
  <si>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</si>
  <si>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</si>
  <si>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</si>
  <si>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</si>
  <si>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</si>
  <si>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</si>
  <si>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</si>
  <si>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</si>
  <si>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</si>
  <si>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</si>
  <si>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</si>
  <si>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</si>
  <si>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</si>
  <si>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</si>
  <si>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</si>
  <si>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</si>
  <si>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</si>
  <si>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</si>
  <si>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</si>
  <si>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</si>
  <si>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</si>
  <si>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</si>
  <si>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</si>
  <si>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</si>
  <si>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</si>
  <si>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</si>
  <si>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</si>
  <si>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</si>
  <si>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</si>
  <si>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</si>
  <si>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</si>
  <si>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</si>
  <si>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</si>
  <si>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</si>
  <si>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</si>
  <si>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</si>
  <si>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</si>
  <si>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</si>
  <si>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</si>
  <si>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</si>
  <si>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</si>
  <si>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</si>
  <si>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</si>
  <si>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</si>
  <si>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</si>
  <si>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</si>
  <si>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</si>
  <si>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</si>
  <si>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</si>
  <si>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</si>
  <si>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</si>
  <si>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</si>
  <si>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</si>
  <si>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</si>
  <si>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</si>
  <si>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</si>
  <si>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</si>
  <si>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</si>
  <si>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</si>
  <si>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</si>
  <si>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</si>
  <si>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</si>
  <si>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</si>
  <si>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</si>
  <si>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</si>
  <si>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</si>
  <si>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</si>
  <si>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</si>
  <si>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</si>
  <si>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</si>
  <si>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</si>
  <si>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</si>
  <si>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</si>
  <si>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</si>
  <si>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</si>
  <si>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</si>
  <si>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</si>
  <si>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</si>
  <si>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</si>
  <si>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</si>
  <si>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</si>
  <si>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</si>
  <si>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</si>
  <si>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</si>
  <si>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</si>
  <si>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</si>
  <si>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</si>
  <si>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</si>
  <si>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</si>
  <si>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</si>
  <si>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</si>
  <si>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</si>
  <si>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</si>
  <si>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</si>
  <si>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</si>
  <si>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</si>
  <si>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</si>
  <si>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</si>
  <si>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</si>
  <si>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</si>
  <si>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</si>
  <si>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</si>
  <si>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</si>
  <si>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</si>
  <si>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</si>
  <si>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</si>
  <si>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</si>
  <si>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</si>
  <si>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</si>
  <si>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</si>
  <si>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</si>
  <si>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</si>
  <si>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</si>
  <si>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</si>
  <si>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</si>
  <si>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</si>
  <si>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</si>
  <si>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</si>
  <si>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</si>
  <si>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</si>
  <si>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</si>
  <si>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</si>
  <si>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</si>
  <si>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</si>
  <si>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</si>
  <si>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</si>
  <si>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</si>
  <si>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</si>
  <si>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</si>
  <si>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</si>
  <si>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</si>
  <si>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</si>
  <si>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</si>
  <si>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</si>
  <si>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</si>
  <si>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</si>
  <si>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</si>
  <si>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</si>
  <si>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</si>
  <si>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</si>
  <si>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</si>
  <si>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</si>
  <si>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</si>
  <si>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</si>
  <si>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</si>
  <si>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</si>
  <si>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</si>
  <si>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</si>
  <si>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</si>
  <si>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</si>
  <si>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</si>
  <si>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</si>
  <si>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</si>
  <si>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</si>
  <si>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</si>
  <si>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</si>
  <si>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</si>
  <si>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</si>
  <si>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</si>
  <si>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</si>
  <si>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</si>
  <si>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</si>
  <si>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</si>
  <si>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</si>
  <si>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</si>
  <si>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</si>
  <si>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</si>
  <si>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</si>
  <si>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</si>
  <si>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</si>
  <si>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</si>
  <si>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</si>
  <si>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</si>
  <si>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</si>
  <si>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</si>
  <si>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</si>
  <si>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</si>
  <si>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</si>
  <si>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</si>
  <si>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</si>
  <si>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</si>
  <si>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</si>
  <si>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</si>
  <si>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</si>
  <si>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</si>
  <si>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</si>
  <si>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</si>
  <si>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</si>
  <si>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</si>
  <si>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</si>
  <si>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</si>
  <si>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</si>
  <si>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</si>
  <si>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</si>
  <si>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</si>
  <si>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</si>
  <si>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</si>
  <si>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</si>
  <si>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</si>
  <si>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</si>
  <si>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</si>
  <si>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</si>
  <si>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</si>
  <si>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</si>
  <si>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</si>
  <si>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</si>
  <si>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</si>
  <si>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</si>
  <si>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</si>
  <si>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</si>
  <si>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</si>
  <si>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</si>
  <si>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</si>
  <si>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</si>
  <si>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</si>
  <si>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</si>
  <si>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</si>
  <si>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</si>
  <si>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</si>
  <si>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</si>
  <si>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</si>
  <si>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</si>
  <si>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</si>
  <si>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</si>
  <si>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</si>
  <si>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</si>
  <si>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</si>
  <si>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</si>
  <si>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</si>
  <si>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</si>
  <si>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</si>
  <si>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</si>
  <si>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</si>
  <si>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</si>
  <si>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</si>
  <si>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</si>
  <si>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</si>
  <si>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</si>
  <si>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</si>
  <si>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</si>
  <si>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</si>
  <si>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</si>
  <si>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</si>
  <si>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</si>
  <si>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</si>
  <si>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</si>
  <si>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</si>
  <si>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</si>
  <si>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</si>
  <si>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</si>
  <si>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</si>
  <si>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</si>
  <si>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</si>
  <si>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</si>
  <si>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</si>
  <si>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</si>
  <si>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</si>
  <si>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</si>
  <si>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</si>
  <si>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</si>
  <si>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</si>
  <si>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</si>
  <si>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</si>
  <si>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</si>
  <si>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</si>
  <si>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</si>
  <si>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</si>
  <si>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</si>
  <si>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</si>
  <si>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</si>
  <si>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</si>
  <si>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</si>
  <si>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</si>
  <si>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</si>
  <si>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</si>
  <si>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</si>
  <si>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</si>
  <si>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</si>
  <si>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</si>
  <si>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</si>
  <si>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</si>
  <si>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</si>
  <si>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</si>
  <si>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</si>
  <si>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</si>
  <si>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</si>
  <si>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</si>
  <si>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</si>
  <si>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</si>
  <si>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</si>
  <si>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</si>
  <si>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</si>
  <si>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</si>
  <si>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</si>
  <si>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</si>
  <si>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</si>
  <si>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</si>
  <si>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</si>
  <si>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</si>
  <si>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</si>
  <si>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</si>
  <si>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</si>
  <si>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</si>
  <si>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</si>
  <si>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</si>
  <si>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</si>
  <si>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</si>
  <si>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</si>
  <si>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</si>
  <si>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</si>
  <si>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</si>
  <si>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</si>
  <si>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</si>
  <si>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</si>
  <si>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</si>
  <si>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</si>
  <si>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</si>
  <si>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</si>
  <si>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</si>
  <si>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</si>
  <si>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</si>
  <si>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</si>
  <si>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</si>
  <si>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</si>
  <si>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</si>
  <si>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</si>
  <si>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</si>
  <si>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</si>
  <si>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</si>
  <si>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</si>
  <si>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</si>
  <si>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</si>
  <si>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</si>
  <si>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</si>
  <si>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</si>
  <si>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</si>
  <si>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</si>
  <si>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</si>
  <si>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</si>
  <si>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</si>
  <si>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</si>
  <si>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</si>
  <si>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</si>
  <si>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</si>
  <si>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</si>
  <si>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</si>
  <si>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</si>
  <si>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</si>
  <si>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</si>
  <si>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</si>
  <si>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</si>
  <si>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</si>
  <si>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</si>
  <si>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</si>
  <si>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</si>
  <si>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</si>
  <si>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</si>
  <si>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</si>
  <si>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</si>
  <si>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</si>
  <si>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</si>
  <si>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</si>
  <si>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</si>
  <si>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</si>
  <si>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</si>
  <si>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</si>
  <si>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</si>
  <si>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</si>
  <si>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</si>
  <si>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</si>
  <si>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</si>
  <si>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</si>
  <si>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</si>
  <si>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</si>
  <si>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</si>
  <si>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</si>
  <si>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</si>
  <si>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</si>
  <si>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</si>
  <si>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</si>
  <si>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</si>
  <si>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</si>
  <si>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</si>
  <si>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</si>
  <si>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</si>
  <si>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</si>
  <si>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</si>
  <si>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</si>
  <si>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</si>
  <si>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</si>
  <si>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</si>
  <si>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</si>
  <si>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</si>
  <si>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</si>
  <si>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</si>
  <si>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</si>
  <si>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</si>
  <si>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</si>
  <si>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</si>
  <si>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</si>
  <si>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</si>
  <si>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</si>
  <si>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</si>
  <si>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</si>
  <si>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</si>
  <si>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</si>
  <si>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</si>
  <si>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</si>
  <si>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</si>
  <si>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</si>
  <si>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</si>
  <si>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</si>
  <si>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</si>
  <si>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</si>
  <si>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</si>
  <si>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</si>
  <si>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</si>
  <si>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</si>
  <si>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</si>
  <si>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</si>
  <si>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</si>
  <si>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</si>
  <si>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</si>
  <si>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</si>
  <si>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</si>
  <si>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</si>
  <si>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</si>
  <si>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</si>
  <si>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</si>
  <si>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</si>
  <si>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</si>
  <si>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</si>
  <si>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</si>
  <si>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</si>
  <si>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</si>
  <si>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</si>
  <si>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</si>
  <si>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</si>
  <si>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</si>
  <si>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</si>
  <si>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</si>
  <si>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</si>
  <si>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</si>
  <si>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</si>
  <si>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</si>
  <si>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</si>
  <si>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</si>
  <si>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</si>
  <si>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</si>
  <si>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</si>
  <si>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</si>
  <si>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</si>
  <si>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</si>
  <si>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</si>
  <si>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</si>
  <si>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</si>
  <si>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</si>
  <si>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</si>
  <si>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</si>
  <si>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</si>
  <si>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</si>
  <si>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</si>
  <si>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</si>
  <si>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</si>
  <si>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</si>
  <si>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</si>
  <si>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</si>
  <si>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</si>
  <si>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</si>
  <si>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</si>
  <si>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</si>
  <si>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</si>
  <si>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</si>
  <si>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</si>
  <si>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</si>
  <si>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</si>
  <si>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</si>
  <si>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</si>
  <si>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</si>
  <si>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</si>
  <si>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</si>
  <si>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</si>
  <si>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</si>
  <si>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</si>
  <si>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</si>
  <si>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</si>
  <si>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</si>
  <si>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</si>
  <si>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</si>
  <si>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</si>
  <si>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</si>
  <si>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</si>
  <si>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</si>
  <si>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</si>
  <si>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</si>
  <si>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</si>
  <si>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</si>
  <si>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</si>
  <si>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</si>
  <si>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</si>
  <si>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</si>
  <si>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</si>
  <si>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</si>
  <si>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</si>
  <si>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</si>
  <si>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</si>
  <si>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</si>
  <si>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</si>
  <si>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</si>
  <si>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</si>
  <si>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</si>
  <si>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</si>
  <si>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</si>
  <si>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</si>
  <si>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</si>
  <si>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</si>
  <si>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</si>
  <si>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</si>
  <si>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</si>
  <si>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</si>
  <si>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</si>
  <si>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</si>
  <si>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</si>
  <si>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</si>
  <si>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</si>
  <si>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</si>
  <si>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</si>
  <si>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</si>
  <si>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</si>
  <si>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</si>
  <si>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</si>
  <si>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</si>
  <si>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</si>
  <si>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</si>
  <si>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</si>
  <si>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</si>
  <si>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</si>
  <si>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</si>
  <si>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</si>
  <si>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</si>
  <si>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</si>
  <si>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</si>
  <si>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</si>
  <si>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</si>
  <si>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</si>
  <si>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</si>
  <si>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</si>
  <si>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</si>
  <si>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</si>
  <si>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</si>
  <si>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</si>
  <si>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</si>
  <si>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</si>
  <si>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</si>
  <si>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</si>
  <si>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</si>
  <si>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</si>
  <si>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</si>
  <si>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</si>
  <si>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</si>
  <si>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</si>
  <si>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</si>
  <si>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</si>
  <si>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</si>
  <si>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</si>
  <si>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</si>
  <si>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</si>
  <si>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</si>
  <si>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</si>
  <si>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</si>
  <si>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</si>
  <si>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</si>
  <si>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</si>
  <si>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</si>
  <si>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</si>
  <si>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</si>
  <si>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</si>
  <si>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</si>
  <si>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</si>
  <si>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</si>
  <si>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</si>
  <si>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</si>
  <si>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</si>
  <si>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</si>
  <si>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</si>
  <si>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</si>
  <si>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</si>
  <si>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</si>
  <si>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</si>
  <si>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</si>
  <si>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</si>
  <si>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</si>
  <si>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</si>
  <si>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</si>
  <si>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</si>
  <si>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</si>
  <si>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</si>
  <si>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</si>
  <si>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</si>
  <si>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</si>
  <si>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</si>
  <si>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</si>
  <si>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</si>
  <si>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</si>
  <si>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</si>
  <si>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</si>
  <si>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</si>
  <si>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</si>
  <si>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</si>
  <si>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</si>
  <si>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</si>
  <si>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</si>
  <si>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</si>
  <si>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</si>
  <si>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</si>
  <si>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</si>
  <si>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</si>
  <si>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</si>
  <si>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</si>
  <si>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</si>
  <si>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</si>
  <si>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</si>
  <si>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</si>
  <si>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</si>
  <si>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</si>
  <si>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</si>
  <si>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</si>
  <si>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</si>
  <si>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</si>
  <si>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</si>
  <si>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</si>
  <si>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</si>
  <si>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</si>
  <si>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</si>
  <si>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</si>
  <si>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</si>
  <si>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</si>
  <si>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</si>
  <si>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</si>
  <si>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</si>
  <si>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</si>
  <si>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</si>
  <si>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</si>
  <si>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</si>
  <si>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</si>
  <si>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</si>
  <si>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</si>
  <si>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</si>
  <si>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</si>
  <si>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</si>
  <si>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</si>
  <si>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</si>
  <si>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</si>
  <si>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</si>
  <si>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</si>
  <si>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</si>
  <si>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</si>
  <si>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</si>
  <si>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</si>
  <si>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</si>
  <si>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</si>
  <si>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</si>
  <si>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</si>
  <si>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</si>
  <si>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</si>
  <si>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</si>
  <si>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</si>
  <si>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</si>
  <si>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</si>
  <si>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</si>
  <si>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</si>
  <si>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</si>
  <si>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</si>
  <si>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</si>
  <si>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</si>
  <si>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</si>
  <si>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</si>
  <si>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</si>
  <si>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</si>
  <si>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</si>
  <si>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</si>
  <si>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</si>
  <si>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</si>
  <si>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</si>
  <si>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</si>
  <si>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</si>
  <si>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</si>
  <si>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</si>
  <si>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</si>
  <si>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</si>
  <si>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</si>
  <si>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</si>
  <si>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</si>
  <si>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</si>
  <si>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</si>
  <si>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</si>
  <si>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</si>
  <si>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</si>
  <si>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</si>
  <si>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</si>
  <si>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</si>
  <si>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</si>
  <si>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</si>
  <si>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</si>
  <si>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</si>
  <si>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</si>
  <si>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</si>
  <si>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</si>
  <si>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</si>
  <si>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</si>
  <si>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</si>
  <si>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</si>
  <si>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</si>
  <si>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</si>
  <si>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</si>
  <si>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</si>
  <si>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</si>
  <si>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</si>
  <si>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</si>
  <si>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</si>
  <si>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</si>
  <si>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</si>
  <si>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</si>
  <si>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</si>
  <si>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</si>
  <si>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</si>
  <si>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</si>
  <si>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</si>
  <si>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</si>
  <si>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</si>
  <si>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</si>
  <si>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</si>
  <si>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</si>
  <si>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</si>
  <si>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</si>
  <si>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</si>
  <si>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</si>
  <si>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</si>
  <si>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</si>
  <si>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</si>
  <si>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</si>
  <si>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</si>
  <si>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</si>
  <si>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</si>
  <si>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</si>
  <si>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</si>
  <si>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</si>
  <si>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</si>
  <si>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</si>
  <si>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</si>
  <si>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</si>
  <si>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</si>
  <si>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</si>
  <si>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</si>
  <si>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</si>
  <si>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</si>
  <si>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</si>
  <si>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</si>
  <si>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</si>
  <si>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</si>
  <si>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</si>
  <si>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</si>
  <si>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</si>
  <si>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</si>
  <si>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</si>
  <si>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</si>
  <si>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</si>
  <si>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</si>
  <si>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</si>
  <si>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</si>
  <si>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</si>
  <si>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</si>
  <si>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</si>
  <si>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</si>
  <si>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</si>
  <si>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</si>
  <si>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</si>
  <si>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</si>
  <si>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</si>
  <si>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</si>
  <si>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</si>
  <si>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</si>
  <si>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</si>
  <si>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</si>
  <si>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</si>
  <si>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</si>
  <si>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</si>
  <si>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</si>
  <si>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</si>
  <si>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</si>
  <si>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</si>
  <si>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</si>
  <si>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</si>
  <si>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</si>
  <si>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</si>
  <si>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</si>
  <si>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</si>
  <si>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</si>
  <si>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</si>
  <si>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</si>
  <si>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</si>
  <si>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</si>
  <si>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</si>
  <si>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</si>
  <si>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</si>
  <si>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</si>
  <si>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</si>
  <si>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</si>
  <si>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</si>
  <si>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</si>
  <si>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</si>
  <si>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</si>
  <si>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</si>
  <si>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</si>
  <si>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</si>
  <si>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</si>
  <si>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</si>
  <si>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</si>
  <si>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</si>
  <si>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</si>
  <si>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</si>
  <si>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</si>
  <si>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</si>
  <si>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</si>
  <si>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</si>
  <si>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</si>
  <si>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</si>
  <si>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</si>
  <si>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</si>
  <si>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</si>
  <si>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</si>
  <si>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</si>
  <si>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</si>
  <si>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</si>
  <si>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</si>
  <si>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</si>
  <si>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</si>
  <si>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</si>
  <si>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</si>
  <si>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</si>
  <si>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</si>
  <si>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</si>
  <si>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</si>
  <si>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</si>
  <si>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</si>
  <si>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</si>
  <si>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</si>
  <si>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</si>
  <si>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</si>
  <si>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</si>
  <si>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</si>
  <si>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</si>
  <si>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</si>
  <si>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</si>
  <si>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</si>
  <si>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</si>
  <si>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</si>
  <si>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</si>
  <si>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</si>
  <si>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</si>
  <si>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</si>
  <si>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</si>
  <si>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</si>
  <si>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</si>
  <si>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</si>
  <si>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</si>
  <si>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</si>
  <si>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</si>
  <si>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</si>
  <si>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</si>
  <si>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</si>
  <si>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</si>
  <si>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</si>
  <si>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</si>
  <si>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</si>
  <si>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</si>
  <si>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</si>
  <si>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</si>
  <si>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</si>
  <si>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</si>
  <si>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</si>
  <si>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</si>
  <si>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</si>
  <si>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</si>
  <si>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</si>
  <si>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</si>
  <si>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</si>
  <si>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</si>
  <si>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</si>
  <si>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</si>
  <si>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</si>
  <si>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</si>
  <si>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</si>
  <si>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</si>
  <si>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</si>
  <si>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</si>
  <si>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</si>
  <si>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</si>
  <si>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</si>
  <si>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</si>
  <si>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</si>
  <si>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</si>
  <si>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</si>
  <si>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</si>
  <si>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</si>
  <si>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</si>
  <si>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</si>
  <si>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</si>
  <si>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</si>
  <si>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</si>
  <si>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</si>
  <si>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</si>
  <si>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</si>
  <si>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</si>
  <si>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</si>
  <si>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</si>
  <si>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</si>
  <si>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</si>
  <si>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</si>
  <si>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</si>
  <si>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</si>
  <si>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</si>
  <si>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</si>
  <si>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</si>
  <si>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</si>
  <si>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</si>
  <si>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</si>
  <si>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</si>
  <si>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</si>
  <si>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</si>
  <si>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</si>
  <si>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</si>
  <si>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</si>
  <si>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</si>
  <si>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</si>
  <si>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</si>
  <si>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</si>
  <si>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</si>
  <si>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</si>
  <si>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</si>
  <si>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</si>
  <si>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</si>
  <si>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</si>
  <si>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</si>
  <si>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</si>
  <si>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</si>
  <si>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</si>
  <si>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</si>
  <si>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</si>
  <si>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</si>
  <si>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</si>
  <si>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</si>
  <si>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</si>
  <si>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</si>
  <si>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</si>
  <si>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</si>
  <si>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</si>
  <si>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</si>
  <si>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</si>
  <si>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</si>
  <si>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</si>
  <si>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</si>
  <si>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</si>
  <si>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</si>
  <si>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</si>
  <si>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</si>
  <si>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</si>
  <si>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</si>
  <si>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</si>
  <si>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</si>
  <si>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</si>
  <si>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</si>
  <si>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</si>
  <si>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</si>
  <si>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</si>
  <si>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</si>
  <si>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</si>
  <si>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</si>
  <si>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</si>
  <si>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</si>
  <si>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</si>
  <si>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</si>
  <si>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</si>
  <si>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</si>
  <si>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</si>
  <si>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</si>
  <si>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</si>
  <si>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</si>
  <si>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</si>
  <si>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</si>
  <si>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</si>
  <si>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</si>
  <si>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</si>
  <si>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</si>
  <si>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</si>
  <si>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</si>
  <si>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</si>
  <si>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</si>
  <si>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</si>
  <si>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</si>
  <si>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</si>
  <si>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</si>
  <si>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</si>
  <si>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</si>
  <si>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</si>
  <si>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</si>
  <si>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</si>
  <si>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</si>
  <si>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</si>
  <si>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</si>
  <si>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</si>
  <si>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</si>
  <si>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</si>
  <si>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</si>
  <si>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</si>
  <si>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</si>
  <si>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</si>
  <si>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</si>
  <si>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</si>
  <si>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</si>
  <si>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</si>
  <si>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</si>
  <si>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</si>
  <si>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</si>
  <si>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</si>
  <si>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</si>
  <si>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</si>
  <si>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</si>
  <si>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</si>
  <si>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</si>
  <si>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</si>
  <si>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</si>
  <si>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</si>
  <si>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</si>
  <si>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</si>
  <si>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</si>
  <si>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</si>
  <si>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</si>
  <si>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</si>
  <si>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</si>
  <si>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</si>
  <si>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</si>
  <si>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</si>
  <si>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</si>
  <si>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</si>
  <si>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</si>
  <si>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</si>
  <si>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</si>
  <si>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</si>
  <si>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</si>
  <si>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</si>
  <si>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</si>
  <si>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</si>
  <si>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</si>
  <si>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</si>
  <si>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</si>
  <si>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</si>
  <si>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</si>
  <si>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</si>
  <si>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</si>
  <si>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</si>
  <si>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</si>
  <si>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</si>
  <si>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</si>
  <si>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</si>
  <si>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</si>
  <si>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</si>
  <si>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</si>
  <si>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</si>
  <si>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</si>
  <si>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</si>
  <si>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</si>
  <si>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</si>
  <si>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</si>
  <si>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</si>
  <si>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</si>
  <si>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</si>
  <si>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</si>
  <si>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</si>
  <si>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</si>
  <si>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</si>
  <si>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</si>
  <si>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</si>
  <si>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</si>
  <si>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</si>
  <si>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</si>
  <si>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</si>
  <si>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</si>
  <si>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</si>
  <si>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</si>
  <si>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</si>
  <si>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</si>
  <si>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</si>
  <si>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</si>
  <si>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</si>
  <si>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</si>
  <si>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</si>
  <si>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</si>
  <si>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</si>
  <si>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</si>
  <si>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</si>
  <si>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</si>
  <si>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</si>
  <si>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</si>
  <si>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</si>
  <si>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</si>
  <si>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</si>
  <si>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</si>
  <si>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</si>
  <si>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</si>
  <si>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</si>
  <si>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</si>
  <si>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</si>
  <si>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</si>
  <si>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</si>
  <si>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</si>
  <si>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</si>
  <si>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</si>
  <si>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</si>
  <si>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</si>
  <si>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</si>
  <si>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</si>
  <si>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</si>
  <si>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</si>
  <si>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</si>
  <si>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</si>
  <si>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</si>
  <si>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</si>
  <si>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</si>
  <si>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</si>
  <si>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</si>
  <si>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</si>
  <si>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</si>
  <si>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</si>
  <si>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</si>
  <si>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</si>
  <si>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</si>
  <si>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</si>
  <si>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</si>
  <si>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</si>
  <si>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</si>
  <si>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</si>
  <si>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</si>
  <si>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</si>
  <si>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</si>
  <si>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</si>
  <si>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</si>
  <si>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</si>
  <si>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</si>
  <si>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</si>
  <si>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</si>
  <si>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</si>
  <si>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</si>
  <si>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</si>
  <si>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</si>
  <si>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</si>
  <si>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</si>
  <si>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</si>
  <si>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</si>
  <si>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</si>
  <si>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</si>
  <si>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</si>
  <si>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</si>
  <si>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</si>
  <si>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</si>
  <si>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</si>
  <si>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</si>
  <si>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</si>
  <si>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</si>
  <si>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</si>
  <si>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</si>
  <si>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</si>
  <si>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</si>
  <si>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</si>
  <si>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</si>
  <si>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</si>
  <si>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</si>
  <si>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</si>
  <si>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</si>
  <si>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</si>
  <si>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</si>
  <si>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</si>
  <si>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</si>
  <si>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</si>
  <si>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</si>
  <si>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</si>
  <si>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</si>
  <si>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</si>
  <si>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</si>
  <si>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</si>
  <si>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</si>
  <si>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</si>
  <si>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</si>
  <si>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</si>
  <si>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</si>
  <si>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</si>
  <si>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</si>
  <si>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</si>
  <si>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</si>
  <si>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</si>
  <si>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</si>
  <si>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</si>
  <si>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</si>
  <si>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</si>
  <si>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</si>
  <si>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</si>
  <si>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</si>
  <si>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</si>
  <si>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</si>
  <si>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</si>
  <si>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</si>
  <si>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</si>
  <si>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</si>
  <si>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</si>
  <si>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</si>
  <si>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</si>
  <si>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</si>
  <si>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</si>
  <si>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</si>
  <si>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</si>
  <si>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</si>
  <si>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</si>
  <si>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</si>
  <si>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</si>
  <si>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</si>
  <si>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</si>
  <si>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</si>
  <si>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</si>
  <si>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</si>
  <si>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</si>
  <si>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</si>
  <si>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</si>
  <si>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</si>
  <si>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</si>
  <si>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</si>
  <si>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</si>
  <si>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</si>
  <si>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</si>
  <si>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</si>
  <si>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</si>
  <si>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</si>
  <si>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</si>
  <si>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</si>
  <si>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</si>
  <si>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</si>
  <si>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</si>
  <si>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</si>
  <si>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</si>
  <si>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</si>
  <si>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</si>
  <si>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</si>
  <si>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</si>
  <si>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</si>
  <si>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</si>
  <si>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</si>
  <si>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</si>
  <si>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</si>
  <si>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</si>
  <si>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</si>
  <si>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</si>
  <si>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</si>
  <si>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</si>
  <si>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</si>
  <si>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</si>
  <si>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</si>
  <si>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</si>
  <si>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</si>
  <si>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</si>
  <si>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</si>
  <si>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</si>
  <si>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</si>
  <si>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</si>
  <si>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</si>
  <si>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</si>
  <si>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</si>
  <si>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</si>
  <si>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</si>
  <si>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</si>
  <si>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</si>
  <si>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</si>
  <si>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</si>
  <si>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</si>
  <si>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</si>
  <si>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</si>
  <si>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</si>
  <si>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</si>
  <si>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</si>
  <si>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</si>
  <si>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</si>
  <si>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</si>
  <si>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</si>
  <si>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</si>
  <si>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</si>
  <si>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</si>
  <si>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</si>
  <si>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</si>
  <si>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</si>
  <si>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</si>
  <si>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</si>
  <si>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</si>
  <si>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</si>
  <si>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</si>
  <si>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</si>
  <si>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</si>
  <si>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</si>
  <si>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</si>
  <si>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</si>
  <si>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</si>
  <si>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</si>
  <si>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</si>
  <si>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</si>
  <si>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</si>
  <si>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</si>
  <si>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</si>
  <si>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</si>
  <si>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</si>
  <si>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</si>
  <si>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</si>
  <si>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</si>
  <si>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</si>
  <si>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</si>
  <si>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</si>
  <si>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</si>
  <si>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</si>
  <si>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</si>
  <si>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</si>
  <si>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</si>
  <si>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</si>
  <si>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</si>
  <si>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</si>
  <si>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</si>
  <si>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</si>
  <si>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</si>
  <si>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</si>
  <si>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</si>
  <si>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</si>
  <si>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</si>
  <si>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</si>
  <si>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</si>
  <si>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</si>
  <si>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</si>
  <si>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</si>
  <si>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</si>
  <si>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</si>
  <si>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</si>
  <si>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</si>
  <si>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</si>
  <si>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</si>
  <si>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</si>
  <si>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</si>
  <si>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</si>
  <si>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</si>
  <si>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</si>
  <si>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</si>
  <si>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</si>
  <si>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</si>
  <si>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</si>
  <si>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</si>
  <si>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</si>
  <si>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</si>
  <si>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</si>
  <si>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</si>
  <si>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</si>
  <si>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</si>
  <si>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</si>
  <si>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</si>
  <si>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</si>
  <si>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</si>
  <si>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</si>
  <si>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</si>
  <si>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</si>
  <si>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</si>
  <si>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</si>
  <si>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</si>
  <si>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</si>
  <si>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</si>
  <si>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</si>
  <si>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</si>
  <si>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</si>
  <si>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</si>
  <si>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</si>
  <si>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</si>
  <si>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</si>
  <si>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</si>
  <si>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</si>
  <si>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</si>
  <si>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</si>
  <si>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</si>
  <si>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</si>
  <si>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</si>
  <si>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</si>
  <si>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</si>
  <si>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</si>
  <si>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</si>
  <si>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</si>
  <si>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</si>
  <si>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</si>
  <si>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</si>
  <si>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</si>
  <si>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</si>
  <si>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</si>
  <si>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</si>
  <si>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</si>
  <si>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</si>
  <si>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</si>
  <si>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</si>
  <si>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</si>
  <si>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</si>
  <si>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</si>
  <si>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</si>
  <si>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</si>
  <si>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</si>
  <si>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</si>
  <si>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</si>
  <si>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</si>
  <si>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</si>
  <si>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</si>
  <si>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</si>
  <si>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</si>
  <si>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</si>
  <si>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</si>
  <si>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</si>
  <si>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</si>
  <si>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</si>
  <si>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</si>
  <si>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</si>
  <si>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</si>
  <si>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</si>
  <si>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</si>
  <si>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</si>
  <si>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</si>
  <si>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</si>
  <si>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</si>
  <si>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</si>
  <si>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</si>
  <si>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</si>
  <si>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</si>
  <si>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</si>
  <si>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</si>
  <si>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</si>
  <si>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</si>
  <si>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</si>
  <si>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</si>
  <si>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</si>
  <si>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</si>
  <si>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</si>
  <si>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</si>
  <si>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</si>
  <si>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</si>
  <si>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</si>
  <si>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</si>
  <si>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</si>
  <si>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</si>
  <si>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</si>
  <si>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</si>
  <si>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</si>
  <si>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</si>
  <si>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</si>
  <si>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</si>
  <si>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</si>
  <si>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</si>
  <si>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</si>
  <si>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</si>
  <si>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</si>
  <si>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</si>
  <si>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</si>
  <si>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</si>
  <si>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</si>
  <si>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</si>
  <si>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</si>
  <si>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</si>
  <si>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</si>
  <si>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</si>
  <si>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</si>
  <si>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</si>
  <si>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</si>
  <si>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</si>
  <si>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</si>
  <si>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</si>
  <si>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</si>
  <si>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</si>
  <si>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</si>
  <si>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</si>
  <si>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</si>
  <si>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</si>
  <si>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</si>
  <si>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</si>
  <si>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</si>
  <si>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</si>
  <si>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</si>
  <si>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</si>
  <si>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</si>
  <si>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</si>
  <si>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</si>
  <si>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</si>
  <si>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</si>
  <si>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</si>
  <si>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</si>
  <si>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</si>
  <si>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</si>
  <si>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</si>
  <si>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</si>
  <si>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</si>
  <si>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</si>
  <si>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</si>
  <si>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</si>
  <si>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</si>
  <si>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</si>
  <si>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</si>
  <si>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</si>
  <si>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</si>
  <si>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</si>
  <si>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</si>
  <si>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</si>
  <si>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</si>
  <si>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</si>
  <si>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</si>
  <si>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</si>
  <si>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</si>
  <si>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</si>
  <si>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</si>
  <si>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</si>
  <si>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</si>
  <si>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</si>
  <si>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</si>
  <si>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</si>
  <si>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</si>
  <si>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</si>
  <si>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</si>
  <si>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</si>
  <si>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</si>
  <si>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</si>
  <si>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</si>
  <si>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</si>
  <si>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</si>
  <si>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</si>
  <si>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</si>
  <si>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</si>
  <si>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</si>
  <si>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</si>
  <si>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</si>
  <si>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</si>
  <si>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</si>
  <si>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</si>
  <si>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</si>
  <si>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</si>
  <si>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</si>
  <si>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</si>
  <si>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</si>
  <si>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</si>
  <si>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</si>
  <si>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</si>
  <si>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</si>
  <si>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</si>
  <si>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</si>
  <si>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</si>
  <si>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</si>
  <si>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</si>
  <si>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</si>
  <si>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</si>
  <si>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</si>
  <si>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</si>
  <si>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</si>
  <si>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</si>
  <si>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</si>
  <si>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</si>
  <si>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</si>
  <si>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</si>
  <si>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</si>
  <si>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</si>
  <si>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</si>
  <si>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</si>
  <si>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</si>
  <si>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</si>
  <si>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</si>
  <si>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</si>
  <si>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</si>
  <si>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</si>
  <si>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</si>
  <si>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</si>
  <si>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</si>
  <si>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</si>
  <si>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</si>
  <si>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</si>
  <si>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</si>
  <si>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</si>
  <si>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</si>
  <si>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</si>
  <si>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</si>
  <si>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</si>
  <si>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</si>
  <si>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</si>
  <si>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</si>
  <si>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</si>
  <si>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</si>
  <si>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</si>
  <si>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</si>
  <si>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</si>
  <si>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</si>
  <si>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</si>
  <si>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</si>
  <si>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</si>
  <si>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</si>
  <si>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</si>
  <si>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</si>
  <si>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</si>
  <si>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</si>
  <si>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</si>
  <si>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</si>
  <si>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</si>
  <si>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</si>
  <si>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</si>
  <si>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</si>
  <si>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</si>
  <si>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</si>
  <si>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</si>
  <si>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</si>
  <si>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</si>
  <si>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</si>
  <si>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</si>
  <si>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</si>
  <si>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</si>
  <si>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</si>
  <si>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</si>
  <si>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</si>
  <si>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</si>
  <si>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</si>
  <si>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</si>
  <si>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</si>
  <si>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</si>
  <si>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</si>
  <si>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</si>
  <si>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</si>
  <si>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</si>
  <si>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</si>
  <si>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</si>
  <si>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</si>
  <si>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</si>
  <si>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</si>
  <si>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</si>
  <si>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</si>
  <si>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</si>
  <si>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</si>
  <si>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</si>
  <si>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</si>
  <si>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</si>
  <si>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</si>
  <si>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</si>
  <si>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</si>
  <si>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</si>
  <si>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</si>
  <si>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</si>
  <si>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</si>
  <si>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</si>
  <si>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</si>
  <si>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</si>
  <si>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</si>
  <si>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</si>
  <si>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</si>
  <si>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</si>
  <si>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</si>
  <si>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</si>
  <si>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</si>
  <si>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</si>
  <si>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</si>
  <si>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</si>
  <si>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</si>
  <si>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</si>
  <si>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</si>
  <si>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</si>
  <si>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</si>
  <si>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</si>
  <si>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</si>
  <si>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</si>
  <si>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</si>
  <si>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</si>
  <si>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</si>
  <si>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</si>
  <si>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</si>
  <si>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</si>
  <si>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</si>
  <si>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</si>
  <si>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</si>
  <si>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</si>
  <si>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</si>
  <si>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</si>
  <si>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</si>
  <si>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</si>
  <si>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</si>
  <si>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</si>
  <si>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</si>
  <si>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</si>
  <si>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</si>
  <si>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</si>
  <si>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</si>
  <si>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</si>
  <si>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</si>
  <si>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</si>
  <si>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</si>
  <si>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</si>
  <si>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</si>
  <si>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</si>
  <si>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</si>
  <si>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</si>
  <si>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</si>
  <si>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</si>
  <si>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</si>
  <si>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</si>
  <si>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</si>
  <si>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</si>
  <si>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</si>
  <si>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</si>
  <si>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</si>
  <si>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</si>
  <si>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</si>
  <si>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</si>
  <si>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</si>
  <si>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</si>
  <si>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</si>
  <si>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</si>
  <si>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</si>
  <si>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</si>
  <si>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</si>
  <si>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</si>
  <si>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</si>
  <si>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</si>
  <si>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</si>
  <si>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</si>
  <si>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</si>
  <si>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</si>
  <si>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</si>
  <si>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</si>
  <si>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</si>
  <si>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</si>
  <si>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</si>
  <si>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</si>
  <si>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</si>
  <si>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</si>
  <si>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</si>
  <si>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</si>
  <si>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</si>
  <si>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</si>
  <si>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</si>
  <si>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</si>
  <si>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</si>
  <si>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</si>
  <si>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</si>
  <si>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</si>
  <si>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</si>
  <si>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</si>
  <si>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</si>
  <si>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</si>
  <si>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</si>
  <si>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</si>
  <si>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</si>
  <si>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</si>
  <si>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</si>
  <si>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</si>
  <si>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</si>
  <si>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</si>
  <si>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</si>
  <si>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</si>
  <si>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</si>
  <si>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</si>
  <si>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</si>
  <si>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</si>
  <si>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</si>
  <si>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</si>
  <si>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</si>
  <si>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</si>
  <si>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</si>
  <si>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</si>
  <si>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</si>
  <si>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</si>
  <si>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</si>
  <si>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</si>
  <si>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</si>
  <si>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</si>
  <si>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</si>
  <si>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</si>
  <si>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</si>
  <si>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</si>
  <si>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</si>
  <si>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</si>
  <si>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</si>
  <si>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</si>
  <si>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</si>
  <si>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</si>
  <si>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</si>
  <si>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</si>
  <si>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</si>
  <si>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</si>
  <si>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</si>
  <si>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</si>
  <si>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</si>
  <si>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</si>
  <si>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</si>
  <si>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</si>
  <si>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</si>
  <si>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</si>
  <si>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</si>
  <si>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</si>
  <si>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</si>
  <si>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</si>
  <si>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</si>
  <si>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</si>
  <si>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</si>
  <si>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</si>
  <si>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</si>
  <si>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</si>
  <si>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</si>
  <si>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</si>
  <si>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</si>
  <si>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</si>
  <si>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</si>
  <si>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</si>
  <si>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</si>
  <si>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</si>
  <si>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</si>
  <si>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</si>
  <si>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</si>
  <si>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</si>
  <si>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</si>
  <si>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</si>
  <si>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</si>
  <si>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</si>
  <si>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</si>
  <si>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</si>
  <si>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</si>
  <si>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</si>
  <si>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</si>
  <si>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</si>
  <si>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</si>
  <si>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</si>
  <si>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</si>
  <si>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</si>
  <si>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</si>
  <si>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</si>
  <si>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</si>
  <si>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</si>
  <si>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</si>
  <si>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</si>
  <si>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</si>
  <si>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</si>
  <si>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</si>
  <si>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</si>
  <si>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</si>
  <si>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</si>
  <si>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</si>
  <si>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</si>
  <si>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</si>
  <si>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</si>
  <si>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</si>
  <si>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</si>
  <si>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</si>
  <si>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</si>
  <si>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</si>
  <si>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</si>
  <si>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</si>
  <si>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</si>
  <si>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</si>
  <si>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</si>
  <si>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</si>
  <si>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</si>
  <si>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</si>
  <si>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</si>
  <si>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</si>
  <si>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</si>
  <si>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</si>
  <si>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</si>
  <si>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</si>
  <si>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</si>
  <si>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</si>
  <si>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</si>
  <si>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</si>
  <si>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</si>
  <si>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</si>
  <si>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</si>
  <si>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</si>
  <si>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</si>
  <si>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</si>
  <si>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</si>
  <si>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</si>
  <si>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</si>
  <si>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</si>
  <si>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</si>
  <si>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</si>
  <si>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</si>
  <si>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</si>
  <si>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</si>
  <si>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</si>
  <si>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</si>
  <si>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</si>
  <si>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</si>
  <si>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</si>
  <si>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</si>
  <si>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</si>
  <si>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</si>
  <si>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</si>
  <si>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</si>
  <si>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</si>
  <si>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</si>
  <si>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</si>
  <si>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</si>
  <si>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</si>
  <si>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</si>
  <si>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</si>
  <si>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</si>
  <si>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</si>
  <si>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</si>
  <si>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</si>
  <si>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</si>
  <si>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</si>
  <si>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</si>
  <si>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</si>
  <si>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</si>
  <si>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</si>
  <si>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</si>
  <si>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</si>
  <si>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</si>
  <si>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</si>
  <si>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</si>
  <si>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</si>
  <si>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</si>
  <si>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</si>
  <si>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</si>
  <si>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</si>
  <si>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</si>
  <si>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</si>
  <si>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</si>
  <si>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</si>
  <si>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</si>
  <si>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</si>
  <si>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</si>
  <si>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</si>
  <si>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</si>
  <si>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</si>
  <si>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</si>
  <si>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</si>
  <si>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</si>
  <si>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</si>
  <si>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</si>
  <si>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</si>
  <si>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</si>
  <si>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</si>
  <si>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</si>
  <si>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</si>
  <si>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</si>
  <si>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</si>
  <si>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</si>
  <si>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</si>
  <si>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</si>
  <si>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</si>
  <si>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</si>
  <si>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</si>
  <si>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</si>
  <si>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</si>
  <si>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</si>
  <si>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</si>
  <si>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</si>
  <si>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</si>
  <si>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</si>
  <si>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</si>
  <si>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</si>
  <si>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</si>
  <si>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</si>
  <si>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</si>
  <si>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</si>
  <si>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</si>
  <si>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</si>
  <si>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</si>
  <si>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</si>
  <si>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</si>
  <si>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</si>
  <si>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</si>
  <si>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</si>
  <si>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</si>
  <si>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</si>
  <si>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</si>
  <si>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</si>
  <si>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</si>
  <si>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</si>
  <si>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</si>
  <si>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</si>
  <si>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</si>
  <si>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</si>
  <si>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</si>
  <si>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</si>
  <si>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</si>
  <si>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</si>
  <si>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</si>
  <si>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</si>
  <si>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</si>
  <si>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</si>
  <si>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</si>
  <si>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</si>
  <si>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</si>
  <si>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</si>
  <si>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</si>
  <si>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</si>
  <si>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</si>
  <si>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</si>
  <si>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</si>
  <si>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</si>
  <si>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</si>
  <si>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</si>
  <si>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</si>
  <si>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</si>
  <si>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</si>
  <si>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</si>
  <si>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</si>
  <si>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</si>
  <si>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</si>
  <si>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</si>
  <si>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</si>
  <si>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</si>
  <si>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</si>
  <si>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</si>
  <si>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</si>
  <si>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</si>
  <si>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</si>
  <si>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</si>
  <si>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</si>
  <si>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</si>
  <si>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</si>
  <si>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</si>
  <si>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</si>
  <si>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</si>
  <si>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</si>
  <si>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</si>
  <si>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</si>
  <si>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</si>
  <si>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</si>
  <si>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</si>
  <si>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</si>
  <si>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</si>
  <si>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</si>
  <si>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</si>
  <si>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</si>
  <si>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</si>
  <si>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</si>
  <si>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</si>
  <si>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</si>
  <si>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</si>
  <si>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</si>
  <si>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</si>
  <si>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</si>
  <si>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</si>
  <si>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</si>
  <si>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</si>
  <si>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</si>
  <si>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</si>
  <si>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</si>
  <si>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</si>
  <si>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</si>
  <si>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</si>
  <si>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</si>
  <si>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</si>
  <si>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</si>
  <si>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</si>
  <si>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</si>
  <si>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</si>
  <si>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</si>
  <si>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</si>
  <si>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</si>
  <si>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</si>
  <si>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</si>
  <si>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</si>
  <si>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</si>
  <si>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</si>
  <si>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</si>
  <si>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</si>
  <si>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</si>
  <si>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</si>
  <si>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</si>
  <si>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</si>
  <si>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</si>
  <si>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</si>
  <si>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</si>
  <si>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</si>
  <si>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</si>
  <si>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</si>
  <si>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</si>
  <si>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</si>
  <si>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</si>
  <si>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</si>
  <si>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</si>
  <si>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</si>
  <si>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</si>
  <si>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</si>
  <si>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</si>
  <si>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</si>
  <si>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</si>
  <si>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</si>
  <si>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</si>
  <si>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</si>
  <si>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</si>
  <si>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</si>
  <si>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</si>
  <si>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</si>
  <si>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</si>
  <si>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</si>
  <si>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</si>
  <si>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</si>
  <si>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</si>
  <si>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</si>
  <si>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</si>
  <si>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</si>
  <si>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</si>
  <si>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</si>
  <si>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</si>
  <si>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</si>
  <si>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</si>
  <si>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</si>
  <si>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</si>
  <si>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</si>
  <si>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</si>
  <si>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</si>
  <si>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</si>
  <si>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</si>
  <si>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</si>
  <si>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</si>
  <si>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</si>
  <si>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</si>
  <si>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</si>
  <si>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</si>
  <si>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</si>
  <si>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</si>
  <si>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</si>
  <si>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</si>
  <si>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</si>
  <si>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</si>
  <si>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</si>
  <si>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</si>
  <si>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</si>
  <si>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</si>
  <si>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</si>
  <si>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</si>
  <si>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</si>
  <si>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</si>
  <si>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</si>
  <si>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</si>
  <si>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</si>
  <si>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</si>
  <si>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</si>
  <si>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</si>
  <si>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</si>
  <si>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</si>
  <si>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</si>
  <si>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</si>
  <si>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</si>
  <si>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</si>
  <si>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</si>
  <si>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</si>
  <si>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</si>
  <si>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</si>
  <si>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</si>
  <si>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</si>
  <si>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</si>
  <si>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</si>
  <si>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</si>
  <si>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</si>
  <si>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</si>
  <si>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</si>
  <si>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</si>
  <si>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</si>
  <si>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</si>
  <si>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</si>
  <si>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</si>
  <si>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</si>
  <si>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</si>
  <si>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</si>
  <si>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</si>
  <si>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</si>
  <si>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</si>
  <si>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</si>
  <si>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</si>
  <si>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</si>
  <si>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</si>
  <si>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</si>
  <si>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</si>
  <si>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</si>
  <si>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</si>
  <si>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</si>
  <si>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</si>
  <si>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</si>
  <si>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</si>
  <si>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</si>
  <si>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</si>
  <si>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</si>
  <si>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</si>
  <si>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</si>
  <si>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</si>
  <si>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</si>
  <si>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</si>
  <si>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</si>
  <si>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</si>
  <si>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</si>
  <si>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</si>
  <si>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</si>
  <si>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</si>
  <si>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</si>
  <si>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</si>
  <si>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</si>
  <si>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</si>
  <si>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</si>
  <si>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</si>
  <si>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</si>
  <si>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</si>
  <si>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</si>
  <si>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</si>
  <si>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</si>
  <si>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</si>
  <si>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</si>
  <si>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</si>
  <si>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</si>
  <si>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</si>
  <si>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</si>
  <si>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</si>
  <si>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</si>
  <si>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</si>
  <si>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</si>
  <si>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</si>
  <si>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</si>
  <si>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</si>
  <si>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</si>
  <si>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</si>
  <si>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</si>
  <si>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</si>
  <si>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</si>
  <si>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</si>
  <si>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</si>
  <si>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</si>
  <si>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</si>
  <si>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</si>
  <si>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</si>
  <si>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</si>
  <si>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</si>
  <si>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</si>
  <si>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</si>
  <si>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</si>
  <si>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</si>
  <si>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</si>
  <si>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</si>
  <si>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</si>
  <si>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</si>
  <si>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</si>
  <si>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</si>
  <si>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</si>
  <si>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</si>
  <si>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</si>
  <si>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</si>
  <si>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</si>
  <si>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</si>
  <si>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</si>
  <si>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</si>
  <si>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</si>
  <si>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</si>
  <si>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</si>
  <si>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</si>
  <si>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</si>
  <si>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</si>
  <si>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</si>
  <si>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</si>
  <si>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</si>
  <si>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</si>
  <si>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</si>
  <si>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</si>
  <si>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</si>
  <si>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</si>
  <si>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</si>
  <si>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</si>
  <si>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</si>
  <si>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</si>
  <si>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</si>
  <si>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</si>
  <si>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</si>
  <si>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</si>
  <si>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</si>
  <si>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</si>
  <si>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</si>
  <si>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</si>
  <si>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</si>
  <si>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</si>
  <si>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</si>
  <si>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</si>
  <si>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</si>
  <si>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</si>
  <si>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</si>
  <si>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</si>
  <si>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</si>
  <si>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</si>
  <si>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</si>
  <si>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</si>
  <si>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</si>
  <si>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</si>
  <si>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</si>
  <si>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</si>
  <si>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</si>
  <si>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</si>
  <si>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</si>
  <si>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</si>
  <si>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</si>
  <si>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</si>
  <si>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</si>
  <si>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</si>
  <si>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</si>
  <si>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</si>
  <si>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</si>
  <si>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</si>
  <si>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</si>
  <si>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</si>
  <si>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</si>
  <si>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</si>
  <si>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</si>
  <si>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</si>
  <si>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</si>
  <si>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</si>
  <si>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</si>
  <si>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</si>
  <si>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</si>
  <si>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</si>
  <si>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</si>
  <si>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</si>
  <si>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</si>
  <si>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</si>
  <si>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</si>
  <si>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</si>
  <si>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</si>
  <si>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</si>
  <si>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</si>
  <si>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</si>
  <si>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</si>
  <si>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</si>
  <si>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</si>
  <si>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</si>
  <si>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</si>
  <si>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</si>
  <si>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</si>
  <si>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</si>
  <si>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</si>
  <si>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</si>
  <si>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</si>
  <si>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</si>
  <si>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</si>
  <si>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</si>
  <si>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</si>
  <si>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</si>
  <si>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</si>
  <si>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</si>
  <si>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</si>
  <si>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</si>
  <si>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</si>
  <si>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</si>
  <si>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</si>
  <si>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</si>
  <si>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</si>
  <si>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</si>
  <si>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</si>
  <si>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</si>
  <si>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</si>
  <si>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</si>
  <si>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</si>
  <si>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</si>
  <si>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</si>
  <si>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</si>
  <si>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</si>
  <si>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</si>
  <si>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</si>
  <si>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</si>
  <si>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</si>
  <si>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</si>
  <si>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</si>
  <si>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</si>
  <si>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</si>
  <si>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</si>
  <si>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</si>
  <si>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</si>
  <si>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</si>
  <si>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</si>
  <si>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</si>
  <si>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</si>
  <si>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</si>
  <si>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</si>
  <si>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</si>
  <si>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</si>
  <si>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</si>
  <si>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</si>
  <si>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</si>
  <si>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</si>
  <si>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</si>
  <si>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</si>
  <si>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</si>
  <si>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</si>
  <si>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</si>
  <si>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</si>
  <si>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</si>
  <si>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</si>
  <si>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</si>
  <si>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</si>
  <si>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</si>
  <si>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</si>
  <si>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</si>
  <si>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</si>
  <si>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</si>
  <si>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</si>
  <si>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</si>
  <si>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</si>
  <si>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</si>
  <si>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</si>
  <si>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</si>
  <si>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</si>
  <si>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</si>
  <si>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</si>
  <si>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</si>
  <si>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</si>
  <si>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</si>
  <si>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</si>
  <si>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</si>
  <si>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</si>
  <si>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</si>
  <si>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</si>
  <si>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</si>
  <si>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</si>
  <si>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</si>
  <si>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</si>
  <si>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</si>
  <si>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</si>
  <si>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</si>
  <si>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</si>
  <si>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</si>
  <si>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</si>
  <si>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</si>
  <si>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</si>
  <si>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</si>
  <si>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</si>
  <si>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</si>
  <si>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</si>
  <si>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</si>
  <si>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</si>
  <si>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</si>
  <si>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</si>
  <si>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</si>
  <si>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</si>
  <si>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</si>
  <si>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</si>
  <si>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</si>
  <si>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</si>
  <si>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</si>
  <si>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</si>
  <si>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</si>
  <si>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</si>
  <si>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</si>
  <si>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</si>
  <si>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</si>
  <si>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</si>
  <si>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</si>
  <si>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</si>
  <si>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</si>
  <si>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</si>
  <si>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</si>
  <si>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</si>
  <si>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</si>
  <si>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</si>
  <si>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</si>
  <si>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</si>
  <si>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</si>
  <si>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</si>
  <si>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</si>
  <si>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</si>
  <si>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</si>
  <si>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</si>
  <si>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</si>
  <si>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</si>
  <si>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</si>
  <si>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</si>
  <si>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</si>
  <si>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</si>
  <si>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</si>
  <si>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</si>
  <si>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</si>
  <si>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</si>
  <si>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</si>
  <si>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</si>
  <si>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</si>
  <si>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</si>
  <si>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</si>
  <si>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</si>
  <si>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</si>
  <si>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</si>
  <si>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</si>
  <si>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</si>
  <si>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</si>
  <si>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</si>
  <si>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</si>
  <si>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</si>
  <si>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</si>
  <si>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</si>
  <si>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</si>
  <si>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</si>
  <si>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</si>
  <si>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</si>
  <si>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</si>
  <si>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</si>
  <si>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</si>
  <si>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</si>
  <si>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</si>
  <si>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</si>
  <si>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</si>
  <si>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</si>
  <si>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</si>
  <si>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</si>
  <si>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</si>
  <si>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</si>
  <si>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</si>
  <si>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</si>
  <si>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</si>
  <si>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</si>
  <si>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</si>
  <si>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</si>
  <si>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</si>
  <si>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</si>
  <si>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</si>
  <si>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</si>
  <si>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</si>
  <si>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</si>
  <si>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</si>
  <si>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</si>
  <si>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</si>
  <si>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</si>
  <si>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</si>
  <si>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</si>
  <si>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</si>
  <si>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</si>
  <si>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</si>
  <si>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</si>
  <si>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</si>
  <si>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</si>
  <si>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</si>
  <si>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</si>
  <si>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</si>
  <si>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</si>
  <si>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</si>
  <si>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</si>
  <si>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</si>
  <si>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</si>
  <si>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</si>
  <si>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</si>
  <si>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</si>
  <si>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</si>
  <si>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</si>
  <si>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</si>
  <si>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</si>
  <si>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</si>
  <si>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</si>
  <si>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</si>
  <si>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</si>
  <si>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</si>
  <si>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</si>
  <si>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</si>
  <si>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</si>
  <si>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</si>
  <si>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</si>
  <si>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</si>
  <si>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</si>
  <si>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</si>
  <si>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</si>
  <si>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</si>
  <si>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</si>
  <si>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</si>
  <si>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</si>
  <si>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</si>
  <si>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</si>
  <si>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</si>
  <si>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</si>
  <si>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</si>
  <si>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</si>
  <si>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</si>
  <si>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</si>
  <si>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</si>
  <si>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</si>
  <si>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</si>
  <si>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</si>
  <si>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</si>
  <si>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</si>
  <si>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</si>
  <si>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</si>
  <si>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</si>
  <si>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</si>
  <si>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</si>
  <si>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</si>
  <si>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</si>
  <si>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</si>
  <si>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</si>
  <si>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</si>
  <si>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</si>
  <si>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</si>
  <si>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</si>
  <si>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</si>
  <si>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</si>
  <si>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</si>
  <si>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</si>
  <si>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</si>
  <si>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</si>
  <si>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</si>
  <si>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</si>
  <si>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</si>
  <si>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</si>
  <si>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</si>
  <si>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</si>
  <si>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</si>
  <si>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</si>
  <si>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</si>
  <si>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</si>
  <si>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</si>
  <si>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</si>
  <si>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</si>
  <si>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</si>
  <si>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</si>
  <si>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</si>
  <si>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</si>
  <si>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</si>
  <si>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</si>
  <si>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</si>
  <si>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</si>
  <si>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</si>
  <si>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</si>
  <si>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</si>
  <si>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</si>
  <si>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</si>
  <si>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</si>
  <si>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</si>
  <si>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</si>
  <si>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</si>
  <si>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</si>
  <si>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</si>
  <si>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</si>
  <si>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</si>
  <si>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</si>
  <si>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</si>
  <si>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</si>
  <si>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</si>
  <si>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</si>
  <si>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</si>
  <si>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</si>
  <si>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</si>
  <si>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</si>
  <si>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</si>
  <si>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</si>
  <si>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</si>
  <si>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</si>
  <si>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</si>
  <si>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</si>
  <si>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</si>
  <si>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</si>
  <si>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</si>
  <si>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</si>
  <si>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</si>
  <si>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</si>
  <si>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</si>
  <si>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</si>
  <si>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</si>
  <si>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</si>
  <si>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</si>
  <si>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</si>
  <si>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</si>
  <si>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</si>
  <si>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</si>
  <si>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</si>
  <si>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</si>
  <si>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</si>
  <si>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</si>
  <si>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</si>
  <si>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</si>
  <si>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</si>
  <si>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</si>
  <si>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</si>
  <si>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</si>
  <si>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</si>
  <si>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</si>
  <si>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</si>
  <si>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</si>
  <si>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</si>
  <si>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</si>
  <si>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</si>
  <si>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</si>
  <si>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</si>
  <si>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</si>
  <si>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</si>
  <si>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</si>
  <si>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</si>
  <si>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</si>
  <si>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</si>
  <si>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</si>
  <si>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</si>
  <si>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</si>
  <si>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</si>
  <si>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</si>
  <si>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</si>
  <si>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</si>
  <si>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</si>
  <si>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</si>
  <si>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</si>
  <si>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</si>
  <si>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</si>
  <si>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</si>
  <si>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</si>
  <si>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</si>
  <si>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</si>
  <si>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</si>
  <si>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</si>
  <si>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</si>
  <si>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</si>
  <si>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</si>
  <si>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</si>
  <si>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</si>
  <si>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</si>
  <si>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</si>
  <si>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</si>
  <si>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</si>
  <si>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</si>
  <si>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</si>
  <si>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</si>
  <si>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</si>
  <si>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</si>
  <si>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</si>
  <si>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</si>
  <si>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</si>
  <si>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</si>
  <si>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</si>
  <si>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</si>
  <si>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</si>
  <si>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</si>
  <si>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</si>
  <si>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</si>
  <si>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</si>
  <si>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</si>
  <si>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</si>
  <si>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</si>
  <si>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</si>
  <si>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</si>
  <si>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</si>
  <si>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</si>
  <si>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</si>
  <si>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</si>
  <si>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</si>
  <si>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</si>
  <si>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</si>
  <si>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</si>
  <si>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</si>
  <si>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</si>
  <si>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</si>
  <si>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</si>
  <si>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</si>
  <si>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</si>
  <si>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</si>
  <si>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</si>
  <si>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</si>
  <si>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</si>
  <si>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</si>
  <si>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</si>
  <si>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</si>
  <si>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</si>
  <si>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</si>
  <si>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</si>
  <si>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</si>
  <si>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</si>
  <si>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</si>
  <si>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</si>
  <si>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</si>
  <si>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</si>
  <si>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</si>
  <si>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</si>
  <si>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</si>
  <si>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</si>
  <si>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</si>
  <si>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</si>
  <si>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</si>
  <si>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</si>
  <si>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</si>
  <si>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</si>
  <si>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</si>
  <si>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</si>
  <si>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</si>
  <si>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</si>
  <si>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</si>
  <si>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</si>
  <si>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</si>
  <si>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</si>
  <si>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</si>
  <si>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</si>
  <si>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</si>
  <si>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</si>
  <si>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</si>
  <si>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</si>
  <si>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</si>
  <si>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</si>
  <si>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</si>
  <si>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</si>
  <si>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</si>
  <si>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</si>
  <si>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</si>
  <si>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</si>
  <si>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</si>
  <si>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</si>
  <si>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</si>
  <si>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</si>
  <si>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</si>
  <si>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</si>
  <si>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</si>
  <si>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</si>
  <si>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</si>
  <si>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</si>
  <si>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</si>
  <si>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</si>
  <si>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</si>
  <si>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</si>
  <si>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</si>
  <si>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</si>
  <si>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</si>
  <si>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</si>
  <si>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</si>
  <si>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</si>
  <si>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</si>
  <si>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</si>
  <si>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</si>
  <si>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</si>
  <si>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</si>
  <si>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</si>
  <si>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</si>
  <si>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</si>
  <si>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</si>
  <si>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</si>
  <si>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</si>
  <si>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</si>
  <si>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</si>
  <si>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</si>
  <si>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</si>
  <si>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</si>
  <si>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</si>
  <si>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</si>
  <si>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</si>
  <si>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</si>
  <si>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</si>
  <si>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</si>
  <si>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</si>
  <si>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</si>
  <si>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</si>
  <si>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</si>
  <si>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</si>
  <si>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</si>
  <si>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</si>
  <si>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</si>
  <si>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</si>
  <si>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</si>
  <si>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</si>
  <si>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</si>
  <si>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</si>
  <si>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</si>
  <si>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</si>
  <si>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</si>
  <si>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</si>
  <si>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</si>
  <si>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</si>
  <si>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</si>
  <si>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</si>
  <si>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</si>
  <si>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</si>
  <si>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</si>
  <si>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</si>
  <si>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</si>
  <si>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</si>
  <si>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</si>
  <si>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</si>
  <si>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</si>
  <si>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</si>
  <si>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</si>
  <si>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</si>
  <si>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</si>
  <si>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</si>
  <si>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</si>
  <si>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</si>
  <si>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</si>
  <si>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</si>
  <si>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</si>
  <si>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</si>
  <si>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</si>
  <si>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</si>
  <si>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</si>
  <si>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</si>
  <si>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</si>
  <si>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</si>
  <si>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</si>
  <si>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</si>
  <si>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</si>
  <si>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</si>
  <si>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</si>
  <si>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</si>
  <si>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</si>
  <si>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</si>
  <si>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</si>
  <si>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</si>
  <si>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</si>
  <si>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</si>
  <si>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</si>
  <si>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</si>
  <si>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</si>
  <si>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</si>
  <si>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</si>
  <si>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</si>
  <si>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</si>
  <si>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</si>
  <si>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</si>
  <si>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</si>
  <si>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</si>
  <si>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</si>
  <si>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</si>
  <si>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</si>
  <si>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</si>
  <si>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</si>
  <si>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</si>
  <si>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</si>
  <si>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</si>
  <si>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</si>
  <si>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</si>
  <si>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</si>
  <si>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</si>
  <si>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</si>
  <si>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</si>
  <si>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</si>
  <si>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</si>
  <si>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</si>
  <si>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</si>
  <si>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</si>
  <si>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</si>
  <si>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</si>
  <si>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</si>
  <si>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</si>
  <si>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</si>
  <si>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</si>
  <si>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</si>
  <si>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</si>
  <si>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</si>
  <si>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</si>
  <si>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</si>
  <si>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</si>
  <si>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</si>
  <si>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</si>
  <si>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</si>
  <si>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</si>
  <si>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</si>
  <si>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</si>
  <si>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</si>
  <si>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</si>
  <si>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</si>
  <si>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</si>
  <si>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</si>
  <si>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</si>
  <si>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</si>
  <si>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</si>
  <si>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</si>
  <si>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</si>
  <si>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</si>
  <si>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</si>
  <si>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</si>
  <si>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</si>
  <si>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</si>
  <si>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</si>
  <si>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</si>
  <si>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</si>
  <si>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</si>
  <si>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</si>
  <si>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</si>
  <si>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</si>
  <si>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</si>
  <si>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</si>
  <si>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</si>
  <si>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</si>
  <si>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</si>
  <si>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</si>
  <si>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</si>
  <si>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</si>
  <si>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</si>
  <si>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</si>
  <si>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</si>
  <si>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</si>
  <si>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</si>
  <si>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</si>
  <si>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</si>
  <si>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</si>
  <si>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</si>
  <si>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</si>
  <si>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</si>
  <si>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</si>
  <si>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</si>
  <si>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</si>
  <si>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</si>
  <si>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</si>
  <si>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</si>
  <si>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</si>
  <si>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</si>
  <si>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</si>
  <si>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</si>
  <si>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</si>
  <si>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</si>
  <si>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</si>
  <si>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</si>
  <si>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</si>
  <si>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</si>
  <si>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</si>
  <si>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</si>
  <si>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</si>
  <si>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</si>
  <si>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</si>
  <si>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</si>
  <si>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</si>
  <si>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</si>
  <si>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</si>
  <si>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</si>
  <si>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</si>
  <si>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</si>
  <si>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</si>
  <si>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</si>
  <si>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</si>
  <si>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</si>
  <si>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</si>
  <si>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</si>
  <si>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</si>
  <si>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</si>
  <si>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</si>
  <si>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</si>
  <si>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</si>
  <si>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</si>
  <si>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</si>
  <si>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</si>
  <si>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</si>
  <si>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</si>
  <si>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</si>
  <si>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</si>
  <si>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</si>
  <si>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</si>
  <si>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</si>
  <si>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</si>
  <si>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</si>
  <si>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</si>
  <si>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</si>
  <si>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</si>
  <si>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</si>
  <si>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</si>
  <si>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</si>
  <si>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</si>
  <si>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</si>
  <si>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</si>
  <si>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</si>
  <si>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</si>
  <si>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</si>
  <si>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</si>
  <si>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</si>
  <si>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</si>
  <si>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</si>
  <si>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</si>
  <si>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</si>
  <si>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</si>
  <si>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</si>
  <si>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</si>
  <si>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</si>
  <si>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</si>
  <si>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</si>
  <si>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</si>
  <si>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</si>
  <si>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</si>
  <si>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</si>
  <si>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</si>
  <si>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</si>
  <si>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</si>
  <si>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</si>
  <si>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</si>
  <si>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</si>
  <si>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</si>
  <si>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</si>
  <si>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</si>
  <si>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</si>
  <si>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</si>
  <si>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</si>
  <si>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</si>
  <si>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</si>
  <si>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</si>
  <si>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</si>
  <si>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</si>
  <si>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</si>
  <si>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</si>
  <si>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</si>
  <si>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</si>
  <si>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</si>
  <si>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</si>
  <si>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</si>
  <si>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</si>
  <si>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</si>
  <si>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</si>
  <si>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</si>
  <si>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</si>
  <si>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</si>
  <si>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</si>
  <si>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</si>
  <si>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</si>
  <si>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</si>
  <si>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</si>
  <si>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</si>
  <si>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</si>
  <si>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</si>
  <si>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</si>
  <si>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</si>
  <si>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</si>
  <si>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</si>
  <si>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</si>
  <si>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</si>
  <si>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</si>
  <si>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</si>
  <si>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</si>
  <si>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</si>
  <si>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</si>
  <si>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</si>
  <si>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</si>
  <si>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</si>
  <si>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</si>
  <si>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</si>
  <si>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</si>
  <si>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</si>
  <si>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</si>
  <si>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</si>
  <si>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</si>
  <si>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</si>
  <si>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</si>
  <si>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</si>
  <si>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</si>
  <si>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</si>
  <si>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</si>
  <si>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</si>
  <si>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</si>
  <si>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</si>
  <si>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</si>
  <si>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</si>
  <si>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</si>
  <si>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</si>
  <si>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</si>
  <si>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</si>
  <si>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</si>
  <si>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</si>
  <si>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</si>
  <si>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</si>
  <si>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</si>
  <si>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</si>
  <si>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</si>
  <si>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</si>
  <si>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</si>
  <si>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</si>
  <si>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</si>
  <si>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</si>
  <si>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</si>
  <si>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</si>
  <si>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</si>
  <si>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</si>
  <si>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</si>
  <si>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</si>
  <si>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</si>
  <si>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</si>
  <si>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</si>
  <si>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</si>
  <si>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</si>
  <si>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</si>
  <si>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</si>
  <si>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</si>
  <si>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</si>
  <si>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</si>
  <si>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</si>
  <si>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</si>
  <si>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</si>
  <si>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</si>
  <si>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</si>
  <si>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</si>
  <si>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</si>
  <si>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</si>
  <si>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</si>
  <si>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</si>
  <si>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</si>
  <si>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</si>
  <si>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</si>
  <si>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</si>
  <si>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</si>
  <si>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</si>
  <si>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</si>
  <si>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</si>
  <si>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</si>
  <si>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</si>
  <si>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</si>
  <si>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</si>
  <si>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</si>
  <si>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</si>
  <si>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</si>
  <si>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</si>
  <si>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</si>
  <si>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</si>
  <si>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</si>
  <si>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</si>
  <si>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</si>
  <si>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</si>
  <si>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</si>
  <si>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</si>
  <si>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</si>
  <si>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</si>
  <si>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</si>
  <si>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</si>
  <si>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</si>
  <si>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</si>
  <si>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</si>
  <si>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</si>
  <si>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</si>
  <si>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</si>
  <si>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</si>
  <si>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</si>
  <si>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</si>
  <si>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</si>
  <si>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</si>
  <si>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</si>
  <si>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</si>
  <si>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</si>
  <si>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</si>
  <si>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</si>
  <si>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</si>
  <si>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</si>
  <si>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</si>
  <si>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</si>
  <si>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</si>
  <si>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</si>
  <si>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</si>
  <si>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</si>
  <si>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</si>
  <si>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</si>
  <si>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</si>
  <si>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</si>
  <si>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</si>
  <si>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</si>
  <si>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</si>
  <si>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</si>
  <si>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</si>
  <si>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</si>
  <si>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</si>
  <si>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</si>
  <si>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</si>
  <si>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</si>
  <si>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</si>
  <si>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</si>
  <si>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</si>
  <si>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</si>
  <si>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</si>
  <si>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</si>
  <si>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</si>
  <si>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</si>
  <si>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</si>
  <si>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</si>
  <si>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</si>
  <si>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</si>
  <si>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</si>
  <si>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</si>
  <si>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</si>
  <si>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</si>
  <si>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</si>
  <si>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</si>
  <si>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</si>
  <si>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</si>
  <si>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</si>
  <si>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</si>
  <si>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</si>
  <si>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</si>
  <si>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</si>
  <si>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</si>
  <si>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</si>
  <si>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</si>
  <si>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</si>
  <si>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</si>
  <si>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</si>
  <si>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</si>
  <si>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</si>
  <si>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</si>
  <si>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</si>
  <si>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</si>
  <si>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</si>
  <si>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</si>
  <si>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</si>
  <si>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</si>
  <si>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</si>
  <si>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</si>
  <si>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</si>
  <si>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</si>
  <si>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</si>
  <si>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</si>
  <si>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</si>
  <si>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</si>
  <si>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</si>
  <si>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</si>
  <si>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</si>
  <si>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</si>
  <si>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</si>
  <si>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</si>
  <si>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</si>
  <si>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</si>
  <si>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</si>
  <si>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</si>
  <si>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</si>
  <si>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</si>
  <si>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</si>
  <si>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</si>
  <si>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</si>
  <si>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</si>
  <si>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</si>
  <si>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</si>
  <si>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</si>
  <si>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</si>
  <si>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</si>
  <si>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</si>
  <si>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</si>
  <si>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</si>
  <si>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</si>
  <si>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</si>
  <si>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</si>
  <si>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</si>
  <si>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</si>
  <si>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</si>
  <si>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</si>
  <si>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</si>
  <si>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</si>
  <si>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</si>
  <si>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</si>
  <si>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</si>
  <si>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</si>
  <si>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</si>
  <si>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</si>
  <si>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</si>
  <si>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</si>
  <si>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</si>
  <si>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</si>
  <si>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</si>
  <si>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</si>
  <si>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</si>
  <si>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</si>
  <si>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</si>
  <si>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</si>
  <si>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</si>
  <si>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</si>
  <si>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</si>
  <si>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</si>
  <si>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</si>
  <si>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</si>
  <si>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</si>
  <si>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</si>
  <si>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</si>
  <si>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</si>
  <si>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</si>
  <si>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</si>
  <si>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</si>
  <si>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</si>
  <si>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</si>
  <si>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</si>
  <si>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</si>
  <si>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</si>
  <si>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</si>
  <si>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</si>
  <si>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</si>
  <si>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</si>
  <si>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</si>
  <si>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</si>
  <si>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</si>
  <si>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</si>
  <si>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</si>
  <si>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</si>
  <si>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</si>
  <si>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</si>
  <si>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</si>
  <si>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</si>
  <si>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</si>
  <si>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</si>
  <si>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</si>
  <si>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</si>
  <si>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</si>
  <si>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</si>
  <si>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</si>
  <si>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</si>
  <si>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</si>
  <si>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</si>
  <si>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</si>
  <si>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</si>
  <si>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</si>
  <si>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</si>
  <si>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</si>
  <si>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</si>
  <si>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</si>
  <si>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</si>
  <si>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</si>
  <si>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</si>
  <si>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</si>
  <si>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</si>
  <si>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</si>
  <si>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</si>
  <si>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</si>
  <si>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</si>
  <si>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</si>
  <si>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</si>
  <si>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</si>
  <si>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</si>
  <si>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</si>
  <si>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</si>
  <si>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</si>
  <si>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</si>
  <si>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</si>
  <si>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</si>
  <si>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</si>
  <si>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</si>
  <si>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</si>
  <si>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</si>
  <si>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</si>
  <si>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</si>
  <si>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</si>
  <si>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</si>
  <si>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</si>
  <si>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</si>
  <si>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</si>
  <si>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</si>
  <si>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</si>
  <si>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</si>
  <si>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</si>
  <si>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</si>
  <si>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</si>
  <si>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</si>
  <si>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</si>
  <si>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</si>
  <si>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</si>
  <si>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</si>
  <si>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</si>
  <si>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</si>
  <si>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</si>
  <si>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</si>
  <si>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</si>
  <si>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</si>
  <si>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</si>
  <si>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</si>
  <si>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</si>
  <si>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</si>
  <si>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</si>
  <si>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</si>
  <si>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</si>
  <si>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</si>
  <si>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</si>
  <si>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</si>
  <si>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</si>
  <si>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</si>
  <si>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</si>
  <si>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</si>
  <si>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</si>
  <si>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</si>
  <si>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</si>
  <si>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</si>
  <si>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</si>
  <si>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</si>
  <si>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</si>
  <si>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</si>
  <si>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</si>
  <si>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</si>
  <si>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</si>
  <si>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</si>
  <si>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</si>
  <si>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</si>
  <si>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</si>
  <si>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</si>
  <si>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</si>
  <si>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</si>
  <si>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</si>
  <si>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</si>
  <si>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</si>
  <si>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</si>
  <si>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</si>
  <si>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</si>
  <si>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</si>
  <si>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</si>
  <si>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</si>
  <si>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</si>
  <si>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</si>
  <si>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</si>
  <si>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</si>
  <si>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</si>
  <si>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</si>
  <si>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</si>
  <si>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</si>
  <si>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</si>
  <si>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</si>
  <si>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</si>
  <si>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</si>
  <si>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</si>
  <si>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</si>
  <si>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</si>
  <si>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</si>
  <si>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</si>
  <si>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</si>
  <si>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</si>
  <si>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</si>
  <si>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</si>
  <si>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</si>
  <si>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</si>
  <si>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</si>
  <si>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</si>
  <si>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</si>
  <si>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</si>
  <si>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</si>
  <si>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</si>
  <si>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</si>
  <si>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</si>
  <si>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</si>
  <si>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</si>
  <si>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</si>
  <si>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</si>
  <si>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</si>
  <si>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</si>
  <si>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</si>
  <si>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</si>
  <si>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</si>
  <si>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</si>
  <si>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</si>
  <si>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</si>
  <si>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</si>
  <si>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</si>
  <si>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</si>
  <si>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</si>
  <si>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</si>
  <si>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</si>
  <si>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</si>
  <si>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</si>
  <si>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</si>
  <si>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</si>
  <si>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</si>
  <si>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</si>
  <si>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</si>
  <si>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</si>
  <si>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</si>
  <si>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</si>
  <si>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</si>
  <si>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</si>
  <si>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</si>
  <si>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</si>
  <si>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</si>
  <si>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</si>
  <si>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</si>
  <si>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</si>
  <si>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</si>
  <si>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</si>
  <si>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</si>
  <si>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</si>
  <si>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</si>
  <si>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</si>
  <si>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</si>
  <si>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</si>
  <si>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</si>
  <si>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</si>
  <si>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</si>
  <si>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</si>
  <si>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</si>
  <si>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</si>
  <si>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</si>
  <si>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</si>
  <si>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</si>
  <si>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</si>
  <si>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</si>
  <si>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</si>
  <si>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</si>
  <si>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</si>
  <si>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</si>
  <si>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</si>
  <si>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</si>
  <si>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</si>
  <si>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</si>
  <si>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</si>
  <si>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</si>
  <si>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</si>
  <si>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</si>
  <si>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</si>
  <si>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</si>
  <si>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</si>
  <si>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</si>
  <si>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</si>
  <si>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</si>
  <si>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</si>
  <si>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</si>
  <si>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</si>
  <si>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</si>
  <si>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</si>
  <si>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</si>
  <si>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</si>
  <si>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</si>
  <si>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</si>
  <si>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</si>
  <si>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</si>
  <si>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</si>
  <si>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</si>
  <si>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</si>
  <si>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</si>
  <si>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</si>
  <si>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</si>
  <si>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</si>
  <si>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</si>
  <si>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</si>
  <si>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</si>
  <si>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</si>
  <si>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</si>
  <si>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</si>
  <si>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</si>
  <si>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</si>
  <si>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</si>
  <si>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</si>
  <si>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</si>
  <si>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</si>
  <si>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</si>
  <si>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</si>
  <si>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</si>
  <si>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</si>
  <si>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</si>
  <si>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</si>
  <si>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</si>
  <si>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</si>
  <si>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</si>
  <si>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</si>
  <si>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</si>
  <si>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</si>
  <si>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</si>
  <si>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</si>
  <si>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</si>
  <si>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</si>
  <si>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</si>
  <si>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</si>
  <si>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</si>
  <si>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</si>
  <si>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</si>
  <si>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</si>
  <si>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</si>
  <si>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</si>
  <si>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</si>
  <si>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</si>
  <si>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</si>
  <si>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</si>
  <si>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</si>
  <si>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</si>
  <si>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</si>
  <si>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</si>
  <si>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</si>
  <si>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</si>
  <si>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</si>
  <si>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</si>
  <si>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</si>
  <si>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</si>
  <si>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</si>
  <si>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</si>
  <si>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</si>
  <si>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</si>
  <si>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</si>
  <si>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</si>
  <si>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</si>
  <si>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</si>
  <si>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</si>
  <si>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</si>
  <si>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</si>
  <si>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</si>
  <si>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</si>
  <si>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</si>
  <si>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</si>
  <si>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</si>
  <si>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</si>
  <si>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</si>
  <si>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</si>
  <si>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</si>
  <si>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</si>
  <si>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</si>
  <si>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</si>
  <si>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</si>
  <si>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</si>
  <si>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</si>
  <si>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</si>
  <si>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</si>
  <si>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</si>
  <si>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</si>
  <si>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</si>
  <si>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</si>
  <si>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</si>
  <si>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</si>
  <si>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</si>
  <si>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</si>
  <si>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</si>
  <si>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</si>
  <si>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</si>
  <si>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</si>
  <si>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</si>
  <si>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</si>
  <si>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</si>
  <si>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</si>
  <si>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</si>
  <si>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</si>
  <si>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</si>
  <si>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</si>
  <si>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</si>
  <si>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</si>
  <si>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</si>
  <si>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</si>
  <si>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</si>
  <si>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</si>
  <si>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</si>
  <si>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</si>
  <si>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</si>
  <si>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</si>
  <si>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</si>
  <si>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</si>
  <si>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</si>
  <si>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</si>
  <si>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</si>
  <si>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</si>
  <si>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</si>
  <si>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</si>
  <si>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</si>
  <si>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</si>
  <si>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</si>
  <si>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</si>
  <si>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</si>
  <si>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</si>
  <si>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</si>
  <si>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</si>
  <si>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</si>
  <si>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</si>
  <si>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</si>
  <si>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</si>
  <si>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</si>
  <si>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</si>
  <si>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</si>
  <si>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</si>
  <si>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</si>
  <si>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</si>
  <si>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</si>
  <si>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</si>
  <si>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</si>
  <si>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</si>
  <si>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</si>
  <si>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</si>
  <si>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</si>
  <si>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</si>
  <si>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</si>
  <si>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</si>
  <si>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</si>
  <si>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</si>
  <si>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</si>
  <si>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</si>
  <si>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</si>
  <si>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</si>
  <si>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</si>
  <si>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</si>
  <si>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</si>
  <si>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</si>
  <si>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</si>
  <si>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</si>
  <si>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</si>
  <si>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</si>
  <si>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</si>
  <si>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</si>
  <si>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</si>
  <si>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</si>
  <si>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</si>
  <si>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</si>
  <si>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</si>
  <si>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</si>
  <si>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</si>
  <si>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</si>
  <si>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</si>
  <si>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</si>
  <si>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</si>
  <si>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</si>
  <si>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</si>
  <si>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</si>
  <si>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</si>
  <si>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</si>
  <si>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</si>
  <si>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</si>
  <si>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</si>
  <si>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</si>
  <si>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</si>
  <si>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</si>
  <si>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</si>
  <si>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</si>
  <si>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</si>
  <si>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</si>
  <si>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</si>
  <si>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</si>
  <si>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</si>
  <si>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</si>
  <si>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</si>
  <si>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</si>
  <si>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</si>
  <si>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</si>
  <si>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</si>
  <si>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</si>
  <si>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</si>
  <si>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</si>
  <si>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</si>
  <si>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</si>
  <si>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</si>
  <si>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</si>
  <si>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</si>
  <si>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</si>
  <si>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</si>
  <si>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</si>
  <si>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</si>
  <si>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</si>
  <si>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</si>
  <si>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</si>
  <si>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</si>
  <si>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</si>
  <si>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</si>
  <si>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</si>
  <si>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</si>
  <si>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</si>
  <si>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</si>
  <si>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</si>
  <si>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</si>
  <si>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</si>
  <si>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</si>
  <si>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</si>
  <si>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</si>
  <si>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</si>
  <si>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</si>
  <si>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</si>
  <si>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</si>
  <si>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</si>
  <si>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</si>
  <si>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</si>
  <si>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</si>
  <si>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</si>
  <si>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</si>
  <si>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</si>
  <si>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</si>
  <si>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</si>
  <si>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</si>
  <si>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</si>
  <si>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</si>
  <si>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</si>
  <si>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</si>
  <si>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</si>
  <si>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</si>
  <si>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</si>
  <si>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</si>
  <si>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</si>
  <si>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</si>
  <si>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</si>
  <si>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</si>
  <si>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</si>
  <si>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</si>
  <si>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</si>
  <si>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</si>
  <si>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</si>
  <si>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</si>
  <si>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</si>
  <si>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</si>
  <si>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</si>
  <si>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</si>
  <si>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</si>
  <si>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</si>
  <si>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</si>
  <si>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</si>
  <si>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</si>
  <si>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</si>
  <si>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</si>
  <si>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</si>
  <si>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</si>
  <si>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</si>
  <si>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</si>
  <si>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</si>
  <si>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</si>
  <si>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</si>
  <si>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</si>
  <si>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</si>
  <si>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</si>
  <si>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</si>
  <si>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</si>
  <si>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</si>
  <si>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</si>
  <si>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</si>
  <si>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</si>
  <si>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</si>
  <si>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</si>
  <si>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</si>
  <si>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</si>
  <si>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</si>
  <si>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</si>
  <si>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</si>
  <si>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</si>
  <si>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</si>
  <si>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</si>
  <si>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</si>
  <si>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</si>
  <si>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</si>
  <si>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</si>
  <si>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</si>
  <si>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</si>
  <si>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</si>
  <si>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</si>
  <si>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</si>
  <si>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</si>
  <si>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</si>
  <si>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</si>
  <si>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</si>
  <si>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</si>
  <si>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</si>
  <si>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</si>
  <si>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</si>
  <si>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</si>
  <si>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</si>
  <si>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</si>
  <si>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</si>
  <si>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</si>
  <si>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</si>
  <si>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</si>
  <si>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</si>
  <si>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</si>
  <si>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</si>
  <si>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</si>
  <si>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</si>
  <si>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</si>
  <si>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</si>
  <si>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</si>
  <si>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</si>
  <si>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</si>
  <si>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</si>
  <si>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</si>
  <si>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</si>
  <si>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</si>
  <si>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</si>
  <si>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</si>
  <si>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</si>
  <si>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</si>
  <si>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</si>
  <si>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</si>
  <si>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</si>
  <si>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</si>
  <si>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</si>
  <si>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</si>
  <si>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</si>
  <si>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</si>
  <si>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</si>
  <si>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</si>
  <si>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</si>
  <si>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</si>
  <si>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</si>
  <si>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</si>
  <si>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</si>
  <si>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</si>
  <si>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</si>
  <si>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</si>
  <si>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</si>
  <si>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</si>
  <si>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</si>
  <si>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</si>
  <si>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</si>
  <si>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</si>
  <si>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</si>
  <si>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</si>
  <si>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</si>
  <si>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</si>
  <si>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</si>
  <si>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</si>
  <si>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</si>
  <si>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</si>
  <si>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</si>
  <si>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</si>
  <si>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</si>
  <si>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</si>
  <si>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</si>
  <si>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</si>
  <si>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</si>
  <si>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</si>
  <si>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</si>
  <si>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</si>
  <si>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</si>
  <si>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</si>
  <si>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</si>
  <si>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</si>
  <si>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</si>
  <si>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</si>
  <si>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</si>
  <si>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</si>
  <si>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</si>
  <si>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</si>
  <si>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</si>
  <si>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</si>
  <si>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</si>
  <si>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</si>
  <si>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</si>
  <si>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</si>
  <si>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</si>
  <si>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</si>
  <si>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</si>
  <si>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</si>
  <si>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</si>
  <si>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</si>
  <si>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</si>
  <si>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</si>
  <si>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</si>
  <si>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</si>
  <si>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</si>
  <si>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</si>
  <si>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</si>
  <si>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</si>
  <si>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</si>
  <si>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</si>
  <si>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</si>
  <si>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</si>
  <si>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</si>
  <si>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</si>
  <si>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</si>
  <si>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</si>
  <si>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</si>
  <si>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</si>
  <si>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</si>
  <si>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</si>
  <si>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</si>
  <si>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</si>
  <si>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</si>
  <si>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</si>
  <si>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</si>
  <si>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</si>
  <si>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</si>
  <si>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</si>
  <si>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</si>
  <si>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</si>
  <si>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</si>
  <si>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</si>
  <si>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</si>
  <si>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</si>
  <si>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</si>
  <si>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</si>
  <si>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</si>
  <si>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</si>
  <si>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</si>
  <si>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</si>
  <si>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</si>
  <si>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</si>
  <si>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</si>
  <si>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</si>
  <si>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</si>
  <si>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</si>
  <si>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</si>
  <si>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</si>
  <si>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</si>
  <si>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</si>
  <si>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</si>
  <si>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</si>
  <si>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</si>
  <si>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</si>
  <si>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</si>
  <si>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</si>
  <si>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</si>
  <si>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</si>
  <si>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</si>
  <si>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</si>
  <si>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</si>
  <si>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</si>
  <si>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</si>
  <si>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</si>
  <si>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</si>
  <si>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</si>
  <si>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</si>
  <si>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</si>
  <si>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</si>
  <si>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</si>
  <si>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</si>
  <si>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</si>
  <si>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</si>
  <si>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</si>
  <si>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</si>
  <si>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</si>
  <si>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</si>
  <si>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</si>
  <si>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</si>
  <si>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</si>
  <si>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</si>
  <si>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</si>
  <si>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</si>
  <si>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</si>
  <si>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</si>
  <si>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</si>
  <si>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</si>
  <si>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</si>
  <si>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</si>
  <si>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</si>
  <si>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</si>
  <si>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</si>
  <si>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</si>
  <si>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</si>
  <si>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</si>
  <si>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</si>
  <si>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</si>
  <si>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</si>
  <si>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</si>
  <si>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</si>
  <si>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</si>
  <si>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</si>
  <si>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</si>
  <si>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</si>
  <si>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</si>
  <si>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</si>
  <si>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</si>
  <si>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</si>
  <si>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</si>
  <si>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</si>
  <si>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</si>
  <si>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</si>
  <si>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</si>
  <si>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</si>
  <si>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</si>
  <si>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</si>
  <si>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</si>
  <si>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</si>
  <si>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</si>
  <si>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</si>
  <si>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</si>
  <si>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</si>
  <si>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</si>
  <si>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</si>
  <si>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</si>
  <si>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</si>
  <si>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</si>
  <si>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</si>
  <si>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</si>
  <si>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</si>
  <si>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</si>
  <si>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</si>
  <si>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</si>
  <si>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</si>
  <si>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</si>
  <si>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</si>
  <si>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</si>
  <si>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</si>
  <si>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</si>
  <si>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</si>
  <si>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</si>
  <si>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</si>
  <si>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</si>
  <si>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</si>
  <si>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</si>
  <si>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</si>
  <si>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</si>
  <si>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</si>
  <si>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</si>
  <si>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</si>
  <si>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</si>
  <si>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</si>
  <si>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</si>
  <si>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</si>
  <si>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</si>
  <si>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</si>
  <si>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</si>
  <si>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</si>
  <si>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</si>
  <si>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</si>
  <si>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</si>
  <si>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</si>
  <si>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</si>
  <si>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</si>
  <si>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</si>
  <si>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</si>
  <si>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</si>
  <si>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</si>
  <si>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</si>
  <si>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</si>
  <si>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</si>
  <si>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</si>
  <si>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</si>
  <si>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</si>
  <si>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</si>
  <si>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</si>
  <si>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</si>
  <si>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</si>
  <si>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</si>
  <si>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</si>
  <si>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</si>
  <si>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</si>
  <si>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</si>
  <si>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</si>
  <si>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</si>
  <si>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</si>
  <si>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</si>
  <si>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</si>
  <si>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</si>
  <si>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</si>
  <si>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</si>
  <si>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</si>
  <si>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</si>
  <si>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</si>
  <si>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</si>
  <si>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</si>
  <si>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</si>
  <si>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</si>
  <si>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</si>
  <si>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</si>
  <si>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</si>
  <si>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</si>
  <si>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</si>
  <si>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</si>
  <si>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</si>
  <si>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</si>
  <si>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</si>
  <si>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</si>
  <si>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</si>
  <si>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</si>
  <si>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</si>
  <si>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</si>
  <si>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</si>
  <si>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</si>
  <si>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</si>
  <si>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</si>
  <si>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</si>
  <si>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</si>
  <si>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</si>
  <si>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</si>
  <si>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</si>
  <si>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</si>
  <si>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</si>
  <si>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</si>
  <si>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</si>
  <si>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</si>
  <si>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</si>
  <si>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</si>
  <si>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</si>
  <si>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</si>
  <si>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</si>
  <si>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</si>
  <si>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</si>
  <si>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</si>
  <si>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</si>
  <si>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</si>
  <si>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</si>
  <si>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</si>
  <si>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</si>
  <si>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</si>
  <si>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</si>
  <si>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</si>
  <si>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</si>
  <si>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</si>
  <si>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</si>
  <si>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</si>
  <si>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</si>
  <si>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</si>
  <si>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</si>
  <si>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</si>
  <si>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</si>
  <si>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</si>
  <si>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</si>
  <si>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</si>
  <si>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</si>
  <si>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</si>
  <si>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</si>
  <si>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</si>
  <si>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</si>
  <si>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</si>
  <si>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</si>
  <si>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</si>
  <si>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</si>
  <si>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</si>
  <si>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</si>
  <si>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</si>
  <si>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</si>
  <si>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</si>
  <si>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</si>
  <si>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</si>
  <si>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</si>
  <si>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</si>
  <si>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</si>
  <si>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</si>
  <si>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</si>
  <si>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</si>
  <si>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</si>
  <si>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</si>
  <si>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</si>
  <si>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</si>
  <si>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</si>
  <si>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</si>
  <si>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</si>
  <si>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</si>
  <si>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</si>
  <si>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</si>
  <si>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</si>
  <si>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</si>
  <si>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</si>
  <si>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</si>
  <si>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</si>
  <si>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</si>
  <si>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</si>
  <si>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</si>
  <si>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</si>
  <si>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</si>
  <si>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</si>
  <si>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</si>
  <si>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</si>
  <si>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</si>
  <si>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</si>
  <si>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</si>
  <si>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</si>
  <si>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</si>
  <si>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</si>
  <si>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</si>
  <si>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</si>
  <si>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</si>
  <si>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</si>
  <si>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</si>
  <si>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</si>
  <si>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</si>
  <si>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</si>
  <si>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</si>
  <si>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</si>
  <si>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</si>
  <si>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</si>
  <si>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</si>
  <si>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</si>
  <si>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</si>
  <si>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</si>
  <si>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</si>
  <si>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</si>
  <si>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</si>
  <si>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</si>
  <si>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</si>
  <si>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</si>
  <si>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</si>
  <si>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</si>
  <si>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</si>
  <si>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</si>
  <si>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</si>
  <si>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</si>
  <si>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</si>
  <si>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</si>
  <si>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</si>
  <si>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</si>
  <si>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</si>
  <si>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</si>
  <si>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</si>
  <si>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</si>
  <si>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</si>
  <si>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</si>
  <si>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</si>
  <si>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</si>
  <si>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</si>
  <si>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</si>
  <si>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</si>
  <si>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</si>
  <si>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</si>
  <si>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</si>
  <si>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</si>
  <si>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</si>
  <si>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</si>
  <si>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</si>
  <si>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</si>
  <si>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</si>
  <si>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</si>
  <si>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</si>
  <si>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</si>
  <si>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</si>
  <si>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</si>
  <si>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</si>
  <si>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</si>
  <si>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</si>
  <si>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</si>
  <si>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</si>
  <si>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</si>
  <si>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</si>
  <si>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</si>
  <si>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</si>
  <si>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</si>
  <si>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</si>
  <si>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</si>
  <si>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</si>
  <si>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</si>
  <si>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</si>
  <si>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</si>
  <si>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</si>
  <si>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</si>
  <si>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</si>
  <si>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</si>
  <si>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</si>
  <si>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</si>
  <si>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</si>
  <si>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</si>
  <si>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</si>
  <si>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</si>
  <si>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</si>
  <si>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</si>
  <si>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</si>
  <si>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</si>
  <si>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</si>
  <si>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</si>
  <si>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</si>
  <si>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</si>
  <si>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</si>
  <si>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</si>
  <si>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</si>
  <si>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</si>
  <si>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</si>
  <si>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</si>
  <si>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</si>
  <si>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</si>
  <si>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</si>
  <si>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</si>
  <si>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</si>
  <si>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</si>
  <si>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</si>
  <si>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</si>
  <si>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</si>
  <si>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</si>
  <si>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</si>
  <si>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</si>
  <si>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</si>
  <si>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</si>
  <si>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</si>
  <si>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</si>
  <si>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</si>
  <si>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</si>
  <si>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</si>
  <si>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</si>
  <si>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</si>
  <si>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</si>
  <si>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</si>
  <si>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</si>
  <si>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</si>
  <si>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</si>
  <si>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</si>
  <si>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</si>
  <si>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</si>
  <si>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</si>
  <si>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</si>
  <si>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</si>
  <si>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</si>
  <si>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</si>
  <si>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</si>
  <si>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</si>
  <si>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</si>
  <si>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</si>
  <si>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</si>
  <si>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</si>
  <si>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</si>
  <si>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</si>
  <si>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</si>
  <si>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</si>
  <si>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</si>
  <si>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</si>
  <si>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</si>
  <si>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</si>
  <si>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</si>
  <si>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</si>
  <si>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</si>
  <si>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</si>
  <si>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</si>
  <si>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</si>
  <si>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</si>
  <si>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</si>
  <si>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</si>
  <si>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</si>
  <si>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</si>
  <si>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</si>
  <si>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</si>
  <si>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</si>
  <si>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</si>
  <si>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</si>
  <si>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</si>
  <si>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</si>
  <si>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</si>
  <si>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</si>
  <si>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</si>
  <si>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</si>
  <si>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</si>
  <si>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</si>
  <si>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</si>
  <si>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</si>
  <si>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</si>
  <si>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</si>
  <si>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</si>
  <si>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</si>
  <si>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</si>
  <si>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</si>
  <si>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</si>
  <si>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</si>
  <si>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</si>
  <si>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</si>
  <si>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</si>
  <si>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</si>
  <si>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</si>
  <si>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</si>
  <si>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</si>
  <si>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</si>
  <si>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</si>
  <si>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</si>
  <si>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</si>
  <si>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</si>
  <si>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</si>
  <si>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</si>
  <si>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</si>
  <si>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</si>
  <si>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</si>
  <si>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</si>
  <si>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</si>
  <si>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</si>
  <si>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</si>
  <si>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</si>
  <si>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</si>
  <si>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</si>
  <si>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</si>
  <si>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</si>
  <si>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</si>
  <si>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</si>
  <si>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</si>
  <si>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</si>
  <si>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</si>
  <si>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</si>
  <si>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</si>
  <si>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</si>
  <si>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</si>
  <si>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</si>
  <si>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</si>
  <si>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</si>
  <si>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</si>
  <si>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</si>
  <si>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</si>
  <si>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</si>
  <si>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</si>
  <si>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</si>
  <si>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</si>
  <si>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</si>
  <si>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</si>
  <si>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</si>
  <si>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</si>
  <si>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</si>
  <si>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</si>
  <si>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</si>
  <si>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</si>
  <si>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</si>
  <si>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</si>
  <si>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</si>
  <si>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</si>
  <si>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</si>
  <si>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</si>
  <si>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</si>
  <si>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</si>
  <si>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</si>
  <si>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</si>
  <si>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</si>
  <si>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</si>
  <si>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</si>
  <si>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</si>
  <si>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</si>
  <si>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</si>
  <si>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</si>
  <si>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</si>
  <si>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</si>
  <si>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</si>
  <si>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</si>
  <si>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</si>
  <si>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</si>
  <si>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</si>
  <si>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</si>
  <si>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</si>
  <si>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</si>
  <si>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</si>
  <si>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</si>
  <si>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</si>
  <si>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</si>
  <si>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</si>
  <si>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</si>
  <si>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</si>
  <si>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</si>
  <si>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</si>
  <si>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</si>
  <si>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</si>
  <si>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</si>
  <si>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</si>
  <si>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</si>
  <si>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</si>
  <si>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</si>
  <si>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</si>
  <si>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</si>
  <si>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</si>
  <si>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</si>
  <si>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</si>
  <si>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</si>
  <si>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</si>
  <si>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</si>
  <si>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</si>
  <si>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</si>
  <si>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</si>
  <si>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</si>
  <si>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</si>
  <si>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</si>
  <si>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</si>
  <si>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</si>
  <si>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</si>
  <si>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</si>
  <si>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</si>
  <si>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</si>
  <si>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</si>
  <si>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</si>
  <si>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</si>
  <si>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</si>
  <si>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</si>
  <si>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</si>
  <si>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</si>
  <si>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</si>
  <si>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</si>
  <si>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</si>
  <si>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</si>
  <si>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</si>
  <si>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</si>
  <si>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</si>
  <si>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</si>
  <si>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</si>
  <si>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</si>
  <si>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</si>
  <si>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</si>
  <si>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</si>
  <si>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</si>
  <si>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</si>
  <si>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</si>
  <si>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</si>
  <si>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</si>
  <si>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</si>
  <si>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</si>
  <si>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</si>
  <si>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</si>
  <si>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</si>
  <si>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</si>
  <si>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</si>
  <si>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</si>
  <si>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</si>
  <si>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</si>
  <si>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</si>
  <si>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</si>
  <si>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</si>
  <si>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</si>
  <si>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</si>
  <si>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</si>
  <si>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</si>
  <si>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</si>
  <si>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</si>
  <si>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</si>
  <si>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</si>
  <si>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</si>
  <si>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</si>
  <si>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</si>
  <si>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</si>
  <si>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</si>
  <si>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</si>
  <si>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</si>
  <si>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</si>
  <si>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</si>
  <si>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</si>
  <si>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</si>
  <si>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</si>
  <si>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</si>
  <si>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</si>
  <si>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</si>
  <si>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</si>
  <si>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</si>
  <si>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</si>
  <si>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</si>
  <si>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</si>
  <si>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</si>
  <si>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</si>
  <si>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</si>
  <si>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</si>
  <si>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</si>
  <si>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</si>
  <si>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</si>
  <si>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</si>
  <si>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</si>
  <si>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</si>
  <si>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</si>
  <si>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</si>
  <si>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</si>
  <si>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</si>
  <si>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</si>
  <si>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</si>
  <si>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</si>
  <si>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</si>
  <si>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</si>
  <si>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</si>
  <si>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</si>
  <si>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</si>
  <si>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</si>
  <si>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</si>
  <si>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</si>
  <si>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</si>
  <si>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</si>
  <si>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</si>
  <si>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</si>
  <si>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</si>
  <si>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</si>
  <si>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</si>
  <si>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</si>
  <si>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</si>
  <si>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</si>
  <si>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</si>
  <si>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</si>
  <si>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</si>
  <si>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</si>
  <si>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</si>
  <si>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</si>
  <si>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</si>
  <si>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</si>
  <si>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</si>
  <si>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</si>
  <si>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</si>
  <si>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</si>
  <si>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</si>
  <si>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</si>
  <si>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</si>
  <si>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</si>
  <si>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</si>
  <si>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</si>
  <si>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</si>
  <si>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</si>
  <si>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</si>
  <si>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</si>
  <si>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</si>
  <si>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</si>
  <si>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</si>
  <si>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</si>
  <si>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</si>
  <si>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</si>
  <si>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</si>
  <si>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</si>
  <si>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</si>
  <si>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</si>
  <si>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</si>
  <si>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</si>
  <si>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</si>
  <si>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</si>
  <si>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</si>
  <si>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</si>
  <si>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</si>
  <si>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</si>
  <si>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</si>
  <si>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</si>
  <si>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</si>
  <si>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</si>
  <si>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</si>
  <si>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</si>
  <si>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</si>
  <si>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</si>
  <si>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</si>
  <si>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</si>
  <si>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</si>
  <si>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</si>
  <si>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</si>
  <si>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</si>
  <si>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</si>
  <si>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</si>
  <si>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</si>
  <si>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</si>
  <si>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</si>
  <si>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</si>
  <si>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</si>
  <si>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</si>
  <si>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</si>
  <si>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</si>
  <si>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</si>
  <si>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</si>
  <si>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</si>
  <si>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</si>
  <si>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</si>
  <si>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</si>
  <si>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</si>
  <si>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</si>
  <si>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</si>
  <si>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</si>
  <si>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</si>
  <si>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</si>
  <si>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</si>
  <si>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</si>
  <si>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</si>
  <si>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</si>
  <si>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</si>
  <si>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</si>
  <si>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</si>
  <si>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</si>
  <si>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</si>
  <si>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</si>
  <si>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</si>
  <si>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</si>
  <si>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</si>
  <si>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</si>
  <si>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</si>
  <si>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</si>
  <si>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</si>
  <si>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</si>
  <si>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</si>
  <si>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</si>
  <si>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</si>
  <si>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</si>
  <si>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</si>
  <si>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</si>
  <si>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</si>
  <si>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</si>
  <si>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</si>
  <si>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</si>
  <si>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</si>
  <si>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</si>
  <si>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</si>
  <si>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</si>
  <si>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</si>
  <si>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</si>
  <si>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</si>
  <si>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</si>
  <si>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</si>
  <si>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</si>
  <si>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</si>
  <si>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</si>
  <si>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</si>
  <si>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</si>
  <si>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</si>
  <si>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</si>
  <si>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</si>
  <si>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</si>
  <si>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</si>
  <si>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</si>
  <si>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</si>
  <si>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</si>
  <si>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</si>
  <si>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</si>
  <si>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</si>
  <si>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</si>
  <si>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</si>
  <si>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</si>
  <si>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</si>
  <si>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</si>
  <si>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</si>
  <si>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</si>
  <si>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</si>
  <si>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</si>
  <si>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</si>
  <si>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</si>
  <si>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</si>
  <si>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</si>
  <si>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</si>
  <si>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</si>
  <si>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</si>
  <si>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</si>
  <si>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</si>
  <si>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</si>
  <si>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</si>
  <si>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</si>
  <si>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</si>
  <si>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</si>
  <si>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</si>
  <si>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</si>
  <si>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</si>
  <si>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</si>
  <si>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</si>
  <si>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</si>
  <si>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</si>
  <si>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</si>
  <si>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</si>
  <si>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</si>
  <si>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</si>
  <si>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</si>
  <si>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</si>
  <si>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</si>
  <si>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</si>
  <si>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</si>
  <si>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</si>
  <si>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</si>
  <si>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</si>
  <si>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</si>
  <si>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</si>
  <si>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</si>
  <si>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</si>
  <si>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</si>
  <si>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</si>
  <si>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</si>
  <si>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</si>
  <si>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</si>
  <si>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</si>
  <si>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</si>
  <si>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</si>
  <si>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</si>
  <si>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</si>
  <si>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</si>
  <si>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</si>
  <si>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</si>
  <si>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</si>
  <si>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</si>
  <si>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</si>
  <si>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</si>
  <si>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</si>
  <si>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</si>
  <si>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</si>
  <si>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</si>
  <si>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</si>
  <si>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</si>
  <si>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</si>
  <si>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</si>
  <si>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</si>
  <si>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</si>
  <si>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</si>
  <si>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</si>
  <si>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</si>
  <si>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</si>
  <si>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</si>
  <si>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</si>
  <si>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</si>
  <si>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</si>
  <si>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</si>
  <si>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</si>
  <si>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</si>
  <si>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</si>
  <si>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</si>
  <si>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</si>
  <si>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</si>
  <si>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</si>
  <si>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</si>
  <si>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</si>
  <si>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</si>
  <si>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</si>
  <si>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</si>
  <si>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</si>
  <si>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</si>
  <si>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</si>
  <si>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</si>
  <si>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</si>
  <si>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</si>
  <si>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</si>
  <si>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</si>
  <si>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</si>
  <si>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</si>
  <si>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</si>
  <si>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</si>
  <si>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</si>
  <si>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</si>
  <si>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</si>
  <si>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</si>
  <si>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</si>
  <si>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</si>
  <si>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</si>
  <si>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</si>
  <si>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</si>
  <si>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</si>
  <si>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</si>
  <si>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</si>
  <si>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</si>
  <si>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</si>
  <si>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</si>
  <si>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</si>
  <si>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</si>
  <si>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</si>
  <si>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</si>
  <si>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</si>
  <si>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</si>
  <si>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</si>
  <si>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</si>
  <si>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</si>
  <si>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</si>
  <si>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</si>
  <si>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</si>
  <si>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</si>
  <si>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</si>
  <si>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</si>
  <si>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</si>
  <si>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</si>
  <si>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</si>
  <si>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</si>
  <si>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</si>
  <si>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</si>
  <si>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</si>
  <si>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</si>
  <si>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</si>
  <si>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</si>
  <si>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</si>
  <si>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</si>
  <si>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</si>
  <si>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</si>
  <si>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</si>
  <si>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</si>
  <si>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</si>
  <si>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</si>
  <si>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</si>
  <si>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</si>
  <si>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</si>
  <si>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</si>
  <si>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</si>
  <si>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</si>
  <si>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</si>
  <si>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</si>
  <si>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</si>
  <si>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</si>
  <si>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</si>
  <si>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</si>
  <si>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</si>
  <si>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</si>
  <si>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</si>
  <si>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</si>
  <si>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</si>
  <si>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</si>
  <si>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</si>
  <si>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</si>
  <si>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</si>
  <si>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</si>
  <si>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</si>
  <si>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</si>
  <si>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</si>
  <si>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</si>
  <si>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</si>
  <si>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</si>
  <si>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</si>
  <si>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</si>
  <si>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</si>
  <si>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</si>
  <si>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</si>
  <si>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</si>
  <si>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</si>
  <si>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</si>
  <si>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</si>
  <si>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</si>
  <si>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</si>
  <si>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</si>
  <si>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</si>
  <si>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</si>
  <si>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</si>
  <si>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</si>
  <si>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</si>
  <si>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</si>
  <si>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</si>
  <si>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</si>
  <si>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</si>
  <si>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</si>
  <si>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</si>
  <si>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</si>
  <si>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</si>
  <si>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</si>
  <si>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</si>
  <si>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</si>
  <si>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</si>
  <si>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</si>
  <si>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</si>
  <si>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</si>
  <si>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</si>
  <si>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</si>
  <si>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</si>
  <si>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</si>
  <si>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</si>
  <si>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</si>
  <si>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</si>
  <si>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</si>
  <si>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</si>
  <si>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</si>
  <si>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</si>
  <si>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</si>
  <si>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</si>
  <si>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</si>
  <si>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</si>
  <si>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</si>
  <si>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</si>
  <si>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</si>
  <si>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</si>
  <si>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</si>
  <si>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</si>
  <si>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</si>
  <si>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</si>
  <si>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</si>
  <si>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</si>
  <si>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</si>
  <si>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</si>
  <si>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</si>
  <si>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</si>
  <si>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</si>
  <si>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</si>
  <si>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</si>
  <si>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</si>
  <si>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</si>
  <si>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</si>
  <si>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</si>
  <si>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</si>
  <si>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</si>
  <si>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</si>
  <si>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</si>
  <si>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</si>
  <si>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</si>
  <si>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</si>
  <si>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</si>
  <si>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</si>
  <si>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</si>
  <si>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</si>
  <si>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</si>
  <si>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</si>
  <si>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</si>
  <si>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</si>
  <si>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</si>
  <si>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</si>
  <si>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</si>
  <si>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</si>
  <si>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</si>
  <si>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</si>
  <si>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</si>
  <si>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</si>
  <si>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</si>
  <si>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</si>
  <si>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</si>
  <si>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</si>
  <si>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</si>
  <si>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</si>
  <si>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</si>
  <si>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</si>
  <si>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</si>
  <si>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</si>
  <si>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</si>
  <si>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</si>
  <si>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</si>
  <si>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</si>
  <si>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</si>
  <si>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</si>
  <si>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</si>
  <si>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</si>
  <si>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</si>
  <si>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</si>
  <si>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</si>
  <si>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</si>
  <si>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</si>
  <si>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</si>
  <si>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</si>
  <si>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</si>
  <si>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</si>
  <si>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</si>
  <si>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</si>
  <si>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</si>
  <si>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</si>
  <si>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</si>
  <si>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</si>
  <si>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</si>
  <si>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</si>
  <si>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</si>
  <si>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</si>
  <si>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</si>
  <si>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</si>
  <si>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</si>
  <si>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</si>
  <si>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</si>
  <si>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</si>
  <si>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</si>
  <si>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</si>
  <si>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</si>
  <si>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</si>
  <si>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</si>
  <si>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</si>
  <si>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</si>
  <si>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</si>
  <si>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</si>
  <si>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</si>
  <si>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</si>
  <si>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</si>
  <si>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</si>
  <si>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</si>
  <si>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</si>
  <si>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</si>
  <si>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</si>
  <si>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</si>
  <si>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</si>
  <si>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</si>
  <si>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</si>
  <si>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</si>
  <si>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</si>
  <si>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</si>
  <si>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</si>
  <si>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</si>
  <si>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</si>
  <si>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</si>
  <si>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</si>
  <si>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</si>
  <si>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</si>
  <si>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</si>
  <si>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</si>
  <si>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</si>
  <si>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</si>
  <si>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</si>
  <si>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</si>
  <si>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</si>
  <si>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</si>
  <si>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</si>
  <si>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</si>
  <si>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</si>
  <si>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</si>
  <si>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</si>
  <si>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</si>
  <si>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</si>
  <si>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</si>
  <si>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</si>
  <si>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</si>
  <si>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</si>
  <si>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</si>
  <si>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</si>
  <si>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</si>
  <si>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</si>
  <si>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</si>
  <si>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</si>
  <si>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</si>
  <si>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</si>
  <si>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</si>
  <si>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</si>
  <si>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</si>
  <si>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</si>
  <si>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</si>
  <si>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</si>
  <si>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</si>
  <si>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</si>
  <si>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</si>
  <si>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</si>
  <si>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</si>
  <si>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</si>
  <si>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</si>
  <si>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</si>
  <si>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</si>
  <si>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</si>
  <si>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</si>
  <si>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</si>
  <si>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</si>
  <si>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</si>
  <si>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</si>
  <si>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</si>
  <si>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</si>
  <si>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</si>
  <si>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</si>
  <si>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</si>
  <si>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</si>
  <si>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</si>
  <si>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</si>
  <si>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</si>
  <si>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</si>
  <si>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</si>
  <si>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</si>
  <si>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</si>
  <si>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</si>
  <si>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</si>
  <si>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</si>
  <si>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</si>
  <si>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</si>
  <si>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</si>
  <si>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</si>
  <si>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</si>
  <si>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</si>
  <si>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</si>
  <si>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</si>
  <si>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</si>
  <si>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</si>
  <si>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</si>
  <si>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</si>
  <si>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</si>
  <si>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</si>
  <si>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</si>
  <si>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</si>
  <si>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</si>
  <si>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</si>
  <si>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</si>
  <si>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</si>
  <si>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</si>
  <si>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</si>
  <si>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</si>
  <si>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</si>
  <si>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</si>
  <si>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</si>
  <si>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</si>
  <si>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</si>
  <si>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</si>
  <si>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</si>
  <si>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</si>
  <si>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</si>
  <si>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</si>
  <si>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</si>
  <si>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</si>
  <si>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</si>
  <si>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</si>
  <si>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</si>
  <si>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</si>
  <si>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</si>
  <si>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</si>
  <si>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</si>
  <si>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</si>
  <si>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</si>
  <si>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</si>
  <si>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</si>
  <si>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</si>
  <si>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</si>
  <si>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</si>
  <si>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</si>
  <si>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</si>
  <si>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</si>
  <si>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</si>
  <si>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</si>
  <si>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</si>
  <si>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</si>
  <si>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</si>
  <si>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</si>
  <si>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</si>
  <si>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</si>
  <si>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</si>
  <si>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</si>
  <si>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</si>
  <si>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</si>
  <si>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</si>
  <si>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</si>
  <si>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</si>
  <si>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</si>
  <si>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</si>
  <si>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</si>
  <si>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</si>
  <si>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</si>
  <si>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</si>
  <si>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</si>
  <si>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</si>
  <si>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</si>
  <si>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</si>
  <si>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</si>
  <si>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</si>
  <si>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</si>
  <si>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</si>
  <si>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</si>
  <si>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</si>
  <si>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</si>
  <si>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</si>
  <si>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</si>
  <si>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</si>
  <si>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</si>
  <si>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</si>
  <si>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</si>
  <si>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</si>
  <si>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</si>
  <si>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</si>
  <si>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</si>
  <si>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</si>
  <si>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</si>
  <si>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</si>
  <si>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</si>
  <si>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</si>
  <si>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</si>
  <si>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</si>
  <si>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</si>
  <si>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</si>
  <si>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</si>
  <si>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</si>
  <si>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</si>
  <si>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</si>
  <si>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</si>
  <si>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</si>
  <si>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</si>
  <si>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</si>
  <si>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</si>
  <si>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</si>
  <si>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</si>
  <si>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</si>
  <si>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</si>
  <si>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</si>
  <si>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</si>
  <si>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</si>
  <si>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</si>
  <si>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</si>
  <si>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</si>
  <si>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</si>
  <si>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</si>
  <si>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</si>
  <si>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</si>
  <si>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</si>
  <si>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</si>
  <si>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</si>
  <si>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</si>
  <si>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</si>
  <si>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</si>
  <si>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</si>
  <si>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</si>
  <si>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</si>
  <si>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</si>
  <si>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</si>
  <si>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</si>
  <si>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</si>
  <si>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</si>
  <si>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</si>
  <si>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</si>
  <si>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</si>
  <si>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</si>
  <si>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</si>
  <si>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</si>
  <si>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</si>
  <si>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</si>
  <si>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</si>
  <si>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</si>
  <si>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</si>
  <si>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</si>
  <si>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</si>
  <si>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</si>
  <si>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</si>
  <si>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</si>
  <si>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</si>
  <si>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</si>
  <si>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</si>
  <si>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</si>
  <si>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</si>
  <si>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</si>
  <si>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</si>
  <si>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</si>
  <si>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</si>
  <si>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</si>
  <si>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</si>
  <si>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</si>
  <si>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</si>
  <si>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</si>
  <si>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</si>
  <si>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</si>
  <si>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</si>
  <si>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</si>
  <si>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</si>
  <si>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</si>
  <si>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</si>
  <si>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</si>
  <si>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</si>
  <si>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</si>
  <si>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</si>
  <si>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</si>
  <si>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</si>
  <si>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</si>
  <si>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</si>
  <si>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</si>
  <si>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</si>
  <si>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</si>
  <si>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</si>
  <si>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</si>
  <si>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</si>
  <si>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</si>
  <si>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</si>
  <si>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</si>
  <si>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</si>
  <si>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</si>
  <si>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</si>
  <si>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</si>
  <si>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</si>
  <si>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</si>
  <si>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</si>
  <si>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</si>
  <si>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</si>
  <si>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</si>
  <si>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</si>
  <si>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</si>
  <si>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</si>
  <si>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</si>
  <si>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</si>
  <si>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</si>
  <si>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</si>
  <si>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</si>
  <si>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</si>
  <si>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</si>
  <si>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</si>
  <si>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</si>
  <si>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</si>
  <si>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</si>
  <si>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</si>
  <si>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</si>
  <si>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</si>
  <si>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</si>
  <si>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</si>
  <si>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</si>
  <si>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</si>
  <si>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</si>
  <si>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</si>
  <si>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</si>
  <si>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</si>
  <si>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</si>
  <si>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</si>
  <si>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</si>
  <si>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</si>
  <si>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</si>
  <si>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</si>
  <si>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</si>
  <si>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</si>
  <si>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</si>
  <si>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</si>
  <si>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</si>
  <si>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</si>
  <si>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</si>
  <si>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</si>
  <si>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</si>
  <si>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</si>
  <si>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</si>
  <si>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</si>
  <si>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</si>
  <si>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</si>
  <si>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</si>
  <si>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</si>
  <si>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</si>
  <si>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</si>
  <si>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</si>
  <si>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</si>
  <si>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</si>
  <si>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</si>
  <si>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</si>
  <si>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</si>
  <si>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</si>
  <si>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</si>
  <si>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</si>
  <si>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</si>
  <si>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</si>
  <si>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</si>
  <si>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</si>
  <si>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</si>
  <si>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</si>
  <si>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</si>
  <si>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</si>
  <si>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</si>
  <si>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</si>
  <si>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</si>
  <si>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</si>
  <si>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</si>
  <si>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</si>
  <si>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</si>
  <si>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</si>
  <si>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</si>
  <si>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</si>
  <si>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</si>
  <si>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</si>
  <si>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</si>
  <si>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</si>
  <si>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</si>
  <si>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</si>
  <si>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</si>
  <si>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</si>
  <si>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</si>
  <si>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</si>
  <si>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</si>
  <si>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</si>
  <si>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</si>
  <si>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</si>
  <si>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</si>
  <si>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</si>
  <si>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</si>
  <si>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</si>
  <si>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</si>
  <si>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</si>
  <si>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</si>
  <si>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</si>
  <si>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</si>
  <si>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</si>
  <si>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</si>
  <si>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</si>
  <si>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</si>
  <si>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</si>
  <si>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</si>
  <si>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</si>
  <si>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</si>
  <si>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</si>
  <si>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</si>
  <si>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</si>
  <si>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</si>
  <si>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</si>
  <si>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</si>
  <si>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</si>
  <si>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</si>
  <si>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</si>
  <si>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</si>
  <si>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</si>
  <si>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</si>
  <si>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</si>
  <si>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</si>
  <si>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</si>
  <si>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</si>
  <si>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</si>
  <si>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</si>
  <si>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</si>
  <si>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</si>
  <si>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</si>
  <si>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</si>
  <si>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</si>
  <si>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</si>
  <si>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</si>
  <si>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</si>
  <si>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</si>
  <si>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</si>
  <si>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</si>
  <si>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</si>
  <si>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</si>
  <si>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</si>
  <si>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</si>
  <si>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</si>
  <si>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</si>
  <si>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</si>
  <si>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</si>
  <si>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</si>
  <si>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</si>
  <si>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</si>
  <si>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</si>
  <si>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</si>
  <si>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</si>
  <si>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</si>
  <si>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</si>
  <si>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</si>
  <si>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</si>
  <si>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</si>
  <si>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</si>
  <si>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</si>
  <si>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</si>
  <si>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</si>
  <si>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</si>
  <si>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</si>
  <si>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</si>
  <si>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</si>
  <si>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</si>
  <si>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</si>
  <si>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</si>
  <si>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</si>
  <si>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</si>
  <si>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</si>
  <si>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</si>
  <si>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</si>
  <si>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</si>
  <si>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</si>
  <si>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</si>
  <si>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</si>
  <si>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</si>
  <si>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</si>
  <si>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</si>
  <si>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</si>
  <si>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</si>
  <si>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</si>
  <si>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</si>
  <si>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</si>
  <si>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</si>
  <si>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</si>
  <si>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</si>
  <si>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</si>
  <si>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</si>
  <si>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</si>
  <si>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</si>
  <si>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</si>
  <si>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</si>
  <si>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</si>
  <si>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</si>
  <si>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</si>
  <si>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</si>
  <si>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</si>
  <si>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</si>
  <si>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</si>
  <si>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</si>
  <si>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</si>
  <si>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</si>
  <si>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</si>
  <si>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</si>
  <si>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</si>
  <si>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</si>
  <si>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</si>
  <si>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</si>
  <si>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</si>
  <si>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</si>
  <si>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</si>
  <si>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</si>
  <si>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</si>
  <si>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</si>
  <si>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</si>
  <si>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</si>
  <si>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</si>
  <si>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</si>
  <si>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</si>
  <si>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</si>
  <si>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</si>
  <si>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</si>
  <si>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</si>
  <si>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</si>
  <si>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</si>
  <si>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</si>
  <si>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</si>
  <si>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</si>
  <si>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</si>
  <si>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</si>
  <si>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</si>
  <si>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</si>
  <si>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</si>
  <si>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</si>
  <si>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</si>
  <si>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</si>
  <si>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</si>
  <si>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</si>
  <si>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</si>
  <si>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</si>
  <si>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</si>
  <si>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</si>
  <si>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</si>
  <si>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</si>
  <si>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</si>
  <si>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</si>
  <si>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</si>
  <si>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</si>
  <si>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</si>
  <si>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</si>
  <si>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</si>
  <si>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</si>
  <si>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</si>
  <si>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</si>
  <si>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</si>
  <si>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</si>
  <si>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</si>
  <si>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</si>
  <si>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</si>
  <si>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</si>
  <si>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</si>
  <si>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</si>
  <si>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</si>
  <si>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</si>
  <si>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</si>
  <si>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</si>
  <si>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</si>
  <si>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</si>
  <si>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</si>
  <si>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</si>
  <si>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</si>
  <si>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</si>
  <si>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</si>
  <si>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</si>
  <si>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</si>
  <si>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</si>
  <si>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</si>
  <si>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</si>
  <si>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</si>
  <si>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</si>
  <si>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</si>
  <si>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</si>
  <si>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</si>
  <si>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</si>
  <si>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</si>
  <si>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</si>
  <si>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</si>
  <si>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</si>
  <si>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</si>
  <si>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</si>
  <si>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</si>
  <si>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</si>
  <si>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</si>
  <si>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</si>
  <si>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</si>
  <si>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</si>
  <si>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</si>
  <si>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</si>
  <si>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</si>
  <si>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</si>
  <si>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</si>
  <si>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</si>
  <si>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</si>
  <si>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</si>
  <si>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</si>
  <si>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</si>
  <si>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</si>
  <si>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</si>
  <si>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</si>
  <si>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</si>
  <si>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</si>
  <si>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</si>
  <si>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</si>
  <si>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</si>
  <si>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</si>
  <si>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</si>
  <si>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</si>
  <si>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</si>
  <si>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</si>
  <si>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</si>
  <si>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</si>
  <si>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</si>
  <si>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</si>
  <si>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</si>
  <si>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</si>
  <si>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</si>
  <si>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</si>
  <si>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</si>
  <si>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</si>
  <si>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</si>
  <si>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</si>
  <si>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</si>
  <si>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</si>
  <si>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</si>
  <si>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</si>
  <si>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</si>
  <si>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</si>
  <si>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</si>
  <si>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</si>
  <si>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</si>
  <si>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</si>
  <si>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</si>
  <si>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</si>
  <si>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</si>
  <si>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</si>
  <si>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</si>
  <si>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</si>
  <si>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</si>
  <si>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</si>
  <si>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</si>
  <si>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</si>
  <si>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</si>
  <si>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</si>
  <si>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</si>
  <si>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</si>
  <si>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</si>
  <si>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</si>
  <si>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</si>
  <si>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</si>
  <si>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</si>
  <si>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</si>
  <si>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</si>
  <si>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</si>
  <si>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</si>
  <si>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</si>
  <si>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</si>
  <si>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</si>
  <si>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</si>
  <si>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</si>
  <si>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</si>
  <si>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</si>
  <si>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</si>
  <si>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</si>
  <si>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</si>
  <si>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</si>
  <si>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</si>
  <si>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</si>
  <si>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</si>
  <si>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</si>
  <si>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</si>
  <si>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</si>
  <si>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</si>
  <si>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</si>
  <si>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</si>
  <si>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</si>
  <si>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</si>
  <si>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</si>
  <si>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</si>
  <si>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</si>
  <si>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</si>
  <si>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</si>
  <si>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</si>
  <si>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</si>
  <si>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</si>
  <si>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</si>
  <si>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</si>
  <si>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</si>
  <si>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</si>
  <si>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</si>
  <si>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</si>
  <si>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</si>
  <si>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</si>
  <si>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</si>
  <si>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</si>
  <si>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</si>
  <si>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</si>
  <si>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</si>
  <si>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</si>
  <si>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</si>
  <si>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</si>
  <si>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</si>
  <si>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</si>
  <si>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</si>
  <si>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</si>
  <si>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</si>
  <si>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</si>
  <si>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</si>
  <si>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</si>
  <si>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</si>
  <si>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</si>
  <si>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</si>
  <si>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</si>
  <si>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</si>
  <si>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</si>
  <si>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</si>
  <si>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</si>
  <si>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</si>
  <si>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</si>
  <si>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</si>
  <si>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</si>
  <si>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</si>
  <si>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</si>
  <si>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</si>
  <si>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</si>
  <si>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</si>
  <si>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</si>
  <si>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</si>
  <si>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</si>
  <si>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</si>
  <si>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</si>
  <si>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</si>
  <si>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</si>
  <si>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</si>
  <si>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</si>
  <si>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</si>
  <si>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</si>
  <si>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</si>
  <si>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</si>
  <si>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</si>
  <si>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</si>
  <si>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</si>
  <si>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</si>
  <si>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</si>
  <si>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</si>
  <si>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</si>
  <si>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</si>
  <si>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</si>
  <si>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</si>
  <si>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</si>
  <si>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</si>
  <si>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</si>
  <si>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</si>
  <si>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</si>
  <si>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</si>
  <si>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</si>
  <si>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</si>
  <si>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</si>
  <si>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</si>
  <si>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</si>
  <si>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</si>
  <si>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</si>
  <si>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</si>
  <si>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</si>
  <si>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</si>
  <si>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</si>
  <si>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</si>
  <si>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</si>
  <si>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</si>
  <si>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</si>
  <si>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</si>
  <si>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</si>
  <si>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</si>
  <si>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</si>
  <si>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</si>
  <si>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</si>
  <si>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</si>
  <si>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</si>
  <si>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</si>
  <si>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</si>
  <si>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</si>
  <si>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</si>
  <si>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</si>
  <si>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</si>
  <si>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</si>
  <si>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</si>
  <si>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</si>
  <si>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</si>
  <si>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</si>
  <si>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</si>
  <si>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</si>
  <si>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</si>
  <si>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</si>
  <si>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</si>
  <si>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</si>
  <si>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</si>
  <si>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</si>
  <si>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</si>
  <si>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</si>
  <si>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</si>
  <si>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</si>
  <si>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</si>
  <si>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</si>
  <si>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</si>
  <si>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</si>
  <si>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</si>
  <si>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</si>
  <si>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</si>
  <si>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</si>
  <si>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</si>
  <si>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</si>
  <si>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</si>
  <si>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</si>
  <si>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</si>
  <si>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</si>
  <si>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</si>
  <si>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</si>
  <si>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</si>
  <si>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</si>
  <si>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</si>
  <si>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</si>
  <si>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</si>
  <si>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</si>
  <si>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</si>
  <si>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</si>
  <si>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</si>
  <si>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</si>
  <si>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</si>
  <si>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</si>
  <si>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</si>
  <si>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</si>
  <si>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</si>
  <si>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</si>
  <si>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</si>
  <si>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</si>
  <si>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</si>
  <si>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</si>
  <si>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</si>
  <si>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</si>
  <si>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</si>
  <si>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</si>
  <si>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</si>
  <si>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</si>
  <si>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</si>
  <si>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</si>
  <si>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</si>
  <si>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</si>
  <si>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</si>
  <si>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</si>
  <si>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</si>
  <si>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</si>
  <si>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</si>
  <si>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</si>
  <si>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</si>
  <si>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</si>
  <si>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</si>
  <si>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</si>
  <si>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</si>
  <si>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</si>
  <si>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</si>
  <si>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</si>
  <si>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</si>
  <si>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</si>
  <si>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</si>
  <si>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</si>
  <si>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</si>
  <si>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</si>
  <si>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</si>
  <si>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</si>
  <si>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</si>
  <si>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</si>
  <si>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</si>
  <si>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</si>
  <si>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</si>
  <si>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</si>
  <si>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</si>
  <si>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</si>
  <si>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</si>
  <si>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</si>
  <si>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</si>
  <si>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</si>
  <si>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</si>
  <si>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</si>
  <si>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</si>
  <si>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</si>
  <si>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</si>
  <si>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</si>
  <si>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</si>
  <si>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</si>
  <si>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</si>
  <si>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</si>
  <si>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</si>
  <si>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</si>
  <si>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</si>
  <si>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</si>
  <si>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</si>
  <si>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</si>
  <si>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</si>
  <si>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</si>
  <si>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</si>
  <si>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</si>
  <si>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</si>
  <si>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</si>
  <si>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</si>
  <si>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</si>
  <si>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</si>
  <si>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</si>
  <si>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</si>
  <si>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</si>
  <si>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</si>
  <si>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</si>
  <si>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</si>
  <si>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</si>
  <si>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</si>
  <si>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</si>
  <si>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</si>
  <si>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</si>
  <si>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</si>
  <si>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</si>
  <si>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</si>
  <si>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</si>
  <si>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</si>
  <si>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</si>
  <si>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</si>
  <si>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</si>
  <si>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</si>
  <si>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</si>
  <si>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</si>
  <si>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</si>
  <si>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</si>
  <si>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</si>
  <si>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</si>
  <si>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</si>
  <si>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</si>
  <si>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</si>
  <si>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</si>
  <si>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</si>
  <si>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</si>
  <si>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</si>
  <si>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</si>
  <si>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</si>
  <si>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</si>
  <si>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</si>
  <si>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</si>
  <si>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</si>
  <si>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</si>
  <si>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</si>
  <si>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</si>
  <si>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</si>
  <si>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</si>
  <si>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</si>
  <si>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</si>
  <si>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</si>
  <si>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</si>
  <si>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</si>
  <si>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</si>
  <si>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</si>
  <si>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</si>
  <si>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</si>
  <si>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</si>
  <si>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</si>
  <si>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</si>
  <si>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</si>
  <si>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</si>
  <si>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</si>
  <si>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</si>
  <si>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</si>
  <si>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</si>
  <si>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</si>
  <si>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</si>
  <si>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</si>
  <si>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</si>
  <si>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</si>
  <si>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</si>
  <si>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</si>
  <si>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</si>
  <si>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</si>
  <si>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</si>
  <si>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</si>
  <si>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</si>
  <si>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</si>
  <si>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</si>
  <si>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</si>
  <si>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</si>
  <si>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</si>
  <si>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</si>
  <si>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</si>
  <si>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</si>
  <si>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</si>
  <si>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</si>
  <si>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</si>
  <si>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</si>
  <si>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</si>
  <si>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</si>
  <si>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</si>
  <si>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</si>
  <si>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</si>
  <si>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</si>
  <si>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</si>
  <si>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</si>
  <si>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</si>
  <si>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</si>
  <si>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</si>
  <si>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</si>
  <si>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</si>
  <si>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</si>
  <si>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</si>
  <si>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</si>
  <si>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</si>
  <si>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</si>
  <si>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</si>
  <si>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</si>
  <si>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</si>
  <si>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</si>
  <si>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</si>
  <si>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</si>
  <si>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</si>
  <si>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</si>
  <si>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</si>
  <si>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</si>
  <si>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</si>
  <si>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</si>
  <si>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</si>
  <si>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</si>
  <si>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</si>
  <si>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</si>
  <si>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</si>
  <si>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</si>
  <si>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</si>
  <si>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</si>
  <si>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</si>
  <si>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</si>
  <si>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</si>
  <si>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</si>
  <si>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</si>
  <si>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</si>
  <si>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</si>
  <si>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</si>
  <si>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</si>
  <si>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</si>
  <si>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</si>
  <si>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</si>
  <si>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</si>
  <si>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</si>
  <si>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</si>
  <si>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</si>
  <si>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</si>
  <si>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</si>
  <si>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</si>
  <si>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</si>
  <si>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</si>
  <si>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</si>
  <si>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</si>
  <si>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</si>
  <si>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</si>
  <si>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</si>
  <si>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</si>
  <si>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</si>
  <si>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</si>
  <si>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</si>
  <si>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</si>
  <si>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</si>
  <si>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</si>
  <si>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</si>
  <si>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</si>
  <si>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</si>
  <si>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</si>
  <si>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</si>
  <si>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</si>
  <si>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</si>
  <si>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</si>
  <si>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</si>
  <si>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</si>
  <si>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</si>
  <si>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</si>
  <si>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</si>
  <si>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</si>
  <si>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</si>
  <si>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</si>
  <si>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</si>
  <si>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</si>
  <si>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</si>
  <si>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</si>
  <si>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</si>
  <si>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</si>
  <si>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</si>
  <si>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</si>
  <si>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</si>
  <si>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</si>
  <si>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</si>
  <si>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</si>
  <si>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</si>
  <si>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</si>
  <si>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</si>
  <si>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</si>
  <si>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</si>
  <si>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</si>
  <si>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</si>
  <si>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</si>
  <si>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</si>
  <si>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</si>
  <si>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</si>
  <si>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</si>
  <si>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</si>
  <si>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</si>
  <si>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</si>
  <si>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</si>
  <si>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</si>
  <si>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</si>
  <si>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</si>
  <si>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</si>
  <si>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</si>
  <si>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</si>
  <si>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</si>
  <si>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</si>
  <si>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</si>
  <si>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</si>
  <si>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</si>
  <si>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</si>
  <si>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</si>
  <si>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</si>
  <si>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</si>
  <si>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</si>
  <si>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</si>
  <si>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</si>
  <si>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</si>
  <si>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</si>
  <si>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</si>
  <si>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</si>
  <si>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</si>
  <si>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</si>
  <si>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</si>
  <si>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</si>
  <si>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</si>
  <si>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</si>
  <si>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</si>
  <si>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</si>
  <si>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</si>
  <si>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</si>
  <si>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</si>
  <si>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</si>
  <si>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</si>
  <si>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</si>
  <si>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</si>
  <si>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</si>
  <si>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</si>
  <si>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</si>
  <si>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</si>
  <si>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</si>
  <si>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</si>
  <si>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</si>
  <si>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</si>
  <si>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</si>
  <si>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</si>
  <si>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</si>
  <si>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</si>
  <si>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</si>
  <si>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</si>
  <si>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</si>
  <si>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</si>
  <si>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</si>
  <si>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</si>
  <si>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</si>
  <si>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</si>
  <si>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</si>
  <si>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</si>
  <si>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</si>
  <si>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</si>
  <si>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</si>
  <si>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</si>
  <si>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</si>
  <si>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</si>
  <si>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</si>
  <si>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</si>
  <si>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</si>
  <si>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</si>
  <si>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</si>
  <si>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</si>
  <si>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</si>
  <si>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</si>
  <si>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</si>
  <si>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</si>
  <si>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</si>
  <si>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</si>
  <si>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</si>
  <si>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</si>
  <si>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</si>
  <si>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</si>
  <si>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</si>
  <si>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</si>
  <si>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</si>
  <si>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</si>
  <si>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</si>
  <si>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</si>
  <si>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</si>
  <si>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</si>
  <si>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</si>
  <si>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</si>
  <si>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</si>
  <si>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</si>
  <si>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</si>
  <si>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</si>
  <si>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</si>
  <si>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</si>
  <si>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</si>
  <si>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</si>
  <si>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</si>
  <si>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</si>
  <si>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</si>
  <si>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</si>
  <si>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</si>
  <si>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</si>
  <si>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</si>
  <si>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</si>
  <si>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</si>
  <si>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</si>
  <si>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</si>
  <si>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</si>
  <si>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</si>
  <si>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</si>
  <si>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</si>
  <si>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</si>
  <si>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</si>
  <si>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</si>
  <si>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</si>
  <si>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</si>
  <si>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</si>
  <si>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</si>
  <si>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</si>
  <si>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</si>
  <si>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</si>
  <si>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</si>
  <si>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</si>
  <si>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</si>
  <si>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</si>
  <si>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</si>
  <si>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</si>
  <si>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</si>
  <si>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</si>
  <si>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</si>
  <si>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</si>
  <si>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</si>
  <si>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</si>
  <si>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</si>
  <si>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</si>
  <si>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</si>
  <si>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</si>
  <si>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</si>
  <si>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</si>
  <si>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</si>
  <si>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</si>
  <si>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</si>
  <si>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</si>
  <si>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</si>
  <si>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</si>
  <si>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</si>
  <si>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</si>
  <si>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</si>
  <si>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</si>
  <si>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</si>
  <si>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</si>
  <si>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</si>
  <si>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</si>
  <si>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</si>
  <si>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</si>
  <si>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</si>
  <si>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</si>
  <si>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</si>
  <si>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</si>
  <si>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</si>
  <si>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</si>
  <si>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</si>
  <si>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</si>
  <si>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</si>
  <si>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</si>
  <si>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</si>
  <si>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</si>
  <si>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</si>
  <si>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</si>
  <si>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</si>
  <si>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</si>
  <si>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</si>
  <si>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</si>
  <si>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</si>
  <si>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</si>
  <si>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</si>
  <si>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</si>
  <si>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</si>
  <si>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</si>
  <si>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</si>
  <si>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</si>
  <si>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</si>
  <si>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</si>
  <si>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</si>
  <si>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</si>
  <si>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</si>
  <si>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</si>
  <si>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</si>
  <si>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</si>
  <si>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</si>
  <si>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</si>
  <si>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</si>
  <si>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</si>
  <si>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</si>
  <si>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</si>
  <si>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</si>
  <si>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</si>
  <si>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</si>
  <si>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</si>
  <si>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</si>
  <si>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</si>
  <si>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</si>
  <si>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</si>
  <si>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</si>
  <si>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</si>
  <si>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</si>
  <si>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</si>
  <si>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</si>
  <si>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</si>
  <si>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</si>
  <si>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</si>
  <si>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</si>
  <si>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</si>
  <si>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</si>
  <si>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</si>
  <si>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</si>
  <si>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</si>
  <si>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</si>
  <si>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</si>
  <si>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</si>
  <si>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</si>
  <si>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</si>
  <si>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</si>
  <si>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</si>
  <si>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</si>
  <si>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</si>
  <si>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</si>
  <si>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</si>
  <si>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</si>
  <si>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</si>
  <si>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</si>
  <si>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</si>
  <si>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</si>
  <si>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</si>
  <si>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</si>
  <si>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</si>
  <si>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</si>
  <si>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</si>
  <si>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</si>
  <si>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</si>
  <si>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</si>
  <si>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</si>
  <si>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</si>
  <si>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</si>
  <si>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</si>
  <si>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</si>
  <si>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</si>
  <si>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</si>
  <si>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</si>
  <si>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</si>
  <si>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</si>
  <si>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</si>
  <si>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</si>
  <si>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</si>
  <si>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</si>
  <si>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</si>
  <si>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</si>
  <si>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</si>
  <si>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</si>
  <si>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</si>
  <si>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</si>
  <si>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</si>
  <si>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</si>
  <si>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</si>
  <si>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</si>
  <si>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</si>
  <si>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</si>
  <si>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</si>
  <si>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</si>
  <si>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</si>
  <si>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</si>
  <si>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</si>
  <si>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</si>
  <si>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</si>
  <si>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</si>
  <si>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</si>
  <si>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</si>
  <si>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</si>
  <si>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</si>
  <si>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</si>
  <si>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</si>
  <si>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</si>
  <si>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</si>
  <si>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</si>
  <si>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</si>
  <si>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</si>
  <si>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</si>
  <si>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</si>
  <si>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</si>
  <si>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</si>
  <si>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</si>
  <si>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</si>
  <si>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</si>
  <si>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</si>
  <si>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</si>
  <si>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</si>
  <si>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</si>
  <si>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</si>
  <si>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</si>
  <si>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</si>
  <si>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</si>
  <si>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</si>
  <si>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</si>
  <si>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</si>
  <si>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</si>
  <si>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</si>
  <si>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</si>
  <si>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</si>
  <si>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</si>
  <si>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</si>
  <si>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</si>
  <si>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</si>
  <si>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</si>
  <si>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</si>
  <si>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</si>
  <si>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</si>
  <si>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</si>
  <si>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</si>
  <si>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</si>
  <si>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</si>
  <si>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</si>
  <si>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</si>
  <si>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</si>
  <si>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</si>
  <si>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</si>
  <si>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</si>
  <si>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</si>
  <si>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</si>
  <si>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</si>
  <si>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</si>
  <si>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</si>
  <si>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</si>
  <si>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</si>
  <si>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</si>
  <si>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</si>
  <si>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</si>
  <si>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</si>
  <si>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</si>
  <si>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</si>
  <si>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</si>
  <si>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</si>
  <si>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</si>
  <si>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</si>
  <si>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</si>
  <si>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</si>
  <si>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</si>
  <si>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</si>
  <si>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</si>
  <si>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</si>
  <si>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</si>
  <si>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</si>
  <si>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</si>
  <si>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</si>
  <si>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</si>
  <si>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</si>
  <si>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</si>
  <si>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</si>
  <si>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</si>
  <si>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</si>
  <si>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</si>
  <si>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</si>
  <si>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</si>
  <si>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</si>
  <si>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</si>
  <si>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</si>
  <si>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</si>
  <si>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</si>
  <si>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</si>
  <si>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</si>
  <si>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</si>
  <si>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</si>
  <si>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</si>
  <si>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</si>
  <si>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</si>
  <si>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</si>
  <si>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</si>
  <si>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</si>
  <si>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</si>
  <si>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</si>
  <si>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</si>
  <si>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</si>
  <si>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</si>
  <si>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</si>
  <si>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</si>
  <si>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</si>
  <si>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</si>
  <si>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</si>
  <si>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</si>
  <si>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</si>
  <si>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</si>
  <si>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</si>
  <si>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</si>
  <si>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</si>
  <si>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</si>
  <si>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</si>
  <si>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</si>
  <si>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</si>
  <si>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</si>
  <si>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</si>
  <si>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</si>
  <si>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</si>
  <si>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</si>
  <si>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</si>
  <si>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</si>
  <si>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</si>
  <si>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</si>
  <si>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</si>
  <si>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</si>
  <si>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</si>
  <si>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</si>
  <si>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</si>
  <si>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</si>
  <si>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</si>
  <si>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</si>
  <si>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</si>
  <si>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</si>
  <si>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</si>
  <si>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</si>
  <si>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</si>
  <si>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</si>
  <si>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</si>
  <si>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</si>
  <si>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</si>
  <si>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</si>
  <si>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</si>
  <si>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</si>
  <si>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</si>
  <si>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</si>
  <si>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</si>
  <si>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</si>
  <si>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</si>
  <si>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</si>
  <si>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</si>
  <si>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</si>
  <si>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</si>
  <si>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</si>
  <si>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</si>
  <si>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</si>
  <si>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</si>
  <si>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</si>
  <si>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</si>
  <si>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</si>
  <si>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</si>
  <si>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</si>
  <si>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</si>
  <si>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</si>
  <si>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</si>
  <si>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</si>
  <si>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</si>
  <si>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</si>
  <si>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</si>
  <si>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</si>
  <si>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</si>
  <si>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</si>
  <si>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</si>
  <si>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</si>
  <si>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</si>
  <si>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</si>
  <si>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</si>
  <si>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</si>
  <si>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</si>
  <si>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</si>
  <si>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</si>
  <si>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</si>
  <si>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</si>
  <si>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</si>
  <si>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</si>
  <si>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</si>
  <si>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</si>
  <si>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</si>
  <si>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</si>
  <si>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</si>
  <si>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</si>
  <si>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</si>
  <si>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</si>
  <si>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</si>
  <si>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</si>
  <si>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</si>
  <si>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</si>
  <si>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</si>
  <si>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</si>
  <si>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</si>
  <si>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</si>
  <si>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</si>
  <si>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</si>
  <si>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</si>
  <si>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</si>
  <si>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</si>
  <si>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</si>
  <si>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</si>
  <si>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</si>
  <si>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</si>
  <si>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</si>
  <si>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</si>
  <si>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</si>
  <si>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</si>
  <si>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</si>
  <si>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</si>
  <si>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</si>
  <si>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</si>
  <si>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</si>
  <si>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</si>
  <si>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</si>
  <si>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</si>
  <si>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</si>
  <si>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</si>
  <si>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</si>
  <si>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</si>
  <si>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</si>
  <si>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</si>
  <si>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</si>
  <si>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</si>
  <si>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</si>
  <si>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</si>
  <si>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</si>
  <si>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</si>
  <si>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</si>
  <si>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</si>
  <si>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</si>
  <si>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</si>
  <si>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</si>
  <si>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</si>
  <si>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</si>
  <si>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</si>
  <si>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</si>
  <si>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</si>
  <si>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</si>
  <si>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</si>
  <si>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</si>
  <si>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</si>
  <si>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</si>
  <si>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</si>
  <si>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</si>
  <si>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</si>
  <si>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</si>
  <si>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</si>
  <si>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</si>
  <si>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</si>
  <si>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</si>
  <si>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</si>
  <si>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</si>
  <si>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</si>
  <si>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</si>
  <si>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</si>
  <si>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</si>
  <si>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</si>
  <si>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</si>
  <si>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</si>
  <si>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</si>
  <si>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</si>
  <si>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</si>
  <si>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</si>
  <si>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</si>
  <si>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</si>
  <si>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</si>
  <si>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</si>
  <si>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</si>
  <si>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</si>
  <si>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</si>
  <si>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</si>
  <si>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</si>
  <si>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</si>
  <si>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</si>
  <si>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</si>
  <si>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</si>
  <si>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</si>
  <si>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</si>
  <si>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</si>
  <si>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</si>
  <si>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</si>
  <si>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</si>
  <si>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</si>
  <si>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</si>
  <si>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</si>
  <si>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</si>
  <si>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</si>
  <si>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</si>
  <si>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</si>
  <si>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</si>
  <si>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</si>
  <si>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</si>
  <si>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</si>
  <si>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</si>
  <si>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</si>
  <si>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</si>
  <si>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</si>
  <si>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</si>
  <si>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</si>
  <si>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</si>
  <si>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</si>
  <si>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</si>
  <si>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</si>
  <si>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</si>
  <si>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</si>
  <si>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</si>
  <si>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</si>
  <si>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</si>
  <si>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</si>
  <si>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</si>
  <si>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</si>
  <si>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</si>
  <si>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</si>
  <si>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</si>
  <si>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</si>
  <si>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</si>
  <si>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</si>
  <si>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</si>
  <si>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</si>
  <si>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</si>
  <si>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</si>
  <si>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</si>
  <si>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</si>
  <si>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</si>
  <si>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</si>
  <si>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</si>
  <si>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</si>
  <si>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</si>
  <si>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</si>
  <si>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</si>
  <si>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</si>
  <si>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</si>
  <si>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</si>
  <si>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</si>
  <si>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</si>
  <si>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</si>
  <si>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</si>
  <si>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</si>
  <si>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</si>
  <si>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</si>
  <si>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</si>
  <si>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</si>
  <si>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</si>
  <si>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</si>
  <si>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</si>
  <si>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</si>
  <si>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</si>
  <si>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</si>
  <si>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</si>
  <si>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</si>
  <si>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</si>
  <si>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</si>
  <si>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</si>
  <si>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</si>
  <si>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</si>
  <si>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</si>
  <si>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</si>
  <si>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</si>
  <si>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</si>
  <si>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</si>
  <si>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</si>
  <si>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</si>
  <si>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</si>
  <si>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</si>
  <si>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</si>
  <si>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</si>
  <si>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</si>
  <si>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</si>
  <si>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</si>
  <si>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</si>
  <si>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</si>
  <si>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</si>
  <si>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</si>
  <si>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</si>
  <si>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</si>
  <si>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</si>
  <si>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</si>
  <si>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</si>
  <si>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</si>
  <si>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</si>
  <si>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</si>
  <si>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</si>
  <si>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</si>
  <si>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</si>
  <si>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</si>
  <si>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</si>
  <si>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</si>
  <si>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</si>
  <si>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</si>
  <si>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</si>
  <si>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</si>
  <si>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</si>
  <si>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</si>
  <si>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</si>
  <si>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</si>
  <si>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</si>
  <si>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</si>
  <si>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</si>
  <si>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</si>
  <si>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</si>
  <si>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</si>
  <si>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</si>
  <si>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</si>
  <si>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</si>
  <si>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</si>
  <si>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</si>
  <si>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</si>
  <si>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</si>
  <si>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</si>
  <si>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</si>
  <si>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</si>
  <si>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</si>
  <si>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</si>
  <si>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</si>
  <si>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</si>
  <si>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</si>
  <si>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</si>
  <si>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</si>
  <si>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</si>
  <si>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</si>
  <si>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</si>
  <si>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</si>
  <si>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</si>
  <si>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</si>
  <si>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</si>
  <si>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</si>
  <si>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</si>
  <si>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</si>
  <si>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</si>
  <si>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</si>
  <si>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</si>
  <si>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</si>
  <si>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</si>
  <si>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</si>
  <si>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</si>
  <si>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</si>
  <si>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</si>
  <si>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</si>
  <si>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</si>
  <si>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</si>
  <si>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</si>
  <si>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</si>
  <si>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</si>
  <si>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</si>
  <si>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</si>
  <si>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</si>
  <si>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</si>
  <si>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</si>
  <si>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</si>
  <si>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</si>
  <si>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</si>
  <si>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</si>
  <si>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</si>
  <si>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</si>
  <si>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</si>
  <si>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</si>
  <si>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</si>
  <si>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</si>
  <si>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</si>
  <si>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</si>
  <si>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</si>
  <si>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</si>
  <si>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</si>
  <si>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</si>
  <si>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</si>
  <si>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</si>
  <si>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</si>
  <si>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</si>
  <si>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</si>
  <si>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</si>
  <si>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</si>
  <si>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</si>
  <si>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</si>
  <si>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</si>
  <si>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</si>
  <si>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</si>
  <si>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</si>
  <si>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</si>
  <si>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</si>
  <si>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</si>
  <si>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</si>
  <si>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</si>
  <si>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</si>
  <si>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</si>
  <si>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</si>
  <si>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</si>
  <si>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</si>
  <si>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</si>
  <si>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</si>
  <si>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</si>
  <si>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</si>
  <si>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</si>
  <si>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</si>
  <si>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</si>
  <si>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</si>
  <si>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</si>
  <si>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</si>
  <si>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</si>
  <si>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</si>
  <si>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</si>
  <si>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</si>
  <si>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</si>
  <si>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</si>
  <si>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</si>
  <si>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</si>
  <si>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</si>
  <si>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</si>
  <si>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</si>
  <si>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</si>
  <si>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</si>
  <si>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</si>
  <si>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</si>
  <si>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</si>
  <si>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</si>
  <si>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</si>
  <si>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</si>
  <si>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</si>
  <si>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</si>
  <si>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</si>
  <si>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</si>
  <si>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</si>
  <si>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</si>
  <si>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</si>
  <si>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</si>
  <si>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</si>
  <si>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</si>
  <si>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</si>
  <si>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</si>
  <si>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</si>
  <si>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</si>
  <si>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</si>
  <si>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</si>
  <si>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</si>
  <si>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</si>
  <si>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</si>
  <si>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</si>
  <si>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</si>
  <si>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</si>
  <si>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</si>
  <si>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</si>
  <si>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</si>
  <si>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</si>
  <si>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</si>
  <si>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</si>
  <si>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</si>
  <si>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</si>
  <si>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</si>
  <si>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</si>
  <si>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</si>
  <si>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</si>
  <si>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</si>
  <si>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</si>
  <si>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</si>
  <si>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</si>
  <si>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</si>
  <si>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</si>
  <si>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</si>
  <si>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</si>
  <si>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</si>
  <si>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</si>
  <si>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</si>
  <si>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</si>
  <si>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</si>
  <si>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</si>
  <si>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</si>
  <si>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</si>
  <si>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</si>
  <si>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</si>
  <si>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</si>
  <si>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</si>
  <si>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</si>
  <si>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</si>
  <si>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</si>
  <si>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</si>
  <si>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</si>
  <si>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</si>
  <si>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</si>
  <si>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</si>
  <si>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</si>
  <si>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</si>
  <si>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</si>
  <si>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</si>
  <si>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</si>
  <si>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</si>
  <si>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</si>
  <si>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</si>
  <si>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</si>
  <si>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</si>
  <si>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</si>
  <si>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</si>
  <si>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</si>
  <si>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</si>
  <si>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</si>
  <si>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</si>
  <si>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</si>
  <si>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</si>
  <si>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</si>
  <si>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</si>
  <si>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</si>
  <si>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</si>
  <si>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</si>
  <si>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</si>
  <si>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</si>
  <si>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</si>
  <si>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</si>
  <si>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</si>
  <si>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</si>
  <si>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</si>
  <si>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</si>
  <si>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</si>
  <si>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</si>
  <si>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</si>
  <si>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</si>
  <si>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</si>
  <si>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</si>
  <si>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</si>
  <si>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</si>
  <si>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</si>
  <si>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</si>
  <si>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</si>
  <si>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</si>
  <si>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</si>
  <si>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</si>
  <si>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</si>
  <si>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</si>
  <si>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</si>
  <si>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</si>
  <si>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</si>
  <si>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</si>
  <si>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</si>
  <si>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</si>
  <si>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</si>
  <si>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</si>
  <si>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</si>
  <si>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</si>
  <si>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</si>
  <si>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</si>
  <si>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</si>
  <si>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</si>
  <si>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</si>
  <si>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</si>
  <si>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</si>
  <si>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</si>
  <si>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</si>
  <si>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</si>
  <si>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</si>
  <si>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</si>
  <si>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</si>
  <si>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</si>
  <si>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</si>
  <si>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</si>
  <si>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</si>
  <si>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</si>
  <si>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</si>
  <si>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</si>
  <si>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</si>
  <si>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</si>
  <si>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</si>
  <si>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</si>
  <si>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</si>
  <si>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</si>
  <si>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</si>
  <si>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</si>
  <si>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</si>
  <si>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</si>
  <si>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</si>
  <si>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</si>
  <si>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</si>
  <si>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</si>
  <si>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</si>
  <si>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</si>
  <si>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</si>
  <si>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</si>
  <si>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</si>
  <si>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</si>
  <si>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</si>
  <si>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</si>
  <si>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</si>
  <si>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</si>
  <si>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</si>
  <si>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</si>
  <si>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</si>
  <si>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</si>
  <si>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</si>
  <si>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</si>
  <si>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</si>
  <si>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</si>
  <si>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</si>
  <si>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</si>
  <si>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</si>
  <si>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</si>
  <si>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</si>
  <si>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</si>
  <si>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</si>
  <si>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</si>
  <si>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</si>
  <si>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</si>
  <si>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</si>
  <si>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</si>
  <si>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</si>
  <si>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</si>
  <si>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</si>
  <si>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</si>
  <si>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</si>
  <si>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</si>
  <si>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</si>
  <si>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</si>
  <si>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</si>
  <si>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</si>
  <si>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</si>
  <si>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</si>
  <si>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</si>
  <si>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</si>
  <si>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</si>
  <si>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</si>
  <si>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</si>
  <si>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</si>
  <si>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</si>
  <si>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</si>
  <si>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</si>
  <si>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</si>
  <si>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</si>
  <si>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</si>
  <si>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</si>
  <si>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</si>
  <si>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</si>
  <si>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</si>
  <si>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</si>
  <si>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</si>
  <si>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</si>
  <si>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</si>
  <si>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</si>
  <si>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</si>
  <si>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</si>
  <si>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</si>
  <si>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</si>
  <si>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</si>
  <si>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</si>
  <si>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</si>
  <si>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</si>
  <si>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</si>
  <si>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</si>
  <si>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</si>
  <si>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</si>
  <si>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</si>
  <si>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</si>
  <si>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</si>
  <si>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</si>
  <si>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</si>
  <si>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</si>
  <si>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</si>
  <si>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</si>
  <si>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</si>
  <si>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</si>
  <si>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</si>
  <si>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</si>
  <si>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</si>
  <si>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</si>
  <si>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</si>
  <si>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</si>
  <si>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</si>
  <si>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</si>
  <si>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</si>
  <si>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</si>
  <si>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</si>
  <si>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</si>
  <si>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</si>
  <si>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</si>
  <si>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</si>
  <si>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</si>
  <si>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</si>
  <si>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</si>
  <si>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</si>
  <si>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</si>
  <si>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</si>
  <si>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</si>
  <si>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</si>
  <si>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</si>
  <si>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</si>
  <si>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</si>
  <si>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</si>
  <si>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</si>
  <si>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</si>
  <si>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</si>
  <si>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</si>
  <si>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</si>
  <si>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</si>
  <si>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</si>
  <si>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</si>
  <si>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</si>
  <si>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</si>
  <si>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</si>
  <si>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</si>
  <si>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</si>
  <si>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</si>
  <si>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</si>
  <si>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</si>
  <si>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</si>
  <si>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</si>
  <si>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</si>
  <si>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</si>
  <si>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</si>
  <si>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</si>
  <si>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</si>
  <si>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</si>
  <si>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</si>
  <si>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</si>
  <si>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</si>
  <si>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</si>
  <si>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</si>
  <si>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</si>
  <si>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</si>
  <si>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</si>
  <si>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</si>
  <si>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</si>
  <si>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</si>
  <si>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</si>
  <si>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</si>
  <si>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</si>
  <si>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</si>
  <si>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</si>
  <si>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</si>
  <si>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</si>
  <si>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</si>
  <si>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</si>
  <si>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</si>
  <si>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</si>
  <si>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</si>
  <si>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</si>
  <si>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</si>
  <si>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</si>
  <si>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</si>
  <si>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</si>
  <si>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</si>
  <si>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</si>
  <si>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</si>
  <si>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</si>
  <si>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</si>
  <si>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</si>
  <si>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</si>
  <si>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</si>
  <si>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</si>
  <si>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</si>
  <si>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</si>
  <si>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</si>
  <si>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</si>
  <si>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</si>
  <si>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</si>
  <si>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</si>
  <si>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</si>
  <si>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</si>
  <si>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</si>
  <si>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</si>
  <si>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</si>
  <si>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</si>
  <si>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</si>
  <si>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</si>
  <si>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</si>
  <si>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</si>
  <si>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</si>
  <si>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</si>
  <si>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</si>
  <si>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</si>
  <si>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</si>
  <si>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</si>
  <si>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</si>
  <si>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</si>
  <si>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</si>
  <si>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</si>
  <si>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</si>
  <si>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</si>
  <si>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</si>
  <si>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</si>
  <si>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</si>
  <si>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</si>
  <si>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</si>
  <si>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</si>
  <si>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</si>
  <si>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</si>
  <si>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</si>
  <si>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</si>
  <si>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</si>
  <si>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</si>
  <si>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</si>
  <si>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</si>
  <si>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</si>
  <si>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</si>
  <si>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</si>
  <si>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</si>
  <si>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</si>
  <si>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</si>
  <si>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</si>
  <si>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</si>
  <si>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</si>
  <si>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</si>
  <si>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</si>
  <si>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</si>
  <si>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</si>
  <si>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</si>
  <si>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</si>
  <si>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</si>
  <si>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</si>
  <si>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</si>
  <si>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</si>
  <si>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</si>
  <si>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</si>
  <si>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</si>
  <si>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</si>
  <si>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</si>
  <si>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</si>
  <si>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</si>
  <si>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</si>
  <si>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</si>
  <si>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</si>
  <si>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</si>
  <si>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</si>
  <si>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</si>
  <si>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</si>
  <si>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</si>
  <si>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</si>
  <si>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</si>
  <si>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</si>
  <si>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</si>
  <si>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</si>
  <si>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</si>
  <si>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</si>
  <si>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</si>
  <si>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</si>
  <si>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</si>
  <si>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</si>
  <si>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</si>
  <si>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</si>
  <si>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</si>
  <si>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</si>
  <si>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</si>
  <si>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</si>
  <si>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</si>
  <si>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</si>
  <si>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</si>
  <si>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</si>
  <si>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</si>
  <si>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</si>
  <si>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</si>
  <si>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</si>
  <si>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</si>
  <si>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</si>
  <si>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</si>
  <si>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</si>
  <si>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</si>
  <si>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</si>
  <si>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</si>
  <si>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</si>
  <si>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</si>
  <si>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</si>
  <si>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</si>
  <si>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</si>
  <si>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</si>
  <si>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</si>
  <si>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</si>
  <si>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</si>
  <si>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</si>
  <si>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</si>
  <si>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</si>
  <si>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</si>
  <si>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</si>
  <si>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</si>
  <si>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</si>
  <si>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</si>
  <si>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</si>
  <si>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</si>
  <si>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</si>
  <si>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</si>
  <si>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</si>
  <si>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</si>
  <si>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</si>
  <si>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</si>
  <si>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</si>
  <si>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</si>
  <si>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</si>
  <si>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</si>
  <si>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</si>
  <si>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</si>
  <si>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</si>
  <si>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</si>
  <si>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</si>
  <si>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</si>
  <si>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</si>
  <si>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</si>
  <si>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</si>
  <si>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</si>
  <si>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</si>
  <si>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</si>
  <si>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</si>
  <si>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</si>
  <si>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</si>
  <si>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</si>
  <si>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</si>
  <si>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</si>
  <si>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</si>
  <si>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</si>
  <si>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</si>
  <si>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</si>
  <si>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</si>
  <si>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</si>
  <si>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</si>
  <si>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</si>
  <si>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</si>
  <si>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</si>
  <si>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</si>
  <si>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</si>
  <si>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</si>
  <si>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</si>
  <si>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</si>
  <si>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</si>
  <si>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</si>
  <si>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</si>
  <si>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</si>
  <si>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</si>
  <si>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</si>
  <si>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</si>
  <si>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</si>
  <si>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</si>
  <si>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</si>
  <si>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</si>
  <si>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</si>
  <si>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</si>
  <si>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</si>
  <si>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</si>
  <si>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</si>
  <si>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</si>
  <si>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</si>
  <si>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</si>
  <si>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</si>
  <si>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</si>
  <si>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</si>
  <si>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</si>
  <si>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</si>
  <si>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</si>
  <si>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</si>
  <si>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</si>
  <si>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</si>
  <si>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</si>
  <si>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</si>
  <si>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</si>
  <si>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</si>
  <si>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</si>
  <si>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</si>
  <si>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</si>
  <si>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</si>
  <si>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</si>
  <si>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</si>
  <si>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</si>
  <si>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</si>
  <si>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</si>
  <si>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</si>
  <si>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</si>
  <si>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</si>
  <si>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</si>
  <si>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</si>
  <si>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</si>
  <si>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</si>
  <si>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</si>
  <si>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</si>
  <si>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</si>
  <si>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</si>
  <si>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</si>
  <si>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</si>
  <si>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</si>
  <si>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</si>
  <si>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</si>
  <si>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</si>
  <si>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</si>
  <si>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</si>
  <si>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</si>
  <si>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</si>
  <si>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</si>
  <si>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</si>
  <si>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</si>
  <si>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</si>
  <si>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</si>
  <si>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</si>
  <si>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</si>
  <si>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</si>
  <si>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</si>
  <si>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</si>
  <si>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</si>
  <si>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</si>
  <si>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</si>
  <si>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</si>
  <si>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</si>
  <si>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</si>
  <si>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</si>
  <si>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</si>
  <si>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</si>
  <si>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</si>
  <si>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</si>
  <si>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</si>
  <si>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</si>
  <si>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</si>
  <si>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</si>
  <si>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</si>
  <si>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</si>
  <si>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</si>
  <si>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</si>
  <si>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</si>
  <si>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</si>
  <si>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</si>
  <si>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</si>
  <si>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</si>
  <si>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</si>
  <si>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</si>
  <si>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</si>
  <si>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</si>
  <si>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</si>
  <si>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</si>
  <si>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</si>
  <si>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</si>
  <si>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</si>
  <si>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</si>
  <si>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</si>
  <si>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</si>
  <si>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</si>
  <si>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</si>
  <si>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</si>
  <si>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</si>
  <si>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</si>
  <si>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</si>
  <si>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</si>
  <si>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</si>
  <si>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</si>
  <si>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</si>
  <si>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</si>
  <si>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</si>
  <si>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</si>
  <si>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</si>
  <si>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</si>
  <si>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</si>
  <si>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</si>
  <si>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</si>
  <si>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</si>
  <si>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</si>
  <si>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</si>
  <si>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</si>
  <si>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</si>
  <si>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</si>
  <si>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</si>
  <si>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</si>
  <si>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</si>
  <si>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</si>
  <si>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</si>
  <si>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</si>
  <si>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</si>
  <si>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</si>
  <si>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</si>
  <si>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</si>
  <si>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</si>
  <si>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</si>
  <si>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</si>
  <si>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</si>
  <si>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</si>
  <si>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</si>
  <si>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</si>
  <si>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</si>
  <si>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</si>
  <si>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</si>
  <si>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</si>
  <si>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</si>
  <si>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</si>
  <si>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</si>
  <si>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</si>
  <si>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</si>
  <si>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</si>
  <si>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</si>
  <si>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</si>
  <si>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</si>
  <si>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</si>
  <si>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</si>
  <si>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</si>
  <si>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</si>
  <si>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</si>
  <si>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</si>
  <si>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</si>
  <si>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</si>
  <si>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</si>
  <si>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</si>
  <si>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</si>
  <si>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</si>
  <si>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</si>
  <si>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</si>
  <si>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</si>
  <si>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</si>
  <si>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</si>
  <si>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</si>
  <si>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</si>
  <si>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</si>
  <si>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</si>
  <si>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</si>
  <si>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</si>
  <si>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</si>
  <si>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</si>
  <si>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</si>
  <si>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</si>
  <si>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</si>
  <si>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</si>
  <si>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</si>
  <si>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</si>
  <si>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</si>
  <si>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</si>
  <si>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</si>
  <si>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</si>
  <si>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</si>
  <si>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</si>
  <si>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</si>
  <si>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</si>
  <si>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</si>
  <si>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</si>
  <si>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</si>
  <si>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</si>
  <si>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</si>
  <si>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</si>
  <si>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</si>
  <si>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</si>
  <si>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</si>
  <si>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</si>
  <si>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</si>
  <si>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</si>
  <si>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</si>
  <si>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</si>
  <si>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</si>
  <si>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</si>
  <si>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</si>
  <si>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</si>
  <si>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</si>
  <si>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</si>
  <si>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</si>
  <si>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</si>
  <si>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</si>
  <si>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</si>
  <si>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</si>
  <si>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</si>
  <si>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</si>
  <si>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</si>
  <si>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</si>
  <si>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</si>
  <si>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</si>
  <si>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</si>
  <si>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</si>
  <si>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</si>
  <si>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</si>
  <si>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</si>
  <si>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</si>
  <si>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</si>
  <si>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</si>
  <si>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</si>
  <si>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</si>
  <si>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</si>
  <si>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</si>
  <si>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</si>
  <si>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</si>
  <si>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</si>
  <si>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</si>
  <si>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</si>
  <si>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</si>
  <si>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</si>
  <si>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</si>
  <si>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</si>
  <si>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</si>
  <si>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</si>
  <si>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</si>
  <si>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</si>
  <si>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</si>
  <si>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</si>
  <si>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</si>
  <si>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</si>
  <si>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</si>
  <si>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</si>
  <si>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</si>
  <si>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</si>
  <si>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</si>
  <si>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</si>
  <si>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</si>
  <si>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</si>
  <si>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</si>
  <si>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</si>
  <si>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</si>
  <si>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</si>
  <si>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</si>
  <si>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</si>
  <si>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</si>
  <si>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</si>
  <si>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</si>
  <si>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</si>
  <si>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</si>
  <si>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</si>
  <si>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</si>
  <si>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</si>
  <si>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</si>
  <si>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</si>
  <si>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</si>
  <si>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</si>
  <si>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</si>
  <si>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</si>
  <si>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</si>
  <si>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</si>
  <si>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</si>
  <si>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</si>
  <si>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</si>
  <si>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</si>
  <si>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</si>
  <si>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</si>
  <si>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</si>
  <si>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</si>
  <si>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</si>
  <si>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</si>
  <si>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</si>
  <si>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</si>
  <si>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</si>
  <si>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</si>
  <si>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</si>
  <si>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</si>
  <si>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</si>
  <si>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</si>
  <si>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</si>
  <si>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</si>
  <si>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</si>
  <si>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</si>
  <si>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</si>
  <si>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</si>
  <si>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</si>
  <si>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</si>
  <si>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</si>
  <si>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</si>
  <si>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</si>
  <si>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</si>
  <si>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</si>
  <si>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</si>
  <si>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</si>
  <si>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</si>
  <si>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</si>
  <si>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</si>
  <si>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</si>
  <si>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</si>
  <si>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</si>
  <si>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</si>
  <si>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</si>
  <si>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</si>
  <si>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</si>
  <si>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</si>
  <si>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</si>
  <si>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</si>
  <si>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</si>
  <si>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</si>
  <si>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</si>
  <si>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</si>
  <si>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</si>
  <si>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</si>
  <si>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</si>
  <si>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</si>
  <si>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</si>
  <si>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</si>
  <si>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</si>
  <si>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</si>
  <si>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</si>
  <si>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</si>
  <si>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</si>
  <si>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</si>
  <si>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</si>
  <si>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</si>
  <si>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</si>
  <si>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</si>
  <si>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</si>
  <si>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</si>
  <si>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</si>
  <si>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</si>
  <si>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</si>
  <si>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</si>
  <si>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</si>
  <si>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</si>
  <si>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</si>
  <si>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</si>
  <si>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</si>
  <si>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</si>
  <si>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</si>
  <si>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</si>
  <si>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</si>
  <si>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</si>
  <si>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</si>
  <si>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</si>
  <si>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</si>
  <si>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</si>
  <si>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</si>
  <si>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</si>
  <si>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</si>
  <si>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</si>
  <si>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</si>
  <si>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</si>
  <si>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</si>
  <si>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</si>
  <si>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</si>
  <si>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</si>
  <si>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</si>
  <si>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</si>
  <si>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</si>
  <si>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</si>
  <si>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</si>
  <si>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</si>
  <si>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</si>
  <si>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</si>
  <si>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</si>
  <si>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</si>
  <si>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</si>
  <si>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</si>
  <si>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</si>
  <si>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</si>
  <si>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</si>
  <si>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</si>
  <si>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</si>
  <si>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</si>
  <si>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</si>
  <si>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</si>
  <si>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</si>
  <si>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</si>
  <si>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</si>
  <si>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</si>
  <si>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</si>
  <si>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</si>
  <si>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</si>
  <si>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</si>
  <si>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</si>
  <si>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</si>
  <si>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</si>
  <si>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</si>
  <si>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</si>
  <si>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</si>
  <si>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</si>
  <si>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</si>
  <si>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</si>
  <si>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</si>
  <si>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</si>
  <si>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</si>
  <si>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</si>
  <si>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</si>
  <si>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</si>
  <si>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</si>
  <si>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</si>
  <si>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</si>
  <si>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</si>
  <si>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</si>
  <si>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</si>
  <si>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</si>
  <si>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</si>
  <si>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</si>
  <si>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</si>
  <si>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</si>
  <si>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</si>
  <si>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</si>
  <si>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</si>
  <si>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</si>
  <si>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</si>
  <si>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</si>
  <si>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</si>
  <si>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</si>
  <si>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</si>
  <si>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</si>
  <si>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</si>
  <si>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</si>
  <si>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</si>
  <si>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</si>
  <si>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</si>
  <si>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</si>
  <si>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</si>
  <si>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</si>
  <si>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</si>
  <si>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</si>
  <si>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</si>
  <si>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</si>
  <si>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</si>
  <si>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</si>
  <si>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</si>
  <si>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</si>
  <si>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</si>
  <si>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</si>
  <si>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</si>
  <si>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</si>
  <si>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</si>
  <si>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</si>
  <si>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</si>
  <si>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</si>
  <si>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</si>
  <si>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</si>
  <si>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</si>
  <si>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</si>
  <si>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</si>
  <si>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</si>
  <si>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</si>
  <si>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</si>
  <si>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</si>
  <si>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</si>
  <si>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</si>
  <si>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</si>
  <si>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</si>
  <si>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</si>
  <si>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</si>
  <si>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</si>
  <si>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</si>
  <si>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</si>
  <si>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</si>
  <si>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</si>
  <si>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</si>
  <si>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</si>
  <si>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</si>
  <si>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</si>
  <si>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</si>
  <si>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</si>
  <si>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</si>
  <si>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</si>
  <si>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</si>
  <si>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</si>
  <si>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</si>
  <si>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</si>
  <si>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</si>
  <si>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</si>
  <si>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</si>
  <si>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</si>
  <si>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</si>
  <si>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</si>
  <si>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</si>
  <si>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</si>
  <si>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</si>
  <si>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</si>
  <si>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</si>
  <si>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</si>
  <si>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</si>
  <si>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</si>
  <si>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</si>
  <si>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</si>
  <si>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</si>
  <si>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</si>
  <si>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</si>
  <si>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</si>
  <si>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</si>
  <si>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</si>
  <si>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</si>
  <si>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</si>
  <si>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</si>
  <si>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</si>
  <si>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</si>
  <si>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</si>
  <si>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</si>
  <si>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</si>
  <si>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</si>
  <si>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</si>
  <si>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</si>
  <si>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</si>
  <si>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</si>
  <si>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</si>
  <si>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</si>
  <si>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</si>
  <si>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</si>
  <si>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</si>
  <si>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</si>
  <si>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</si>
  <si>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</si>
  <si>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</si>
  <si>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</si>
  <si>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</si>
  <si>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</si>
  <si>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</si>
  <si>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</si>
  <si>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</si>
  <si>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</si>
  <si>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</si>
  <si>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</si>
  <si>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</si>
  <si>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</si>
  <si>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</si>
  <si>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</si>
  <si>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</si>
  <si>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</si>
  <si>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</si>
  <si>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</si>
  <si>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</si>
  <si>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</si>
  <si>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</si>
  <si>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</si>
  <si>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</si>
  <si>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</si>
  <si>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</si>
  <si>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</si>
  <si>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</si>
  <si>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</si>
  <si>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</si>
  <si>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</si>
  <si>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</si>
  <si>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</si>
  <si>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</si>
  <si>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</si>
  <si>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</si>
  <si>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</si>
  <si>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</si>
  <si>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</si>
  <si>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</si>
  <si>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</si>
  <si>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</si>
  <si>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</si>
  <si>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</si>
  <si>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</si>
  <si>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</si>
  <si>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</si>
  <si>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</si>
  <si>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</si>
  <si>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</si>
  <si>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</si>
  <si>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</si>
  <si>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</si>
  <si>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</si>
  <si>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</si>
  <si>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</si>
  <si>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</si>
  <si>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</si>
  <si>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</si>
  <si>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</si>
  <si>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</si>
  <si>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</si>
  <si>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</si>
  <si>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</si>
  <si>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</si>
  <si>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</si>
  <si>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</si>
  <si>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</si>
  <si>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</si>
  <si>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</si>
  <si>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</si>
  <si>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</si>
  <si>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</si>
  <si>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</si>
  <si>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</si>
  <si>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</si>
  <si>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</si>
  <si>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</si>
  <si>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</si>
  <si>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</si>
  <si>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</si>
  <si>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</si>
  <si>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</si>
  <si>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</si>
  <si>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</si>
  <si>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</si>
  <si>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found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</si>
  <si>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</si>
  <si>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</si>
  <si>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</si>
  <si>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</si>
  <si>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</si>
  <si>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</si>
  <si>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</si>
  <si>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</si>
  <si>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</si>
  <si>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</si>
  <si>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</si>
  <si>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</si>
  <si>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</si>
  <si>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</si>
  <si>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</si>
  <si>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</si>
  <si>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</si>
  <si>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</si>
  <si>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</si>
  <si>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</si>
  <si>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</si>
  <si>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</si>
  <si>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</si>
  <si>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</si>
  <si>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</si>
  <si>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</si>
  <si>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</si>
  <si>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</si>
  <si>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</si>
  <si>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</si>
  <si>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</si>
  <si>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</si>
  <si>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</si>
  <si>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</si>
  <si>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</si>
  <si>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</si>
  <si>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</si>
  <si>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</si>
  <si>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</si>
  <si>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</si>
  <si>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</si>
  <si>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</si>
  <si>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</si>
  <si>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</si>
  <si>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</si>
  <si>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</si>
  <si>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</si>
  <si>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</si>
  <si>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</si>
  <si>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</si>
  <si>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</si>
  <si>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</si>
  <si>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</si>
  <si>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</si>
  <si>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</si>
  <si>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</si>
  <si>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</si>
  <si>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</si>
  <si>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</si>
  <si>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</si>
  <si>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</si>
  <si>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</si>
  <si>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</si>
  <si>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</si>
  <si>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</si>
  <si>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</si>
  <si>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</si>
  <si>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</si>
  <si>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</si>
  <si>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</si>
  <si>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</si>
  <si>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</si>
  <si>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</si>
  <si>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Percentage Canceled</t>
  </si>
  <si>
    <t>Goal</t>
  </si>
  <si>
    <t>Number Successful</t>
  </si>
  <si>
    <t>Number Failed</t>
  </si>
  <si>
    <t> Number Canceled</t>
  </si>
  <si>
    <t> 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</si>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</sst>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/>
    <xf numFmtId="14" fontId="3" fillId="0" borderId="0" xfId="0" applyNumberFormat="1" applyFont="1" applyAlignment="1">
      <alignment vertical="center"/>
    </xf>
    <xf numFmtId="0" fontId="1" fillId="0" borderId="0" xfId="0" applyFont="1"/>
    <xf numFmtId="0" fontId="0" fillId="0" borderId="0" xfId="0" applyFont="1" applyAlignment="1">
      <alignment horizontal="left" vertical="center" wrapText="1" indent="1"/>
    </xf>
  </cellXfs>
  <cellStyles count="2">
    <cellStyle name="Normal" xfId="0" builtinId="0"/>
    <cellStyle name="Percent" xfId="1" builtinId="5"/>
  </cellStyles>
  <dxfs count="6"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Fig</a:t>
            </a:r>
            <a:r>
              <a:rPr lang="en-US" b="1" baseline="0"/>
              <a:t> 1: Categories vs Projects' Outcomes</a:t>
            </a:r>
            <a:endParaRPr lang="en-US" b="1"/>
          </a:p>
        </c:rich>
      </c:tx>
      <c:layout>
        <c:manualLayout>
          <c:xMode val="edge"/>
          <c:yMode val="edge"/>
          <c:x val="0.4381399072014725"/>
          <c:y val="4.85727665784515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952867892050347E-2"/>
          <c:y val="0.17240939511717046"/>
          <c:w val="0.82346936221250777"/>
          <c:h val="0.6810337582482497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E2-451D-808F-D86BF12FEEBA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E2-451D-808F-D86BF12FEEBA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E2-451D-808F-D86BF12FEEBA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E2-451D-808F-D86BF12FE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3285552"/>
        <c:axId val="503287848"/>
      </c:barChart>
      <c:catAx>
        <c:axId val="503285552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287848"/>
        <c:crosses val="autoZero"/>
        <c:auto val="1"/>
        <c:lblAlgn val="ctr"/>
        <c:lblOffset val="100"/>
        <c:noMultiLvlLbl val="0"/>
      </c:catAx>
      <c:valAx>
        <c:axId val="503287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28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Fig</a:t>
            </a:r>
            <a:r>
              <a:rPr lang="en-US" b="1" baseline="0"/>
              <a:t> 2: Sub-categories vs Porjects' Outcomes</a:t>
            </a:r>
            <a:endParaRPr lang="en-US" b="1"/>
          </a:p>
        </c:rich>
      </c:tx>
      <c:layout>
        <c:manualLayout>
          <c:xMode val="edge"/>
          <c:yMode val="edge"/>
          <c:x val="0.32183485438782011"/>
          <c:y val="6.02097994323659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7D-4692-92D4-BA1325B74289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7D-4692-92D4-BA1325B74289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7D-4692-92D4-BA1325B74289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7D-4692-92D4-BA1325B74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5578632"/>
        <c:axId val="505575352"/>
      </c:barChart>
      <c:catAx>
        <c:axId val="505578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575352"/>
        <c:crosses val="autoZero"/>
        <c:auto val="1"/>
        <c:lblAlgn val="ctr"/>
        <c:lblOffset val="100"/>
        <c:noMultiLvlLbl val="0"/>
      </c:catAx>
      <c:valAx>
        <c:axId val="505575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578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[StarterBook.xlsx]Outcome_launch_date!PivotTable1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Fig</a:t>
            </a:r>
            <a:r>
              <a:rPr lang="en-US" b="1" baseline="0"/>
              <a:t> 3: Outcomes of  technology </a:t>
            </a:r>
            <a:r>
              <a:rPr lang="en-US" sz="1600" b="1" baseline="0"/>
              <a:t>projects in 2016</a:t>
            </a:r>
            <a:endParaRPr lang="en-US" b="1"/>
          </a:p>
        </c:rich>
      </c:tx>
      <c:layout>
        <c:manualLayout>
          <c:xMode val="edge"/>
          <c:yMode val="edge"/>
          <c:x val="0.23392497701440529"/>
          <c:y val="7.16160479940007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2679561294283397E-2"/>
          <c:y val="0.20523509561304837"/>
          <c:w val="0.74814009635608258"/>
          <c:h val="0.65832745906761658"/>
        </c:manualLayout>
      </c:layout>
      <c:lineChart>
        <c:grouping val="standard"/>
        <c:varyColors val="0"/>
        <c:ser>
          <c:idx val="0"/>
          <c:order val="0"/>
          <c:tx>
            <c:strRef>
              <c:f>Outcome_launch_date!$B$4:$B$5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Outcome_launch_date!$B$6:$B$18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5E-4C27-A615-2030C3C2EB50}"/>
            </c:ext>
          </c:extLst>
        </c:ser>
        <c:ser>
          <c:idx val="1"/>
          <c:order val="1"/>
          <c:tx>
            <c:strRef>
              <c:f>Outcome_launch_date!$C$4:$C$5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Outcome_launch_date!$C$6:$C$18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5E-4C27-A615-2030C3C2EB50}"/>
            </c:ext>
          </c:extLst>
        </c:ser>
        <c:ser>
          <c:idx val="2"/>
          <c:order val="2"/>
          <c:tx>
            <c:strRef>
              <c:f>Outcome_launch_date!$D$4:$D$5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Outcome_launch_date!$D$6:$D$18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5E-4C27-A615-2030C3C2EB50}"/>
            </c:ext>
          </c:extLst>
        </c:ser>
        <c:ser>
          <c:idx val="3"/>
          <c:order val="3"/>
          <c:tx>
            <c:strRef>
              <c:f>Outcome_launch_date!$E$4:$E$5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Outcome_launch_date!$A$6:$A$18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Outcome_launch_date!$E$6:$E$18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6C-40BC-921D-667D3DA23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2621216"/>
        <c:axId val="502621544"/>
      </c:lineChart>
      <c:catAx>
        <c:axId val="50262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621544"/>
        <c:crosses val="autoZero"/>
        <c:auto val="1"/>
        <c:lblAlgn val="ctr"/>
        <c:lblOffset val="100"/>
        <c:noMultiLvlLbl val="0"/>
      </c:catAx>
      <c:valAx>
        <c:axId val="50262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Count of each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62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of projects vs amount of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Bonus!$B$2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Bonus!$B$3:$B$14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ED-4DF8-8E31-37BE0F1E07FD}"/>
            </c:ext>
          </c:extLst>
        </c:ser>
        <c:ser>
          <c:idx val="1"/>
          <c:order val="1"/>
          <c:tx>
            <c:strRef>
              <c:f>Bonus!$C$2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Bonus!$C$3:$C$14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ED-4DF8-8E31-37BE0F1E07FD}"/>
            </c:ext>
          </c:extLst>
        </c:ser>
        <c:ser>
          <c:idx val="2"/>
          <c:order val="2"/>
          <c:tx>
            <c:strRef>
              <c:f>Bonus!$D$2</c:f>
              <c:strCache>
                <c:ptCount val="1"/>
                <c:pt idx="0">
                  <c:v> 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Bonus!$D$3:$D$14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ED-4DF8-8E31-37BE0F1E0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9546192"/>
        <c:axId val="459544552"/>
      </c:lineChart>
      <c:catAx>
        <c:axId val="459546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</a:t>
                </a:r>
                <a:r>
                  <a:rPr lang="en-US" baseline="0"/>
                  <a:t> amount set as goal of project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544552"/>
        <c:crosses val="autoZero"/>
        <c:auto val="1"/>
        <c:lblAlgn val="ctr"/>
        <c:lblOffset val="100"/>
        <c:noMultiLvlLbl val="0"/>
      </c:catAx>
      <c:valAx>
        <c:axId val="459544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54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Fig</a:t>
            </a:r>
            <a:r>
              <a:rPr lang="en-US" b="1" baseline="0"/>
              <a:t> 4: </a:t>
            </a:r>
            <a:r>
              <a:rPr lang="en-US" b="1"/>
              <a:t>Chances</a:t>
            </a:r>
            <a:r>
              <a:rPr lang="en-US" b="1" baseline="0"/>
              <a:t> of success, failure or cancellation against goal amount</a:t>
            </a:r>
            <a:endParaRPr lang="en-US" b="1"/>
          </a:p>
        </c:rich>
      </c:tx>
      <c:layout>
        <c:manualLayout>
          <c:xMode val="edge"/>
          <c:yMode val="edge"/>
          <c:x val="0.17572470737790774"/>
          <c:y val="2.69058295964125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D5-496B-B761-4FF14A3DCC2C}"/>
            </c:ext>
          </c:extLst>
        </c:ser>
        <c:ser>
          <c:idx val="1"/>
          <c:order val="1"/>
          <c:tx>
            <c:strRef>
              <c:f>Bonus!$G$2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D5-496B-B761-4FF14A3DCC2C}"/>
            </c:ext>
          </c:extLst>
        </c:ser>
        <c:ser>
          <c:idx val="2"/>
          <c:order val="2"/>
          <c:tx>
            <c:strRef>
              <c:f>Bonus!$H$2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D5-496B-B761-4FF14A3DC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5749392"/>
        <c:axId val="475746440"/>
      </c:lineChart>
      <c:catAx>
        <c:axId val="475749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$</a:t>
                </a:r>
                <a:r>
                  <a:rPr lang="en-US" b="1" baseline="0"/>
                  <a:t> amount as goal set for project</a:t>
                </a:r>
                <a:endParaRPr lang="en-US" b="1"/>
              </a:p>
            </c:rich>
          </c:tx>
          <c:layout>
            <c:manualLayout>
              <c:xMode val="edge"/>
              <c:yMode val="edge"/>
              <c:x val="0.40279587651248172"/>
              <c:y val="0.804443914207693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746440"/>
        <c:crosses val="autoZero"/>
        <c:auto val="1"/>
        <c:lblAlgn val="ctr"/>
        <c:lblOffset val="100"/>
        <c:noMultiLvlLbl val="0"/>
      </c:catAx>
      <c:valAx>
        <c:axId val="475746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74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542925</xdr:colOff>
      <xdr:row>1</xdr:row>
      <xdr:rowOff>0</xdr:rowOff>
    </xdr:from>
    <xdr:to>
      <xdr:col>19</xdr:col>
      <xdr:colOff>247650</xdr:colOff>
      <xdr:row>25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48255E-ECD3-4B56-8A5D-B082806B62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223836</xdr:colOff>
      <xdr:row>7</xdr:row>
      <xdr:rowOff>104775</xdr:rowOff>
    </xdr:from>
    <xdr:to>
      <xdr:col>19</xdr:col>
      <xdr:colOff>466725</xdr:colOff>
      <xdr:row>35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0127B5-BB54-4CFB-B55D-65A4B15B4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595312</xdr:colOff>
      <xdr:row>0</xdr:row>
      <xdr:rowOff>95250</xdr:rowOff>
    </xdr:from>
    <xdr:to>
      <xdr:col>19</xdr:col>
      <xdr:colOff>95250</xdr:colOff>
      <xdr:row>21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F5801D-1911-433F-8D83-9AB1C7ED0A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371475</xdr:colOff>
      <xdr:row>7</xdr:row>
      <xdr:rowOff>85724</xdr:rowOff>
    </xdr:from>
    <xdr:to>
      <xdr:col>22</xdr:col>
      <xdr:colOff>447675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D2FE8D-8D66-4338-A23B-5CC48EDFCC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1914524</xdr:colOff>
      <xdr:row>9</xdr:row>
      <xdr:rowOff>133350</xdr:rowOff>
    </xdr:from>
    <xdr:to>
      <xdr:col>7</xdr:col>
      <xdr:colOff>123825</xdr:colOff>
      <xdr:row>32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69E685-A720-4A99-BA9A-0669069FAD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ocadmin" refreshedDate="42991.657483564813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oun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ocadmin" refreshedDate="42994.897174189813" createdVersion="6" refreshedVersion="6" minRefreshableVersion="3" recordCount="4115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oun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2">
  <location ref="A4:F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2"/>
        <item x="3"/>
        <item x="0"/>
        <item x="4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ubtotalTop="0" showAll="0"/>
    <pivotField axis="axisRow" subtotalTop="0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subtotalTop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ubtotalTop="0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115"/>
  <sheetViews>
    <sheetView topLeftCell="N1" zoomScale="80" zoomScaleNormal="80" workbookViewId="0">
      <selection activeCell="S4" sqref="S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28515625" customWidth="1"/>
    <col min="16" max="16" width="21.140625" customWidth="1"/>
    <col min="17" max="17" width="17.5703125" customWidth="1"/>
    <col min="18" max="18" width="32.42578125" customWidth="1"/>
    <col min="19" max="19" width="23.140625" style="10" customWidth="1"/>
    <col min="20" max="20" width="22.28515625" style="10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+E2/D2</f>
        <v>1.3685882352941177</v>
      </c>
      <c r="P2" s="6">
        <f t="shared" ref="P2:P65" si="1">+E2/L2</f>
        <v>63.917582417582416</v>
      </c>
      <c r="Q2" t="str">
        <f t="shared" ref="Q2:Q65" si="2">LEFT(N2, FIND("/",N2)-1)</f>
        <v>film &amp; video</v>
      </c>
      <c r="R2" t="str">
        <f t="shared" ref="R2:R65" si="3">RIGHT(N2, LEN(N2)-FIND("/",N2))</f>
        <v>television</v>
      </c>
      <c r="S2" s="11">
        <f t="shared" ref="S2:S65" si="4">(((J2/60)/60)/24)+DATE(1970,1,1)</f>
        <v>42177.007071759261</v>
      </c>
      <c r="T2" s="11">
        <f t="shared" ref="T2:T65" si="5"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1">
        <f t="shared" si="4"/>
        <v>42766.600497685184</v>
      </c>
      <c r="T3" s="11">
        <f t="shared" si="5"/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+E66/D66</f>
        <v>1.7333333333333334</v>
      </c>
      <c r="P66" s="6">
        <f t="shared" ref="P66:P129" si="7">+E66/L66</f>
        <v>86.666666666666671</v>
      </c>
      <c r="Q66" t="str">
        <f t="shared" ref="Q66:Q129" si="8">LEFT(N66, FIND("/",N66)-1)</f>
        <v>film &amp; video</v>
      </c>
      <c r="R66" t="str">
        <f t="shared" ref="R66:R129" si="9">RIGHT(N66, LEN(N66)-FIND("/",N66))</f>
        <v>shorts</v>
      </c>
      <c r="S66" s="11">
        <f t="shared" ref="S66:S129" si="10">(((J66/60)/60)/24)+DATE(1970,1,1)</f>
        <v>41433.01829861111</v>
      </c>
      <c r="T66" s="11">
        <f t="shared" ref="T66:T129" si="11">(((I66/60)/60)/24)+DATE(1970,1,1)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 s="6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1">
        <f t="shared" si="10"/>
        <v>41835.821226851855</v>
      </c>
      <c r="T67" s="11">
        <f t="shared" si="11"/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+E130/D130</f>
        <v>1.8669999999999999E-2</v>
      </c>
      <c r="P130" s="6">
        <f t="shared" ref="P130:P193" si="13">+E130/L130</f>
        <v>311.16666666666669</v>
      </c>
      <c r="Q130" t="str">
        <f t="shared" ref="Q130:Q193" si="14">LEFT(N130, FIND("/",N130)-1)</f>
        <v>film &amp; video</v>
      </c>
      <c r="R130" t="str">
        <f t="shared" ref="R130:R193" si="15">RIGHT(N130, LEN(N130)-FIND("/",N130))</f>
        <v>science fiction</v>
      </c>
      <c r="S130" s="11">
        <f t="shared" ref="S130:S193" si="16">(((J130/60)/60)/24)+DATE(1970,1,1)</f>
        <v>42628.22792824074</v>
      </c>
      <c r="T130" s="11">
        <f t="shared" ref="T130:T193" si="17">(((I130/60)/60)/24)+DATE(1970,1,1)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6" t="e">
        <f t="shared" si="13"/>
        <v>#DIV/0!</v>
      </c>
      <c r="Q131" t="str">
        <f t="shared" si="14"/>
        <v>film &amp; video</v>
      </c>
      <c r="R131" t="str">
        <f t="shared" si="15"/>
        <v>science fiction</v>
      </c>
      <c r="S131" s="11">
        <f t="shared" si="16"/>
        <v>41882.937303240738</v>
      </c>
      <c r="T131" s="11">
        <f t="shared" si="17"/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+E194/D194</f>
        <v>1.7E-5</v>
      </c>
      <c r="P194" s="6">
        <f t="shared" ref="P194:P257" si="19">+E194/L194</f>
        <v>5.666666666666667</v>
      </c>
      <c r="Q194" t="str">
        <f t="shared" ref="Q194:Q257" si="20">LEFT(N194, FIND("/",N194)-1)</f>
        <v>film &amp; video</v>
      </c>
      <c r="R194" t="str">
        <f t="shared" ref="R194:R257" si="21">RIGHT(N194, LEN(N194)-FIND("/",N194))</f>
        <v>drama</v>
      </c>
      <c r="S194" s="11">
        <f t="shared" ref="S194:S257" si="22">(((J194/60)/60)/24)+DATE(1970,1,1)</f>
        <v>41899.792037037041</v>
      </c>
      <c r="T194" s="11">
        <f t="shared" ref="T194:T257" si="23">(((I194/60)/60)/24)+DATE(1970,1,1)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6" t="e">
        <f t="shared" si="19"/>
        <v>#DIV/0!</v>
      </c>
      <c r="Q195" t="str">
        <f t="shared" si="20"/>
        <v>film &amp; video</v>
      </c>
      <c r="R195" t="str">
        <f t="shared" si="21"/>
        <v>drama</v>
      </c>
      <c r="S195" s="11">
        <f t="shared" si="22"/>
        <v>41911.934791666667</v>
      </c>
      <c r="T195" s="11">
        <f t="shared" si="23"/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+E258/D258</f>
        <v>1.391</v>
      </c>
      <c r="P258" s="6">
        <f t="shared" ref="P258:P321" si="25">+E258/L258</f>
        <v>65.756363636363631</v>
      </c>
      <c r="Q258" t="str">
        <f t="shared" ref="Q258:Q321" si="26">LEFT(N258, FIND("/",N258)-1)</f>
        <v>film &amp; video</v>
      </c>
      <c r="R258" t="str">
        <f t="shared" ref="R258:R321" si="27">RIGHT(N258, LEN(N258)-FIND("/",N258))</f>
        <v>documentary</v>
      </c>
      <c r="S258" s="11">
        <f t="shared" ref="S258:S321" si="28">(((J258/60)/60)/24)+DATE(1970,1,1)</f>
        <v>41319.769293981481</v>
      </c>
      <c r="T258" s="11">
        <f t="shared" ref="T258:T321" si="29">(((I258/60)/60)/24)+DATE(1970,1,1)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 s="6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1">
        <f t="shared" si="28"/>
        <v>42479.626875000002</v>
      </c>
      <c r="T259" s="11">
        <f t="shared" si="29"/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+E322/D322</f>
        <v>1.0658000000000001</v>
      </c>
      <c r="P322" s="6">
        <f t="shared" ref="P322:P385" si="31">+E322/L322</f>
        <v>134.91139240506328</v>
      </c>
      <c r="Q322" t="str">
        <f t="shared" ref="Q322:Q385" si="32">LEFT(N322, FIND("/",N322)-1)</f>
        <v>film &amp; video</v>
      </c>
      <c r="R322" t="str">
        <f t="shared" ref="R322:R385" si="33">RIGHT(N322, LEN(N322)-FIND("/",N322))</f>
        <v>documentary</v>
      </c>
      <c r="S322" s="11">
        <f t="shared" ref="S322:S385" si="34">(((J322/60)/60)/24)+DATE(1970,1,1)</f>
        <v>42331.551307870366</v>
      </c>
      <c r="T322" s="11">
        <f t="shared" ref="T322:T385" si="35">(((I322/60)/60)/24)+DATE(1970,1,1)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 s="6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1">
        <f t="shared" si="34"/>
        <v>42647.446597222224</v>
      </c>
      <c r="T323" s="11">
        <f t="shared" si="35"/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+E386/D386</f>
        <v>1.1210500000000001</v>
      </c>
      <c r="P386" s="6">
        <f t="shared" ref="P386:P449" si="37">+E386/L386</f>
        <v>58.540469973890339</v>
      </c>
      <c r="Q386" t="str">
        <f t="shared" ref="Q386:Q449" si="38">LEFT(N386, FIND("/",N386)-1)</f>
        <v>film &amp; video</v>
      </c>
      <c r="R386" t="str">
        <f t="shared" ref="R386:R449" si="39">RIGHT(N386, LEN(N386)-FIND("/",N386))</f>
        <v>documentary</v>
      </c>
      <c r="S386" s="11">
        <f t="shared" ref="S386:S449" si="40">(((J386/60)/60)/24)+DATE(1970,1,1)</f>
        <v>41980.781793981485</v>
      </c>
      <c r="T386" s="11">
        <f t="shared" ref="T386:T449" si="41">(((I386/60)/60)/24)+DATE(1970,1,1)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 s="6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1">
        <f t="shared" si="40"/>
        <v>41934.584502314814</v>
      </c>
      <c r="T387" s="11">
        <f t="shared" si="41"/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+E450/D450</f>
        <v>3.2804E-2</v>
      </c>
      <c r="P450" s="6">
        <f t="shared" ref="P450:P513" si="43">+E450/L450</f>
        <v>20.502500000000001</v>
      </c>
      <c r="Q450" t="str">
        <f t="shared" ref="Q450:Q513" si="44">LEFT(N450, FIND("/",N450)-1)</f>
        <v>film &amp; video</v>
      </c>
      <c r="R450" t="str">
        <f t="shared" ref="R450:R513" si="45">RIGHT(N450, LEN(N450)-FIND("/",N450))</f>
        <v>animation</v>
      </c>
      <c r="S450" s="11">
        <f t="shared" ref="S450:S513" si="46">(((J450/60)/60)/24)+DATE(1970,1,1)</f>
        <v>41753.758043981477</v>
      </c>
      <c r="T450" s="11">
        <f t="shared" ref="T450:T513" si="47">(((I450/60)/60)/24)+DATE(1970,1,1)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 s="6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1">
        <f t="shared" si="46"/>
        <v>41534.568113425928</v>
      </c>
      <c r="T451" s="11">
        <f t="shared" si="47"/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+E514/D514</f>
        <v>1.3749999999999999E-3</v>
      </c>
      <c r="P514" s="6">
        <f t="shared" ref="P514:P577" si="49">+E514/L514</f>
        <v>5.5</v>
      </c>
      <c r="Q514" t="str">
        <f t="shared" ref="Q514:Q577" si="50">LEFT(N514, FIND("/",N514)-1)</f>
        <v>film &amp; video</v>
      </c>
      <c r="R514" t="str">
        <f t="shared" ref="R514:R577" si="51">RIGHT(N514, LEN(N514)-FIND("/",N514))</f>
        <v>animation</v>
      </c>
      <c r="S514" s="11">
        <f t="shared" ref="S514:S577" si="52">(((J514/60)/60)/24)+DATE(1970,1,1)</f>
        <v>42649.742210648154</v>
      </c>
      <c r="T514" s="11">
        <f t="shared" ref="T514:T577" si="53">(((I514/60)/60)/24)+DATE(1970,1,1)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 s="6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1">
        <f t="shared" si="52"/>
        <v>42552.653993055559</v>
      </c>
      <c r="T515" s="11">
        <f t="shared" si="53"/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+E578/D578</f>
        <v>1.2500000000000001E-5</v>
      </c>
      <c r="P578" s="6">
        <f t="shared" ref="P578:P641" si="55">+E578/L578</f>
        <v>1</v>
      </c>
      <c r="Q578" t="str">
        <f t="shared" ref="Q578:Q641" si="56">LEFT(N578, FIND("/",N578)-1)</f>
        <v>technology</v>
      </c>
      <c r="R578" t="str">
        <f t="shared" ref="R578:R641" si="57">RIGHT(N578, LEN(N578)-FIND("/",N578))</f>
        <v>web</v>
      </c>
      <c r="S578" s="11">
        <f t="shared" ref="S578:S641" si="58">(((J578/60)/60)/24)+DATE(1970,1,1)</f>
        <v>42031.471666666665</v>
      </c>
      <c r="T578" s="11">
        <f t="shared" ref="T578:T641" si="59">(((I578/60)/60)/24)+DATE(1970,1,1)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 s="6">
        <f t="shared" si="55"/>
        <v>10</v>
      </c>
      <c r="Q579" t="str">
        <f t="shared" si="56"/>
        <v>technology</v>
      </c>
      <c r="R579" t="str">
        <f t="shared" si="57"/>
        <v>web</v>
      </c>
      <c r="S579" s="11">
        <f t="shared" si="58"/>
        <v>42450.589143518519</v>
      </c>
      <c r="T579" s="11">
        <f t="shared" si="59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+E642/D642</f>
        <v>1.4428571428571428</v>
      </c>
      <c r="P642" s="6">
        <f t="shared" ref="P642:P705" si="61">+E642/L642</f>
        <v>50.5</v>
      </c>
      <c r="Q642" t="str">
        <f t="shared" ref="Q642:Q705" si="62">LEFT(N642, FIND("/",N642)-1)</f>
        <v>technology</v>
      </c>
      <c r="R642" t="str">
        <f t="shared" ref="R642:R705" si="63">RIGHT(N642, LEN(N642)-FIND("/",N642))</f>
        <v>wearables</v>
      </c>
      <c r="S642" s="11">
        <f t="shared" ref="S642:S705" si="64">(((J642/60)/60)/24)+DATE(1970,1,1)</f>
        <v>42683.420312500006</v>
      </c>
      <c r="T642" s="11">
        <f t="shared" ref="T642:T705" si="65">(((I642/60)/60)/24)+DATE(1970,1,1)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 s="6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1">
        <f t="shared" si="64"/>
        <v>42199.57</v>
      </c>
      <c r="T643" s="11">
        <f t="shared" si="65"/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+E706/D706</f>
        <v>8.7454545454545458E-3</v>
      </c>
      <c r="P706" s="6">
        <f t="shared" ref="P706:P769" si="67">+E706/L706</f>
        <v>120.25</v>
      </c>
      <c r="Q706" t="str">
        <f t="shared" ref="Q706:Q769" si="68">LEFT(N706, FIND("/",N706)-1)</f>
        <v>technology</v>
      </c>
      <c r="R706" t="str">
        <f t="shared" ref="R706:R769" si="69">RIGHT(N706, LEN(N706)-FIND("/",N706))</f>
        <v>wearables</v>
      </c>
      <c r="S706" s="11">
        <f t="shared" ref="S706:S769" si="70">(((J706/60)/60)/24)+DATE(1970,1,1)</f>
        <v>42726.192916666667</v>
      </c>
      <c r="T706" s="11">
        <f t="shared" ref="T706:T769" si="71">(((I706/60)/60)/24)+DATE(1970,1,1)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 s="6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1">
        <f t="shared" si="70"/>
        <v>42726.491643518515</v>
      </c>
      <c r="T707" s="11">
        <f t="shared" si="71"/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+E770/D770</f>
        <v>0</v>
      </c>
      <c r="P770" s="6" t="e">
        <f t="shared" ref="P770:P833" si="73">+E770/L770</f>
        <v>#DIV/0!</v>
      </c>
      <c r="Q770" t="str">
        <f t="shared" ref="Q770:Q833" si="74">LEFT(N770, FIND("/",N770)-1)</f>
        <v>publishing</v>
      </c>
      <c r="R770" t="str">
        <f t="shared" ref="R770:R833" si="75">RIGHT(N770, LEN(N770)-FIND("/",N770))</f>
        <v>fiction</v>
      </c>
      <c r="S770" s="11">
        <f t="shared" ref="S770:S833" si="76">(((J770/60)/60)/24)+DATE(1970,1,1)</f>
        <v>41594.207060185188</v>
      </c>
      <c r="T770" s="11">
        <f t="shared" ref="T770:T833" si="77">(((I770/60)/60)/24)+DATE(1970,1,1)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 s="6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1">
        <f t="shared" si="76"/>
        <v>41604.996458333335</v>
      </c>
      <c r="T771" s="11">
        <f t="shared" si="77"/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+E834/D834</f>
        <v>1.0060706666666666</v>
      </c>
      <c r="P834" s="6">
        <f t="shared" ref="P834:P897" si="79">+E834/L834</f>
        <v>97.993896103896105</v>
      </c>
      <c r="Q834" t="str">
        <f t="shared" ref="Q834:Q897" si="80">LEFT(N834, FIND("/",N834)-1)</f>
        <v>music</v>
      </c>
      <c r="R834" t="str">
        <f t="shared" ref="R834:R897" si="81">RIGHT(N834, LEN(N834)-FIND("/",N834))</f>
        <v>rock</v>
      </c>
      <c r="S834" s="11">
        <f t="shared" ref="S834:S897" si="82">(((J834/60)/60)/24)+DATE(1970,1,1)</f>
        <v>40869.675173611111</v>
      </c>
      <c r="T834" s="11">
        <f t="shared" ref="T834:T897" si="83">(((I834/60)/60)/24)+DATE(1970,1,1)</f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 s="6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1">
        <f t="shared" si="82"/>
        <v>41718.878182870372</v>
      </c>
      <c r="T835" s="11">
        <f t="shared" si="83"/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+E898/D898</f>
        <v>0.4</v>
      </c>
      <c r="P898" s="6">
        <f t="shared" ref="P898:P961" si="85">+E898/L898</f>
        <v>44.444444444444443</v>
      </c>
      <c r="Q898" t="str">
        <f t="shared" ref="Q898:Q961" si="86">LEFT(N898, FIND("/",N898)-1)</f>
        <v>music</v>
      </c>
      <c r="R898" t="str">
        <f t="shared" ref="R898:R961" si="87">RIGHT(N898, LEN(N898)-FIND("/",N898))</f>
        <v>indie rock</v>
      </c>
      <c r="S898" s="11">
        <f t="shared" ref="S898:S961" si="88">(((J898/60)/60)/24)+DATE(1970,1,1)</f>
        <v>42218.872986111113</v>
      </c>
      <c r="T898" s="11">
        <f t="shared" ref="T898:T961" si="89">(((I898/60)/60)/24)+DATE(1970,1,1)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6" t="e">
        <f t="shared" si="85"/>
        <v>#DIV/0!</v>
      </c>
      <c r="Q899" t="str">
        <f t="shared" si="86"/>
        <v>music</v>
      </c>
      <c r="R899" t="str">
        <f t="shared" si="87"/>
        <v>indie rock</v>
      </c>
      <c r="S899" s="11">
        <f t="shared" si="88"/>
        <v>41211.688750000001</v>
      </c>
      <c r="T899" s="11">
        <f t="shared" si="89"/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+E962/D962</f>
        <v>0.46100628930817611</v>
      </c>
      <c r="P962" s="6">
        <f t="shared" ref="P962:P1025" si="91">+E962/L962</f>
        <v>136.46276595744681</v>
      </c>
      <c r="Q962" t="str">
        <f t="shared" ref="Q962:Q1025" si="92">LEFT(N962, FIND("/",N962)-1)</f>
        <v>technology</v>
      </c>
      <c r="R962" t="str">
        <f t="shared" ref="R962:R1025" si="93">RIGHT(N962, LEN(N962)-FIND("/",N962))</f>
        <v>wearables</v>
      </c>
      <c r="S962" s="11">
        <f t="shared" ref="S962:S1025" si="94">(((J962/60)/60)/24)+DATE(1970,1,1)</f>
        <v>42766.626793981486</v>
      </c>
      <c r="T962" s="11">
        <f t="shared" ref="T962:T1025" si="95">(((I962/60)/60)/24)+DATE(1970,1,1)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 s="6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1">
        <f t="shared" si="94"/>
        <v>42740.693692129629</v>
      </c>
      <c r="T963" s="11">
        <f t="shared" si="95"/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+E1026/D1026</f>
        <v>1.1863774999999999</v>
      </c>
      <c r="P1026" s="6">
        <f t="shared" ref="P1026:P1089" si="97">+E1026/L1026</f>
        <v>388.9762295081967</v>
      </c>
      <c r="Q1026" t="str">
        <f t="shared" ref="Q1026:Q1089" si="98">LEFT(N1026, FIND("/",N1026)-1)</f>
        <v>music</v>
      </c>
      <c r="R1026" t="str">
        <f t="shared" ref="R1026:R1089" si="99">RIGHT(N1026, LEN(N1026)-FIND("/",N1026))</f>
        <v>electronic music</v>
      </c>
      <c r="S1026" s="11">
        <f t="shared" ref="S1026:S1089" si="100">(((J1026/60)/60)/24)+DATE(1970,1,1)</f>
        <v>42370.580590277779</v>
      </c>
      <c r="T1026" s="11">
        <f t="shared" ref="T1026:T1089" si="101">(((I1026/60)/60)/24)+DATE(1970,1,1)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 s="6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1">
        <f t="shared" si="100"/>
        <v>42049.833761574075</v>
      </c>
      <c r="T1027" s="11">
        <f t="shared" si="101"/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+E1090/D1090</f>
        <v>0.14182977777777778</v>
      </c>
      <c r="P1090" s="6">
        <f t="shared" ref="P1090:P1153" si="103">+E1090/L1090</f>
        <v>43.41727891156463</v>
      </c>
      <c r="Q1090" t="str">
        <f t="shared" ref="Q1090:Q1153" si="104">LEFT(N1090, FIND("/",N1090)-1)</f>
        <v>games</v>
      </c>
      <c r="R1090" t="str">
        <f t="shared" ref="R1090:R1153" si="105">RIGHT(N1090, LEN(N1090)-FIND("/",N1090))</f>
        <v>video games</v>
      </c>
      <c r="S1090" s="11">
        <f t="shared" ref="S1090:S1153" si="106">(((J1090/60)/60)/24)+DATE(1970,1,1)</f>
        <v>41723.799386574072</v>
      </c>
      <c r="T1090" s="11">
        <f t="shared" ref="T1090:T1153" si="107">(((I1090/60)/60)/24)+DATE(1970,1,1)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 s="6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1">
        <f t="shared" si="106"/>
        <v>42151.189525462964</v>
      </c>
      <c r="T1091" s="11">
        <f t="shared" si="107"/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+E1154/D1154</f>
        <v>5.6937500000000002E-2</v>
      </c>
      <c r="P1154" s="6">
        <f t="shared" ref="P1154:P1217" si="109">+E1154/L1154</f>
        <v>60.733333333333334</v>
      </c>
      <c r="Q1154" t="str">
        <f t="shared" ref="Q1154:Q1217" si="110">LEFT(N1154, FIND("/",N1154)-1)</f>
        <v>food</v>
      </c>
      <c r="R1154" t="str">
        <f t="shared" ref="R1154:R1217" si="111">RIGHT(N1154, LEN(N1154)-FIND("/",N1154))</f>
        <v>food trucks</v>
      </c>
      <c r="S1154" s="11">
        <f t="shared" ref="S1154:S1217" si="112">(((J1154/60)/60)/24)+DATE(1970,1,1)</f>
        <v>42109.709629629629</v>
      </c>
      <c r="T1154" s="11">
        <f t="shared" ref="T1154:T1217" si="113">(((I1154/60)/60)/24)+DATE(1970,1,1)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 s="6">
        <f t="shared" si="109"/>
        <v>50</v>
      </c>
      <c r="Q1155" t="str">
        <f t="shared" si="110"/>
        <v>food</v>
      </c>
      <c r="R1155" t="str">
        <f t="shared" si="111"/>
        <v>food trucks</v>
      </c>
      <c r="S1155" s="11">
        <f t="shared" si="112"/>
        <v>42143.714178240742</v>
      </c>
      <c r="T1155" s="11">
        <f t="shared" si="113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+E1218/D1218</f>
        <v>1.4570000000000001</v>
      </c>
      <c r="P1218" s="6">
        <f t="shared" ref="P1218:P1281" si="115">+E1218/L1218</f>
        <v>91.882882882882882</v>
      </c>
      <c r="Q1218" t="str">
        <f t="shared" ref="Q1218:Q1281" si="116">LEFT(N1218, FIND("/",N1218)-1)</f>
        <v>photography</v>
      </c>
      <c r="R1218" t="str">
        <f t="shared" ref="R1218:R1281" si="117">RIGHT(N1218, LEN(N1218)-FIND("/",N1218))</f>
        <v>photobooks</v>
      </c>
      <c r="S1218" s="11">
        <f t="shared" ref="S1218:S1281" si="118">(((J1218/60)/60)/24)+DATE(1970,1,1)</f>
        <v>42247.616400462968</v>
      </c>
      <c r="T1218" s="11">
        <f t="shared" ref="T1218:T1281" si="119">(((I1218/60)/60)/24)+DATE(1970,1,1)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 s="6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1">
        <f t="shared" si="118"/>
        <v>42535.809490740736</v>
      </c>
      <c r="T1219" s="11">
        <f t="shared" si="119"/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+E1282/D1282</f>
        <v>1.1091186666666666</v>
      </c>
      <c r="P1282" s="6">
        <f t="shared" ref="P1282:P1345" si="121">+E1282/L1282</f>
        <v>127.97523076923076</v>
      </c>
      <c r="Q1282" t="str">
        <f t="shared" ref="Q1282:Q1345" si="122">LEFT(N1282, FIND("/",N1282)-1)</f>
        <v>music</v>
      </c>
      <c r="R1282" t="str">
        <f t="shared" ref="R1282:R1345" si="123">RIGHT(N1282, LEN(N1282)-FIND("/",N1282))</f>
        <v>rock</v>
      </c>
      <c r="S1282" s="11">
        <f t="shared" ref="S1282:S1345" si="124">(((J1282/60)/60)/24)+DATE(1970,1,1)</f>
        <v>40513.757569444446</v>
      </c>
      <c r="T1282" s="11">
        <f t="shared" ref="T1282:T1345" si="125">(((I1282/60)/60)/24)+DATE(1970,1,1)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 s="6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1">
        <f t="shared" si="124"/>
        <v>41463.743472222224</v>
      </c>
      <c r="T1283" s="11">
        <f t="shared" si="125"/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+E1346/D1346</f>
        <v>3.7773333333333334</v>
      </c>
      <c r="P1346" s="6">
        <f t="shared" ref="P1346:P1409" si="127">+E1346/L1346</f>
        <v>40.762589928057551</v>
      </c>
      <c r="Q1346" t="str">
        <f t="shared" ref="Q1346:Q1409" si="128">LEFT(N1346, FIND("/",N1346)-1)</f>
        <v>publishing</v>
      </c>
      <c r="R1346" t="str">
        <f t="shared" ref="R1346:R1409" si="129">RIGHT(N1346, LEN(N1346)-FIND("/",N1346))</f>
        <v>nonfiction</v>
      </c>
      <c r="S1346" s="11">
        <f t="shared" ref="S1346:S1409" si="130">(((J1346/60)/60)/24)+DATE(1970,1,1)</f>
        <v>42522.789803240739</v>
      </c>
      <c r="T1346" s="11">
        <f t="shared" ref="T1346:T1409" si="131">(((I1346/60)/60)/24)+DATE(1970,1,1)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 s="6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1">
        <f t="shared" si="130"/>
        <v>41799.814340277779</v>
      </c>
      <c r="T1347" s="11">
        <f t="shared" si="131"/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+E1410/D1410</f>
        <v>7.1999999999999995E-2</v>
      </c>
      <c r="P1410" s="6">
        <f t="shared" ref="P1410:P1473" si="133">+E1410/L1410</f>
        <v>12</v>
      </c>
      <c r="Q1410" t="str">
        <f t="shared" ref="Q1410:Q1473" si="134">LEFT(N1410, FIND("/",N1410)-1)</f>
        <v>publishing</v>
      </c>
      <c r="R1410" t="str">
        <f t="shared" ref="R1410:R1473" si="135">RIGHT(N1410, LEN(N1410)-FIND("/",N1410))</f>
        <v>translations</v>
      </c>
      <c r="S1410" s="11">
        <f t="shared" ref="S1410:S1473" si="136">(((J1410/60)/60)/24)+DATE(1970,1,1)</f>
        <v>42291.872175925921</v>
      </c>
      <c r="T1410" s="11">
        <f t="shared" ref="T1410:T1473" si="137">(((I1410/60)/60)/24)+DATE(1970,1,1)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6" t="e">
        <f t="shared" si="133"/>
        <v>#DIV/0!</v>
      </c>
      <c r="Q1411" t="str">
        <f t="shared" si="134"/>
        <v>publishing</v>
      </c>
      <c r="R1411" t="str">
        <f t="shared" si="135"/>
        <v>translations</v>
      </c>
      <c r="S1411" s="11">
        <f t="shared" si="136"/>
        <v>41945.133506944447</v>
      </c>
      <c r="T1411" s="11">
        <f t="shared" si="137"/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+E1474/D1474</f>
        <v>1.3870400000000001</v>
      </c>
      <c r="P1474" s="6">
        <f t="shared" ref="P1474:P1537" si="139">+E1474/L1474</f>
        <v>103.20238095238095</v>
      </c>
      <c r="Q1474" t="str">
        <f t="shared" ref="Q1474:Q1537" si="140">LEFT(N1474, FIND("/",N1474)-1)</f>
        <v>publishing</v>
      </c>
      <c r="R1474" t="str">
        <f t="shared" ref="R1474:R1537" si="141">RIGHT(N1474, LEN(N1474)-FIND("/",N1474))</f>
        <v>radio &amp; podcasts</v>
      </c>
      <c r="S1474" s="11">
        <f t="shared" ref="S1474:S1537" si="142">(((J1474/60)/60)/24)+DATE(1970,1,1)</f>
        <v>41533.542858796296</v>
      </c>
      <c r="T1474" s="11">
        <f t="shared" ref="T1474:T1537" si="143">(((I1474/60)/60)/24)+DATE(1970,1,1)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 s="6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1">
        <f t="shared" si="142"/>
        <v>40939.979618055557</v>
      </c>
      <c r="T1475" s="11">
        <f t="shared" si="143"/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+E1538/D1538</f>
        <v>2.5030841666666666</v>
      </c>
      <c r="P1538" s="6">
        <f t="shared" ref="P1538:P1601" si="145">+E1538/L1538</f>
        <v>66.015406593406595</v>
      </c>
      <c r="Q1538" t="str">
        <f t="shared" ref="Q1538:Q1601" si="146">LEFT(N1538, FIND("/",N1538)-1)</f>
        <v>photography</v>
      </c>
      <c r="R1538" t="str">
        <f t="shared" ref="R1538:R1601" si="147">RIGHT(N1538, LEN(N1538)-FIND("/",N1538))</f>
        <v>photobooks</v>
      </c>
      <c r="S1538" s="11">
        <f t="shared" ref="S1538:S1601" si="148">(((J1538/60)/60)/24)+DATE(1970,1,1)</f>
        <v>42213.802199074074</v>
      </c>
      <c r="T1538" s="11">
        <f t="shared" ref="T1538:T1601" si="149">(((I1538/60)/60)/24)+DATE(1970,1,1)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 s="6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1">
        <f t="shared" si="148"/>
        <v>42552.315127314811</v>
      </c>
      <c r="T1539" s="11">
        <f t="shared" si="149"/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+E1602/D1602</f>
        <v>7.3400000000000007E-2</v>
      </c>
      <c r="P1602" s="6">
        <f t="shared" ref="P1602:P1665" si="151">+E1602/L1602</f>
        <v>40.777777777777779</v>
      </c>
      <c r="Q1602" t="str">
        <f t="shared" ref="Q1602:Q1665" si="152">LEFT(N1602, FIND("/",N1602)-1)</f>
        <v>photography</v>
      </c>
      <c r="R1602" t="str">
        <f t="shared" ref="R1602:R1665" si="153">RIGHT(N1602, LEN(N1602)-FIND("/",N1602))</f>
        <v>places</v>
      </c>
      <c r="S1602" s="11">
        <f t="shared" ref="S1602:S1665" si="154">(((J1602/60)/60)/24)+DATE(1970,1,1)</f>
        <v>41791.057314814818</v>
      </c>
      <c r="T1602" s="11">
        <f t="shared" ref="T1602:T1665" si="155">(((I1602/60)/60)/24)+DATE(1970,1,1)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 s="6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1">
        <f t="shared" si="154"/>
        <v>40638.092974537038</v>
      </c>
      <c r="T1603" s="11">
        <f t="shared" si="155"/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+E1666/D1666</f>
        <v>1.2240879999999998</v>
      </c>
      <c r="P1666" s="6">
        <f t="shared" ref="P1666:P1729" si="157">+E1666/L1666</f>
        <v>34.384494382022467</v>
      </c>
      <c r="Q1666" t="str">
        <f t="shared" ref="Q1666:Q1729" si="158">LEFT(N1666, FIND("/",N1666)-1)</f>
        <v>music</v>
      </c>
      <c r="R1666" t="str">
        <f t="shared" ref="R1666:R1729" si="159">RIGHT(N1666, LEN(N1666)-FIND("/",N1666))</f>
        <v>pop</v>
      </c>
      <c r="S1666" s="11">
        <f t="shared" ref="S1666:S1729" si="160">(((J1666/60)/60)/24)+DATE(1970,1,1)</f>
        <v>40939.761782407404</v>
      </c>
      <c r="T1666" s="11">
        <f t="shared" ref="T1666:T1729" si="161">(((I1666/60)/60)/24)+DATE(1970,1,1)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 s="6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1">
        <f t="shared" si="160"/>
        <v>40564.649456018517</v>
      </c>
      <c r="T1667" s="11">
        <f t="shared" si="161"/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+E1730/D1730</f>
        <v>0.68400000000000005</v>
      </c>
      <c r="P1730" s="6">
        <f t="shared" ref="P1730:P1793" si="163">+E1730/L1730</f>
        <v>122.14285714285714</v>
      </c>
      <c r="Q1730" t="str">
        <f t="shared" ref="Q1730:Q1793" si="164">LEFT(N1730, FIND("/",N1730)-1)</f>
        <v>music</v>
      </c>
      <c r="R1730" t="str">
        <f t="shared" ref="R1730:R1793" si="165">RIGHT(N1730, LEN(N1730)-FIND("/",N1730))</f>
        <v>faith</v>
      </c>
      <c r="S1730" s="11">
        <f t="shared" ref="S1730:S1793" si="166">(((J1730/60)/60)/24)+DATE(1970,1,1)</f>
        <v>42268.625856481478</v>
      </c>
      <c r="T1730" s="11">
        <f t="shared" ref="T1730:T1793" si="167">(((I1730/60)/60)/24)+DATE(1970,1,1)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6" t="e">
        <f t="shared" si="163"/>
        <v>#DIV/0!</v>
      </c>
      <c r="Q1731" t="str">
        <f t="shared" si="164"/>
        <v>music</v>
      </c>
      <c r="R1731" t="str">
        <f t="shared" si="165"/>
        <v>faith</v>
      </c>
      <c r="S1731" s="11">
        <f t="shared" si="166"/>
        <v>42471.052152777775</v>
      </c>
      <c r="T1731" s="11">
        <f t="shared" si="167"/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+E1794/D1794</f>
        <v>0.61124000000000001</v>
      </c>
      <c r="P1794" s="6">
        <f t="shared" ref="P1794:P1857" si="169">+E1794/L1794</f>
        <v>109.93525179856115</v>
      </c>
      <c r="Q1794" t="str">
        <f t="shared" ref="Q1794:Q1857" si="170">LEFT(N1794, FIND("/",N1794)-1)</f>
        <v>photography</v>
      </c>
      <c r="R1794" t="str">
        <f t="shared" ref="R1794:R1857" si="171">RIGHT(N1794, LEN(N1794)-FIND("/",N1794))</f>
        <v>photobooks</v>
      </c>
      <c r="S1794" s="11">
        <f t="shared" ref="S1794:S1857" si="172">(((J1794/60)/60)/24)+DATE(1970,1,1)</f>
        <v>42189.031041666662</v>
      </c>
      <c r="T1794" s="11">
        <f t="shared" ref="T1794:T1857" si="173">(((I1794/60)/60)/24)+DATE(1970,1,1)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 s="6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1">
        <f t="shared" si="172"/>
        <v>41940.89166666667</v>
      </c>
      <c r="T1795" s="11">
        <f t="shared" si="173"/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+E1858/D1858</f>
        <v>1.0125</v>
      </c>
      <c r="P1858" s="6">
        <f t="shared" ref="P1858:P1921" si="175">+E1858/L1858</f>
        <v>53.289473684210527</v>
      </c>
      <c r="Q1858" t="str">
        <f t="shared" ref="Q1858:Q1921" si="176">LEFT(N1858, FIND("/",N1858)-1)</f>
        <v>music</v>
      </c>
      <c r="R1858" t="str">
        <f t="shared" ref="R1858:R1921" si="177">RIGHT(N1858, LEN(N1858)-FIND("/",N1858))</f>
        <v>rock</v>
      </c>
      <c r="S1858" s="11">
        <f t="shared" ref="S1858:S1921" si="178">(((J1858/60)/60)/24)+DATE(1970,1,1)</f>
        <v>41817.854999999996</v>
      </c>
      <c r="T1858" s="11">
        <f t="shared" ref="T1858:T1921" si="179">(((I1858/60)/60)/24)+DATE(1970,1,1)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 s="6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1">
        <f t="shared" si="178"/>
        <v>41864.76866898148</v>
      </c>
      <c r="T1859" s="11">
        <f t="shared" si="179"/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+E1922/D1922</f>
        <v>0.43030000000000002</v>
      </c>
      <c r="P1922" s="6">
        <f t="shared" ref="P1922:P1985" si="181">+E1922/L1922</f>
        <v>40.980952380952381</v>
      </c>
      <c r="Q1922" t="str">
        <f t="shared" ref="Q1922:Q1985" si="182">LEFT(N1922, FIND("/",N1922)-1)</f>
        <v>technology</v>
      </c>
      <c r="R1922" t="str">
        <f t="shared" ref="R1922:R1985" si="183">RIGHT(N1922, LEN(N1922)-FIND("/",N1922))</f>
        <v>gadgets</v>
      </c>
      <c r="S1922" s="11">
        <f t="shared" ref="S1922:S1985" si="184">(((J1922/60)/60)/24)+DATE(1970,1,1)</f>
        <v>42270.875706018516</v>
      </c>
      <c r="T1922" s="11">
        <f t="shared" ref="T1922:T1985" si="185">(((I1922/60)/60)/24)+DATE(1970,1,1)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 s="6">
        <f t="shared" si="181"/>
        <v>54</v>
      </c>
      <c r="Q1923" t="str">
        <f t="shared" si="182"/>
        <v>music</v>
      </c>
      <c r="R1923" t="str">
        <f t="shared" si="183"/>
        <v>indie rock</v>
      </c>
      <c r="S1923" s="11">
        <f t="shared" si="184"/>
        <v>41074.221562500003</v>
      </c>
      <c r="T1923" s="11">
        <f t="shared" si="185"/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+E1986/D1986</f>
        <v>0.21146666666666666</v>
      </c>
      <c r="P1986" s="6">
        <f t="shared" ref="P1986:P2049" si="187">+E1986/L1986</f>
        <v>453.14285714285717</v>
      </c>
      <c r="Q1986" t="str">
        <f t="shared" ref="Q1986:Q2049" si="188">LEFT(N1986, FIND("/",N1986)-1)</f>
        <v>photography</v>
      </c>
      <c r="R1986" t="str">
        <f t="shared" ref="R1986:R2049" si="189">RIGHT(N1986, LEN(N1986)-FIND("/",N1986))</f>
        <v>people</v>
      </c>
      <c r="S1986" s="11">
        <f t="shared" ref="S1986:S2049" si="190">(((J1986/60)/60)/24)+DATE(1970,1,1)</f>
        <v>41913.790289351848</v>
      </c>
      <c r="T1986" s="11">
        <f t="shared" ref="T1986:T2049" si="191">(((I1986/60)/60)/24)+DATE(1970,1,1)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 s="6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1">
        <f t="shared" si="190"/>
        <v>42555.698738425926</v>
      </c>
      <c r="T1987" s="11">
        <f t="shared" si="191"/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+E2050/D2050</f>
        <v>1.4833229411764706</v>
      </c>
      <c r="P2050" s="6">
        <f t="shared" ref="P2050:P2113" si="193">+E2050/L2050</f>
        <v>91.82989803350327</v>
      </c>
      <c r="Q2050" t="str">
        <f t="shared" ref="Q2050:Q2113" si="194">LEFT(N2050, FIND("/",N2050)-1)</f>
        <v>technology</v>
      </c>
      <c r="R2050" t="str">
        <f t="shared" ref="R2050:R2113" si="195">RIGHT(N2050, LEN(N2050)-FIND("/",N2050))</f>
        <v>hardware</v>
      </c>
      <c r="S2050" s="11">
        <f t="shared" ref="S2050:S2113" si="196">(((J2050/60)/60)/24)+DATE(1970,1,1)</f>
        <v>41387.651516203703</v>
      </c>
      <c r="T2050" s="11">
        <f t="shared" ref="T2050:T2113" si="197">(((I2050/60)/60)/24)+DATE(1970,1,1)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 s="6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1">
        <f t="shared" si="196"/>
        <v>41575.527349537035</v>
      </c>
      <c r="T2051" s="11">
        <f t="shared" si="197"/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+E2114/D2114</f>
        <v>1</v>
      </c>
      <c r="P2114" s="6">
        <f t="shared" ref="P2114:P2177" si="199">+E2114/L2114</f>
        <v>27.272727272727273</v>
      </c>
      <c r="Q2114" t="str">
        <f t="shared" ref="Q2114:Q2177" si="200">LEFT(N2114, FIND("/",N2114)-1)</f>
        <v>music</v>
      </c>
      <c r="R2114" t="str">
        <f t="shared" ref="R2114:R2177" si="201">RIGHT(N2114, LEN(N2114)-FIND("/",N2114))</f>
        <v>indie rock</v>
      </c>
      <c r="S2114" s="11">
        <f t="shared" ref="S2114:S2177" si="202">(((J2114/60)/60)/24)+DATE(1970,1,1)</f>
        <v>41365.928159722222</v>
      </c>
      <c r="T2114" s="11">
        <f t="shared" ref="T2114:T2177" si="203">(((I2114/60)/60)/24)+DATE(1970,1,1)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 s="6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1">
        <f t="shared" si="202"/>
        <v>41870.86546296296</v>
      </c>
      <c r="T2115" s="11">
        <f t="shared" si="203"/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+E2178/D2178</f>
        <v>1.2602</v>
      </c>
      <c r="P2178" s="6">
        <f t="shared" ref="P2178:P2241" si="205">+E2178/L2178</f>
        <v>88.74647887323944</v>
      </c>
      <c r="Q2178" t="str">
        <f t="shared" ref="Q2178:Q2241" si="206">LEFT(N2178, FIND("/",N2178)-1)</f>
        <v>music</v>
      </c>
      <c r="R2178" t="str">
        <f t="shared" ref="R2178:R2241" si="207">RIGHT(N2178, LEN(N2178)-FIND("/",N2178))</f>
        <v>rock</v>
      </c>
      <c r="S2178" s="11">
        <f t="shared" ref="S2178:S2241" si="208">(((J2178/60)/60)/24)+DATE(1970,1,1)</f>
        <v>42096.633206018523</v>
      </c>
      <c r="T2178" s="11">
        <f t="shared" ref="T2178:T2241" si="209">(((I2178/60)/60)/24)+DATE(1970,1,1)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 s="6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1">
        <f t="shared" si="208"/>
        <v>42502.250775462962</v>
      </c>
      <c r="T2179" s="11">
        <f t="shared" si="209"/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+E2242/D2242</f>
        <v>2.7067999999999999</v>
      </c>
      <c r="P2242" s="6">
        <f t="shared" ref="P2242:P2305" si="211">+E2242/L2242</f>
        <v>140.97916666666666</v>
      </c>
      <c r="Q2242" t="str">
        <f t="shared" ref="Q2242:Q2305" si="212">LEFT(N2242, FIND("/",N2242)-1)</f>
        <v>games</v>
      </c>
      <c r="R2242" t="str">
        <f t="shared" ref="R2242:R2305" si="213">RIGHT(N2242, LEN(N2242)-FIND("/",N2242))</f>
        <v>tabletop games</v>
      </c>
      <c r="S2242" s="11">
        <f t="shared" ref="S2242:S2305" si="214">(((J2242/60)/60)/24)+DATE(1970,1,1)</f>
        <v>42452.825740740736</v>
      </c>
      <c r="T2242" s="11">
        <f t="shared" ref="T2242:T2305" si="215">(((I2242/60)/60)/24)+DATE(1970,1,1)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 s="6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1">
        <f t="shared" si="214"/>
        <v>42766.827546296292</v>
      </c>
      <c r="T2243" s="11">
        <f t="shared" si="215"/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+E2306/D2306</f>
        <v>1.0070033333333335</v>
      </c>
      <c r="P2306" s="6">
        <f t="shared" ref="P2306:P2369" si="217">+E2306/L2306</f>
        <v>53.469203539823013</v>
      </c>
      <c r="Q2306" t="str">
        <f t="shared" ref="Q2306:Q2369" si="218">LEFT(N2306, FIND("/",N2306)-1)</f>
        <v>music</v>
      </c>
      <c r="R2306" t="str">
        <f t="shared" ref="R2306:R2369" si="219">RIGHT(N2306, LEN(N2306)-FIND("/",N2306))</f>
        <v>indie rock</v>
      </c>
      <c r="S2306" s="11">
        <f t="shared" ref="S2306:S2369" si="220">(((J2306/60)/60)/24)+DATE(1970,1,1)</f>
        <v>40502.815868055557</v>
      </c>
      <c r="T2306" s="11">
        <f t="shared" ref="T2306:T2369" si="221">(((I2306/60)/60)/24)+DATE(1970,1,1)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 s="6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1">
        <f t="shared" si="220"/>
        <v>41834.695277777777</v>
      </c>
      <c r="T2307" s="11">
        <f t="shared" si="221"/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+E2370/D2370</f>
        <v>2.5000000000000001E-3</v>
      </c>
      <c r="P2370" s="6">
        <f t="shared" ref="P2370:P2433" si="223">+E2370/L2370</f>
        <v>50</v>
      </c>
      <c r="Q2370" t="str">
        <f t="shared" ref="Q2370:Q2433" si="224">LEFT(N2370, FIND("/",N2370)-1)</f>
        <v>technology</v>
      </c>
      <c r="R2370" t="str">
        <f t="shared" ref="R2370:R2433" si="225">RIGHT(N2370, LEN(N2370)-FIND("/",N2370))</f>
        <v>web</v>
      </c>
      <c r="S2370" s="11">
        <f t="shared" ref="S2370:S2433" si="226">(((J2370/60)/60)/24)+DATE(1970,1,1)</f>
        <v>42063.721817129626</v>
      </c>
      <c r="T2370" s="11">
        <f t="shared" ref="T2370:T2433" si="227">(((I2370/60)/60)/24)+DATE(1970,1,1)</f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6" t="e">
        <f t="shared" si="223"/>
        <v>#DIV/0!</v>
      </c>
      <c r="Q2371" t="str">
        <f t="shared" si="224"/>
        <v>technology</v>
      </c>
      <c r="R2371" t="str">
        <f t="shared" si="225"/>
        <v>web</v>
      </c>
      <c r="S2371" s="11">
        <f t="shared" si="226"/>
        <v>42380.812627314815</v>
      </c>
      <c r="T2371" s="11">
        <f t="shared" si="227"/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+E2434/D2434</f>
        <v>1.4285714285714287E-4</v>
      </c>
      <c r="P2434" s="6">
        <f t="shared" ref="P2434:P2497" si="229">+E2434/L2434</f>
        <v>1</v>
      </c>
      <c r="Q2434" t="str">
        <f t="shared" ref="Q2434:Q2497" si="230">LEFT(N2434, FIND("/",N2434)-1)</f>
        <v>food</v>
      </c>
      <c r="R2434" t="str">
        <f t="shared" ref="R2434:R2497" si="231">RIGHT(N2434, LEN(N2434)-FIND("/",N2434))</f>
        <v>food trucks</v>
      </c>
      <c r="S2434" s="11">
        <f t="shared" ref="S2434:S2497" si="232">(((J2434/60)/60)/24)+DATE(1970,1,1)</f>
        <v>42041.218715277777</v>
      </c>
      <c r="T2434" s="11">
        <f t="shared" ref="T2434:T2497" si="233">(((I2434/60)/60)/24)+DATE(1970,1,1)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6" t="e">
        <f t="shared" si="229"/>
        <v>#DIV/0!</v>
      </c>
      <c r="Q2435" t="str">
        <f t="shared" si="230"/>
        <v>food</v>
      </c>
      <c r="R2435" t="str">
        <f t="shared" si="231"/>
        <v>food trucks</v>
      </c>
      <c r="S2435" s="11">
        <f t="shared" si="232"/>
        <v>42397.89980324074</v>
      </c>
      <c r="T2435" s="11">
        <f t="shared" si="233"/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+E2498/D2498</f>
        <v>1</v>
      </c>
      <c r="P2498" s="6">
        <f t="shared" ref="P2498:P2561" si="235">+E2498/L2498</f>
        <v>600</v>
      </c>
      <c r="Q2498" t="str">
        <f t="shared" ref="Q2498:Q2561" si="236">LEFT(N2498, FIND("/",N2498)-1)</f>
        <v>music</v>
      </c>
      <c r="R2498" t="str">
        <f t="shared" ref="R2498:R2561" si="237">RIGHT(N2498, LEN(N2498)-FIND("/",N2498))</f>
        <v>indie rock</v>
      </c>
      <c r="S2498" s="11">
        <f t="shared" ref="S2498:S2561" si="238">(((J2498/60)/60)/24)+DATE(1970,1,1)</f>
        <v>41327.996435185189</v>
      </c>
      <c r="T2498" s="11">
        <f t="shared" ref="T2498:T2561" si="239">(((I2498/60)/60)/24)+DATE(1970,1,1)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 s="6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1">
        <f t="shared" si="238"/>
        <v>40730.878912037035</v>
      </c>
      <c r="T2499" s="11">
        <f t="shared" si="239"/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+E2562/D2562</f>
        <v>1.0009999999999999</v>
      </c>
      <c r="P2562" s="6">
        <f t="shared" ref="P2562:P2625" si="241">+E2562/L2562</f>
        <v>143</v>
      </c>
      <c r="Q2562" t="str">
        <f t="shared" ref="Q2562:Q2625" si="242">LEFT(N2562, FIND("/",N2562)-1)</f>
        <v>music</v>
      </c>
      <c r="R2562" t="str">
        <f t="shared" ref="R2562:R2625" si="243">RIGHT(N2562, LEN(N2562)-FIND("/",N2562))</f>
        <v>classical music</v>
      </c>
      <c r="S2562" s="11">
        <f t="shared" ref="S2562:S2625" si="244">(((J2562/60)/60)/24)+DATE(1970,1,1)</f>
        <v>42039.951087962967</v>
      </c>
      <c r="T2562" s="11">
        <f t="shared" ref="T2562:T2625" si="245">(((I2562/60)/60)/24)+DATE(1970,1,1)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6" t="e">
        <f t="shared" si="241"/>
        <v>#DIV/0!</v>
      </c>
      <c r="Q2563" t="str">
        <f t="shared" si="242"/>
        <v>food</v>
      </c>
      <c r="R2563" t="str">
        <f t="shared" si="243"/>
        <v>food trucks</v>
      </c>
      <c r="S2563" s="11">
        <f t="shared" si="244"/>
        <v>42260.528807870374</v>
      </c>
      <c r="T2563" s="11">
        <f t="shared" si="245"/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+E2626/D2626</f>
        <v>13.794206249999998</v>
      </c>
      <c r="P2626" s="6">
        <f t="shared" ref="P2626:P2689" si="247">+E2626/L2626</f>
        <v>31.820544982698959</v>
      </c>
      <c r="Q2626" t="str">
        <f t="shared" ref="Q2626:Q2689" si="248">LEFT(N2626, FIND("/",N2626)-1)</f>
        <v>technology</v>
      </c>
      <c r="R2626" t="str">
        <f t="shared" ref="R2626:R2689" si="249">RIGHT(N2626, LEN(N2626)-FIND("/",N2626))</f>
        <v>space exploration</v>
      </c>
      <c r="S2626" s="11">
        <f t="shared" ref="S2626:S2689" si="250">(((J2626/60)/60)/24)+DATE(1970,1,1)</f>
        <v>41144.42155092593</v>
      </c>
      <c r="T2626" s="11">
        <f t="shared" ref="T2626:T2689" si="251">(((I2626/60)/60)/24)+DATE(1970,1,1)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 s="6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1">
        <f t="shared" si="250"/>
        <v>42658.810277777782</v>
      </c>
      <c r="T2627" s="11">
        <f t="shared" si="251"/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+E2690/D2690</f>
        <v>1.48E-3</v>
      </c>
      <c r="P2690" s="6">
        <f t="shared" ref="P2690:P2753" si="253">+E2690/L2690</f>
        <v>5.2857142857142856</v>
      </c>
      <c r="Q2690" t="str">
        <f t="shared" ref="Q2690:Q2753" si="254">LEFT(N2690, FIND("/",N2690)-1)</f>
        <v>food</v>
      </c>
      <c r="R2690" t="str">
        <f t="shared" ref="R2690:R2753" si="255">RIGHT(N2690, LEN(N2690)-FIND("/",N2690))</f>
        <v>food trucks</v>
      </c>
      <c r="S2690" s="11">
        <f t="shared" ref="S2690:S2753" si="256">(((J2690/60)/60)/24)+DATE(1970,1,1)</f>
        <v>42028.118865740747</v>
      </c>
      <c r="T2690" s="11">
        <f t="shared" ref="T2690:T2753" si="257">(((I2690/60)/60)/24)+DATE(1970,1,1)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 s="6">
        <f t="shared" si="253"/>
        <v>1</v>
      </c>
      <c r="Q2691" t="str">
        <f t="shared" si="254"/>
        <v>food</v>
      </c>
      <c r="R2691" t="str">
        <f t="shared" si="255"/>
        <v>food trucks</v>
      </c>
      <c r="S2691" s="11">
        <f t="shared" si="256"/>
        <v>42551.961689814809</v>
      </c>
      <c r="T2691" s="11">
        <f t="shared" si="257"/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+E2754/D2754</f>
        <v>0.11458333333333333</v>
      </c>
      <c r="P2754" s="6">
        <f t="shared" ref="P2754:P2817" si="259">+E2754/L2754</f>
        <v>39.285714285714285</v>
      </c>
      <c r="Q2754" t="str">
        <f t="shared" ref="Q2754:Q2817" si="260">LEFT(N2754, FIND("/",N2754)-1)</f>
        <v>publishing</v>
      </c>
      <c r="R2754" t="str">
        <f t="shared" ref="R2754:R2817" si="261">RIGHT(N2754, LEN(N2754)-FIND("/",N2754))</f>
        <v>children's books</v>
      </c>
      <c r="S2754" s="11">
        <f t="shared" ref="S2754:S2817" si="262">(((J2754/60)/60)/24)+DATE(1970,1,1)</f>
        <v>40855.765092592592</v>
      </c>
      <c r="T2754" s="11">
        <f t="shared" ref="T2754:T2817" si="263">(((I2754/60)/60)/24)+DATE(1970,1,1)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 s="6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1">
        <f t="shared" si="262"/>
        <v>41117.900729166664</v>
      </c>
      <c r="T2755" s="11">
        <f t="shared" si="263"/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+E2818/D2818</f>
        <v>1.4156666666666666</v>
      </c>
      <c r="P2818" s="6">
        <f t="shared" ref="P2818:P2881" si="265">+E2818/L2818</f>
        <v>25.130177514792898</v>
      </c>
      <c r="Q2818" t="str">
        <f t="shared" ref="Q2818:Q2881" si="266">LEFT(N2818, FIND("/",N2818)-1)</f>
        <v>theater</v>
      </c>
      <c r="R2818" t="str">
        <f t="shared" ref="R2818:R2881" si="267">RIGHT(N2818, LEN(N2818)-FIND("/",N2818))</f>
        <v>plays</v>
      </c>
      <c r="S2818" s="11">
        <f t="shared" ref="S2818:S2881" si="268">(((J2818/60)/60)/24)+DATE(1970,1,1)</f>
        <v>42188.467499999999</v>
      </c>
      <c r="T2818" s="11">
        <f t="shared" ref="T2818:T2881" si="269">(((I2818/60)/60)/24)+DATE(1970,1,1)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 s="6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1">
        <f t="shared" si="268"/>
        <v>42023.634976851856</v>
      </c>
      <c r="T2819" s="11">
        <f t="shared" si="269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+E2882/D2882</f>
        <v>0.23333333333333334</v>
      </c>
      <c r="P2882" s="6">
        <f t="shared" ref="P2882:P2945" si="271">+E2882/L2882</f>
        <v>96.551724137931032</v>
      </c>
      <c r="Q2882" t="str">
        <f t="shared" ref="Q2882:Q2945" si="272">LEFT(N2882, FIND("/",N2882)-1)</f>
        <v>theater</v>
      </c>
      <c r="R2882" t="str">
        <f t="shared" ref="R2882:R2945" si="273">RIGHT(N2882, LEN(N2882)-FIND("/",N2882))</f>
        <v>plays</v>
      </c>
      <c r="S2882" s="11">
        <f t="shared" ref="S2882:S2945" si="274">(((J2882/60)/60)/24)+DATE(1970,1,1)</f>
        <v>42192.905694444446</v>
      </c>
      <c r="T2882" s="11">
        <f t="shared" ref="T2882:T2945" si="275">(((I2882/60)/60)/24)+DATE(1970,1,1)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6" t="e">
        <f t="shared" si="271"/>
        <v>#DIV/0!</v>
      </c>
      <c r="Q2883" t="str">
        <f t="shared" si="272"/>
        <v>theater</v>
      </c>
      <c r="R2883" t="str">
        <f t="shared" si="273"/>
        <v>plays</v>
      </c>
      <c r="S2883" s="11">
        <f t="shared" si="274"/>
        <v>41916.597638888888</v>
      </c>
      <c r="T2883" s="11">
        <f t="shared" si="275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+E2946/D2946</f>
        <v>0.01</v>
      </c>
      <c r="P2946" s="6">
        <f t="shared" ref="P2946:P3009" si="277">+E2946/L2946</f>
        <v>100</v>
      </c>
      <c r="Q2946" t="str">
        <f t="shared" ref="Q2946:Q3009" si="278">LEFT(N2946, FIND("/",N2946)-1)</f>
        <v>theater</v>
      </c>
      <c r="R2946" t="str">
        <f t="shared" ref="R2946:R3009" si="279">RIGHT(N2946, LEN(N2946)-FIND("/",N2946))</f>
        <v>spaces</v>
      </c>
      <c r="S2946" s="11">
        <f t="shared" ref="S2946:S3009" si="280">(((J2946/60)/60)/24)+DATE(1970,1,1)</f>
        <v>42132.9143287037</v>
      </c>
      <c r="T2946" s="11">
        <f t="shared" ref="T2946:T3009" si="281">(((I2946/60)/60)/24)+DATE(1970,1,1)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6" t="e">
        <f t="shared" si="277"/>
        <v>#DIV/0!</v>
      </c>
      <c r="Q2947" t="str">
        <f t="shared" si="278"/>
        <v>theater</v>
      </c>
      <c r="R2947" t="str">
        <f t="shared" si="279"/>
        <v>spaces</v>
      </c>
      <c r="S2947" s="11">
        <f t="shared" si="280"/>
        <v>42118.139583333337</v>
      </c>
      <c r="T2947" s="11">
        <f t="shared" si="281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+E3010/D3010</f>
        <v>1.0116666666666667</v>
      </c>
      <c r="P3010" s="6">
        <f t="shared" ref="P3010:P3073" si="283">+E3010/L3010</f>
        <v>116.73076923076923</v>
      </c>
      <c r="Q3010" t="str">
        <f t="shared" ref="Q3010:Q3073" si="284">LEFT(N3010, FIND("/",N3010)-1)</f>
        <v>theater</v>
      </c>
      <c r="R3010" t="str">
        <f t="shared" ref="R3010:R3073" si="285">RIGHT(N3010, LEN(N3010)-FIND("/",N3010))</f>
        <v>spaces</v>
      </c>
      <c r="S3010" s="11">
        <f t="shared" ref="S3010:S3073" si="286">(((J3010/60)/60)/24)+DATE(1970,1,1)</f>
        <v>42360.212025462963</v>
      </c>
      <c r="T3010" s="11">
        <f t="shared" ref="T3010:T3073" si="287">(((I3010/60)/60)/24)+DATE(1970,1,1)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 s="6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1">
        <f t="shared" si="286"/>
        <v>41939.569907407407</v>
      </c>
      <c r="T3011" s="11">
        <f t="shared" si="287"/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+E3074/D3074</f>
        <v>1.6666666666666666E-4</v>
      </c>
      <c r="P3074" s="6">
        <f t="shared" ref="P3074:P3137" si="289">+E3074/L3074</f>
        <v>1</v>
      </c>
      <c r="Q3074" t="str">
        <f t="shared" ref="Q3074:Q3137" si="290">LEFT(N3074, FIND("/",N3074)-1)</f>
        <v>theater</v>
      </c>
      <c r="R3074" t="str">
        <f t="shared" ref="R3074:R3137" si="291">RIGHT(N3074, LEN(N3074)-FIND("/",N3074))</f>
        <v>spaces</v>
      </c>
      <c r="S3074" s="11">
        <f t="shared" ref="S3074:S3137" si="292">(((J3074/60)/60)/24)+DATE(1970,1,1)</f>
        <v>42658.690532407403</v>
      </c>
      <c r="T3074" s="11">
        <f t="shared" ref="T3074:T3137" si="293">(((I3074/60)/60)/24)+DATE(1970,1,1)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 s="6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1">
        <f t="shared" si="292"/>
        <v>42111.684027777781</v>
      </c>
      <c r="T3075" s="11">
        <f t="shared" si="293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+E3138/D3138</f>
        <v>1.278</v>
      </c>
      <c r="P3138" s="6">
        <f t="shared" ref="P3138:P3201" si="295">+E3138/L3138</f>
        <v>29.045454545454547</v>
      </c>
      <c r="Q3138" t="str">
        <f t="shared" ref="Q3138:Q3201" si="296">LEFT(N3138, FIND("/",N3138)-1)</f>
        <v>theater</v>
      </c>
      <c r="R3138" t="str">
        <f t="shared" ref="R3138:R3201" si="297">RIGHT(N3138, LEN(N3138)-FIND("/",N3138))</f>
        <v>plays</v>
      </c>
      <c r="S3138" s="11">
        <f t="shared" ref="S3138:S3201" si="298">(((J3138/60)/60)/24)+DATE(1970,1,1)</f>
        <v>42789.462430555555</v>
      </c>
      <c r="T3138" s="11">
        <f t="shared" ref="T3138:T3201" si="299">(((I3138/60)/60)/24)+DATE(1970,1,1)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 s="6">
        <f t="shared" si="295"/>
        <v>50</v>
      </c>
      <c r="Q3139" t="str">
        <f t="shared" si="296"/>
        <v>theater</v>
      </c>
      <c r="R3139" t="str">
        <f t="shared" si="297"/>
        <v>plays</v>
      </c>
      <c r="S3139" s="11">
        <f t="shared" si="298"/>
        <v>42807.885057870371</v>
      </c>
      <c r="T3139" s="11">
        <f t="shared" si="299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+E3202/D3202</f>
        <v>2.0000000000000002E-5</v>
      </c>
      <c r="P3202" s="6">
        <f t="shared" ref="P3202:P3265" si="301">+E3202/L3202</f>
        <v>1</v>
      </c>
      <c r="Q3202" t="str">
        <f t="shared" ref="Q3202:Q3265" si="302">LEFT(N3202, FIND("/",N3202)-1)</f>
        <v>theater</v>
      </c>
      <c r="R3202" t="str">
        <f t="shared" ref="R3202:R3265" si="303">RIGHT(N3202, LEN(N3202)-FIND("/",N3202))</f>
        <v>musical</v>
      </c>
      <c r="S3202" s="11">
        <f t="shared" ref="S3202:S3265" si="304">(((J3202/60)/60)/24)+DATE(1970,1,1)</f>
        <v>42460.320613425924</v>
      </c>
      <c r="T3202" s="11">
        <f t="shared" ref="T3202:T3265" si="305">(((I3202/60)/60)/24)+DATE(1970,1,1)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 s="6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1">
        <f t="shared" si="304"/>
        <v>41861.767094907409</v>
      </c>
      <c r="T3203" s="11">
        <f t="shared" si="305"/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+E3266/D3266</f>
        <v>1.03</v>
      </c>
      <c r="P3266" s="6">
        <f t="shared" ref="P3266:P3329" si="307">+E3266/L3266</f>
        <v>52.551020408163268</v>
      </c>
      <c r="Q3266" t="str">
        <f t="shared" ref="Q3266:Q3329" si="308">LEFT(N3266, FIND("/",N3266)-1)</f>
        <v>theater</v>
      </c>
      <c r="R3266" t="str">
        <f t="shared" ref="R3266:R3329" si="309">RIGHT(N3266, LEN(N3266)-FIND("/",N3266))</f>
        <v>plays</v>
      </c>
      <c r="S3266" s="11">
        <f t="shared" ref="S3266:S3329" si="310">(((J3266/60)/60)/24)+DATE(1970,1,1)</f>
        <v>42016.800208333334</v>
      </c>
      <c r="T3266" s="11">
        <f t="shared" ref="T3266:T3329" si="311">(((I3266/60)/60)/24)+DATE(1970,1,1)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 s="6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1">
        <f t="shared" si="310"/>
        <v>42311.711979166663</v>
      </c>
      <c r="T3267" s="11">
        <f t="shared" si="311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+E3330/D3330</f>
        <v>1.4638888888888888</v>
      </c>
      <c r="P3330" s="6">
        <f t="shared" ref="P3330:P3393" si="313">+E3330/L3330</f>
        <v>292.77777777777777</v>
      </c>
      <c r="Q3330" t="str">
        <f t="shared" ref="Q3330:Q3393" si="314">LEFT(N3330, FIND("/",N3330)-1)</f>
        <v>theater</v>
      </c>
      <c r="R3330" t="str">
        <f t="shared" ref="R3330:R3393" si="315">RIGHT(N3330, LEN(N3330)-FIND("/",N3330))</f>
        <v>plays</v>
      </c>
      <c r="S3330" s="11">
        <f t="shared" ref="S3330:S3393" si="316">(((J3330/60)/60)/24)+DATE(1970,1,1)</f>
        <v>41822.57503472222</v>
      </c>
      <c r="T3330" s="11">
        <f t="shared" ref="T3330:T3393" si="317">(((I3330/60)/60)/24)+DATE(1970,1,1)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 s="6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1">
        <f t="shared" si="316"/>
        <v>41837.323009259257</v>
      </c>
      <c r="T3331" s="11">
        <f t="shared" si="317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+E3394/D3394</f>
        <v>1</v>
      </c>
      <c r="P3394" s="6">
        <f t="shared" ref="P3394:P3457" si="319">+E3394/L3394</f>
        <v>41.666666666666664</v>
      </c>
      <c r="Q3394" t="str">
        <f t="shared" ref="Q3394:Q3457" si="320">LEFT(N3394, FIND("/",N3394)-1)</f>
        <v>theater</v>
      </c>
      <c r="R3394" t="str">
        <f t="shared" ref="R3394:R3457" si="321">RIGHT(N3394, LEN(N3394)-FIND("/",N3394))</f>
        <v>plays</v>
      </c>
      <c r="S3394" s="11">
        <f t="shared" ref="S3394:S3457" si="322">(((J3394/60)/60)/24)+DATE(1970,1,1)</f>
        <v>42446.845543981486</v>
      </c>
      <c r="T3394" s="11">
        <f t="shared" ref="T3394:T3457" si="323">(((I3394/60)/60)/24)+DATE(1970,1,1)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 s="6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1">
        <f t="shared" si="322"/>
        <v>41923.921643518523</v>
      </c>
      <c r="T3395" s="11">
        <f t="shared" si="323"/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+E3458/D3458</f>
        <v>1.913</v>
      </c>
      <c r="P3458" s="6">
        <f t="shared" ref="P3458:P3521" si="325">+E3458/L3458</f>
        <v>358.6875</v>
      </c>
      <c r="Q3458" t="str">
        <f t="shared" ref="Q3458:Q3521" si="326">LEFT(N3458, FIND("/",N3458)-1)</f>
        <v>theater</v>
      </c>
      <c r="R3458" t="str">
        <f t="shared" ref="R3458:R3521" si="327">RIGHT(N3458, LEN(N3458)-FIND("/",N3458))</f>
        <v>plays</v>
      </c>
      <c r="S3458" s="11">
        <f t="shared" ref="S3458:S3521" si="328">(((J3458/60)/60)/24)+DATE(1970,1,1)</f>
        <v>41821.205636574072</v>
      </c>
      <c r="T3458" s="11">
        <f t="shared" ref="T3458:T3521" si="329">(((I3458/60)/60)/24)+DATE(1970,1,1)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 s="6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1">
        <f t="shared" si="328"/>
        <v>42016.706678240742</v>
      </c>
      <c r="T3459" s="11">
        <f t="shared" si="329"/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+E3522/D3522</f>
        <v>1.0075000000000001</v>
      </c>
      <c r="P3522" s="6">
        <f t="shared" ref="P3522:P3585" si="331">+E3522/L3522</f>
        <v>95.952380952380949</v>
      </c>
      <c r="Q3522" t="str">
        <f t="shared" ref="Q3522:Q3585" si="332">LEFT(N3522, FIND("/",N3522)-1)</f>
        <v>theater</v>
      </c>
      <c r="R3522" t="str">
        <f t="shared" ref="R3522:R3585" si="333">RIGHT(N3522, LEN(N3522)-FIND("/",N3522))</f>
        <v>plays</v>
      </c>
      <c r="S3522" s="11">
        <f t="shared" ref="S3522:S3585" si="334">(((J3522/60)/60)/24)+DATE(1970,1,1)</f>
        <v>42227.824212962965</v>
      </c>
      <c r="T3522" s="11">
        <f t="shared" ref="T3522:T3585" si="335">(((I3522/60)/60)/24)+DATE(1970,1,1)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 s="6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1">
        <f t="shared" si="334"/>
        <v>41881.361342592594</v>
      </c>
      <c r="T3523" s="11">
        <f t="shared" si="335"/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+E3586/D3586</f>
        <v>1.155</v>
      </c>
      <c r="P3586" s="6">
        <f t="shared" ref="P3586:P3649" si="337">+E3586/L3586</f>
        <v>30.9375</v>
      </c>
      <c r="Q3586" t="str">
        <f t="shared" ref="Q3586:Q3649" si="338">LEFT(N3586, FIND("/",N3586)-1)</f>
        <v>theater</v>
      </c>
      <c r="R3586" t="str">
        <f t="shared" ref="R3586:R3649" si="339">RIGHT(N3586, LEN(N3586)-FIND("/",N3586))</f>
        <v>plays</v>
      </c>
      <c r="S3586" s="11">
        <f t="shared" ref="S3586:S3649" si="340">(((J3586/60)/60)/24)+DATE(1970,1,1)</f>
        <v>42168.316481481481</v>
      </c>
      <c r="T3586" s="11">
        <f t="shared" ref="T3586:T3649" si="341">(((I3586/60)/60)/24)+DATE(1970,1,1)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 s="6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1">
        <f t="shared" si="340"/>
        <v>41964.716319444444</v>
      </c>
      <c r="T3587" s="11">
        <f t="shared" si="341"/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+E3650/D3650</f>
        <v>1.003825</v>
      </c>
      <c r="P3650" s="6">
        <f t="shared" ref="P3650:P3713" si="343">+E3650/L3650</f>
        <v>550.04109589041093</v>
      </c>
      <c r="Q3650" t="str">
        <f t="shared" ref="Q3650:Q3713" si="344">LEFT(N3650, FIND("/",N3650)-1)</f>
        <v>theater</v>
      </c>
      <c r="R3650" t="str">
        <f t="shared" ref="R3650:R3713" si="345">RIGHT(N3650, LEN(N3650)-FIND("/",N3650))</f>
        <v>plays</v>
      </c>
      <c r="S3650" s="11">
        <f t="shared" ref="S3650:S3713" si="346">(((J3650/60)/60)/24)+DATE(1970,1,1)</f>
        <v>41887.292187500003</v>
      </c>
      <c r="T3650" s="11">
        <f t="shared" ref="T3650:T3713" si="347">(((I3650/60)/60)/24)+DATE(1970,1,1)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 s="6">
        <f t="shared" si="343"/>
        <v>97.5</v>
      </c>
      <c r="Q3651" t="str">
        <f t="shared" si="344"/>
        <v>theater</v>
      </c>
      <c r="R3651" t="str">
        <f t="shared" si="345"/>
        <v>plays</v>
      </c>
      <c r="S3651" s="11">
        <f t="shared" si="346"/>
        <v>41780.712893518517</v>
      </c>
      <c r="T3651" s="11">
        <f t="shared" si="347"/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+E3714/D3714</f>
        <v>1.5373333333333334</v>
      </c>
      <c r="P3714" s="6">
        <f t="shared" ref="P3714:P3777" si="349">+E3714/L3714</f>
        <v>110.86538461538461</v>
      </c>
      <c r="Q3714" t="str">
        <f t="shared" ref="Q3714:Q3777" si="350">LEFT(N3714, FIND("/",N3714)-1)</f>
        <v>theater</v>
      </c>
      <c r="R3714" t="str">
        <f t="shared" ref="R3714:R3777" si="351">RIGHT(N3714, LEN(N3714)-FIND("/",N3714))</f>
        <v>plays</v>
      </c>
      <c r="S3714" s="11">
        <f t="shared" ref="S3714:S3777" si="352">(((J3714/60)/60)/24)+DATE(1970,1,1)</f>
        <v>42134.172071759262</v>
      </c>
      <c r="T3714" s="11">
        <f t="shared" ref="T3714:T3777" si="353">(((I3714/60)/60)/24)+DATE(1970,1,1)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 s="6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1">
        <f t="shared" si="352"/>
        <v>42505.738032407404</v>
      </c>
      <c r="T3715" s="11">
        <f t="shared" si="353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+E3778/D3778</f>
        <v>1.0671250000000001</v>
      </c>
      <c r="P3778" s="6">
        <f t="shared" ref="P3778:P3841" si="355">+E3778/L3778</f>
        <v>90.819148936170208</v>
      </c>
      <c r="Q3778" t="str">
        <f t="shared" ref="Q3778:Q3841" si="356">LEFT(N3778, FIND("/",N3778)-1)</f>
        <v>theater</v>
      </c>
      <c r="R3778" t="str">
        <f t="shared" ref="R3778:R3841" si="357">RIGHT(N3778, LEN(N3778)-FIND("/",N3778))</f>
        <v>musical</v>
      </c>
      <c r="S3778" s="11">
        <f t="shared" ref="S3778:S3841" si="358">(((J3778/60)/60)/24)+DATE(1970,1,1)</f>
        <v>41814.367800925924</v>
      </c>
      <c r="T3778" s="11">
        <f t="shared" ref="T3778:T3841" si="359">(((I3778/60)/60)/24)+DATE(1970,1,1)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 s="6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1">
        <f t="shared" si="358"/>
        <v>41887.111354166671</v>
      </c>
      <c r="T3779" s="11">
        <f t="shared" si="359"/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+E3842/D3842</f>
        <v>65</v>
      </c>
      <c r="P3842" s="6">
        <f t="shared" ref="P3842:P3905" si="361">+E3842/L3842</f>
        <v>21.666666666666668</v>
      </c>
      <c r="Q3842" t="str">
        <f t="shared" ref="Q3842:Q3905" si="362">LEFT(N3842, FIND("/",N3842)-1)</f>
        <v>theater</v>
      </c>
      <c r="R3842" t="str">
        <f t="shared" ref="R3842:R3905" si="363">RIGHT(N3842, LEN(N3842)-FIND("/",N3842))</f>
        <v>plays</v>
      </c>
      <c r="S3842" s="11">
        <f t="shared" ref="S3842:S3905" si="364">(((J3842/60)/60)/24)+DATE(1970,1,1)</f>
        <v>42432.701724537037</v>
      </c>
      <c r="T3842" s="11">
        <f t="shared" ref="T3842:T3905" si="365">(((I3842/60)/60)/24)+DATE(1970,1,1)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 s="6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1">
        <f t="shared" si="364"/>
        <v>41780.785729166666</v>
      </c>
      <c r="T3843" s="11">
        <f t="shared" si="365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+E3906/D3906</f>
        <v>2.9999999999999997E-4</v>
      </c>
      <c r="P3906" s="6">
        <f t="shared" ref="P3906:P3969" si="367">+E3906/L3906</f>
        <v>1.5</v>
      </c>
      <c r="Q3906" t="str">
        <f t="shared" ref="Q3906:Q3969" si="368">LEFT(N3906, FIND("/",N3906)-1)</f>
        <v>theater</v>
      </c>
      <c r="R3906" t="str">
        <f t="shared" ref="R3906:R3969" si="369">RIGHT(N3906, LEN(N3906)-FIND("/",N3906))</f>
        <v>plays</v>
      </c>
      <c r="S3906" s="11">
        <f t="shared" ref="S3906:S3969" si="370">(((J3906/60)/60)/24)+DATE(1970,1,1)</f>
        <v>42095.229166666672</v>
      </c>
      <c r="T3906" s="11">
        <f t="shared" ref="T3906:T3969" si="371">(((I3906/60)/60)/24)+DATE(1970,1,1)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 s="6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1">
        <f t="shared" si="370"/>
        <v>42124.623877314814</v>
      </c>
      <c r="T3907" s="11">
        <f t="shared" si="371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+E3970/D3970</f>
        <v>0.10539999999999999</v>
      </c>
      <c r="P3970" s="6">
        <f t="shared" ref="P3970:P4033" si="373">+E3970/L3970</f>
        <v>47.909090909090907</v>
      </c>
      <c r="Q3970" t="str">
        <f t="shared" ref="Q3970:Q4033" si="374">LEFT(N3970, FIND("/",N3970)-1)</f>
        <v>theater</v>
      </c>
      <c r="R3970" t="str">
        <f t="shared" ref="R3970:R4033" si="375">RIGHT(N3970, LEN(N3970)-FIND("/",N3970))</f>
        <v>plays</v>
      </c>
      <c r="S3970" s="11">
        <f t="shared" ref="S3970:S4033" si="376">(((J3970/60)/60)/24)+DATE(1970,1,1)</f>
        <v>42452.815659722226</v>
      </c>
      <c r="T3970" s="11">
        <f t="shared" ref="T3970:T4033" si="377">(((I3970/60)/60)/24)+DATE(1970,1,1)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 s="6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1">
        <f t="shared" si="376"/>
        <v>42601.854699074072</v>
      </c>
      <c r="T3971" s="11">
        <f t="shared" si="377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+E4034/D4034</f>
        <v>6.8287037037037035E-2</v>
      </c>
      <c r="P4034" s="6">
        <f t="shared" ref="P4034:P4097" si="379">+E4034/L4034</f>
        <v>59</v>
      </c>
      <c r="Q4034" t="str">
        <f t="shared" ref="Q4034:Q4097" si="380">LEFT(N4034, FIND("/",N4034)-1)</f>
        <v>theater</v>
      </c>
      <c r="R4034" t="str">
        <f t="shared" ref="R4034:R4097" si="381">RIGHT(N4034, LEN(N4034)-FIND("/",N4034))</f>
        <v>plays</v>
      </c>
      <c r="S4034" s="11">
        <f t="shared" ref="S4034:S4097" si="382">(((J4034/60)/60)/24)+DATE(1970,1,1)</f>
        <v>42293.809212962966</v>
      </c>
      <c r="T4034" s="11">
        <f t="shared" ref="T4034:T4097" si="383">(((I4034/60)/60)/24)+DATE(1970,1,1)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 s="6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1">
        <f t="shared" si="382"/>
        <v>42614.268796296295</v>
      </c>
      <c r="T4035" s="11">
        <f t="shared" si="383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+E4098/D4098</f>
        <v>0.11428571428571428</v>
      </c>
      <c r="P4098" s="6">
        <f t="shared" ref="P4098:P4115" si="385">+E4098/L4098</f>
        <v>80</v>
      </c>
      <c r="Q4098" t="str">
        <f t="shared" ref="Q4098:Q4115" si="386">LEFT(N4098, FIND("/",N4098)-1)</f>
        <v>theater</v>
      </c>
      <c r="R4098" t="str">
        <f t="shared" ref="R4098:R4115" si="387">RIGHT(N4098, LEN(N4098)-FIND("/",N4098))</f>
        <v>plays</v>
      </c>
      <c r="S4098" s="11">
        <f t="shared" ref="S4098:S4115" si="388">(((J4098/60)/60)/24)+DATE(1970,1,1)</f>
        <v>42750.530312499999</v>
      </c>
      <c r="T4098" s="11">
        <f t="shared" ref="T4098:T4115" si="389">(((I4098/60)/60)/24)+DATE(1970,1,1)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6" t="e">
        <f t="shared" si="385"/>
        <v>#DIV/0!</v>
      </c>
      <c r="Q4099" t="str">
        <f t="shared" si="386"/>
        <v>theater</v>
      </c>
      <c r="R4099" t="str">
        <f t="shared" si="387"/>
        <v>plays</v>
      </c>
      <c r="S4099" s="11">
        <f t="shared" si="388"/>
        <v>42344.824502314819</v>
      </c>
      <c r="T4099" s="11">
        <f t="shared" si="389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R4115"/>
  <conditionalFormatting sqref="F2:F4115">
    <cfRule type="containsText" dxfId="5" priority="4" operator="containsText" text="live">
      <formula>NOT(ISERROR(SEARCH("live",F2)))</formula>
    </cfRule>
    <cfRule type="containsText" dxfId="4" priority="5" operator="containsText" text="canceled">
      <formula>NOT(ISERROR(SEARCH("canceled",F2)))</formula>
    </cfRule>
    <cfRule type="containsText" dxfId="3" priority="6" operator="containsText" text="failed">
      <formula>NOT(ISERROR(SEARCH("failed",F2)))</formula>
    </cfRule>
    <cfRule type="containsText" dxfId="2" priority="7" operator="containsText" text="successful">
      <formula>NOT(ISERROR(SEARCH("successful",F2)))</formula>
    </cfRule>
  </conditionalFormatting>
  <conditionalFormatting sqref="F1:F1048576">
    <cfRule type="containsText" dxfId="1" priority="2" operator="containsText" text="live">
      <formula>NOT(ISERROR(SEARCH("live",F1)))</formula>
    </cfRule>
    <cfRule type="containsText" dxfId="0" priority="3" operator="containsText" text="live">
      <formula>NOT(ISERROR(SEARCH("live",F1)))</formula>
    </cfRule>
  </conditionalFormatting>
  <conditionalFormatting sqref="O2:O4115">
    <cfRule type="colorScale" priority="1">
      <colorScale>
        <cfvo type="min"/>
        <cfvo type="percentile" val="50"/>
        <cfvo type="max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14"/>
  <sheetViews>
    <sheetView workbookViewId="0">
      <selection activeCell="E20" sqref="E20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8322</v>
      </c>
      <c r="B3" s="7" t="s">
        <v>8321</v>
      </c>
    </row>
    <row r="4" spans="1:6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47"/>
  <sheetViews>
    <sheetView topLeftCell="C7" workbookViewId="0">
      <selection activeCell="U13" sqref="U1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2" spans="1:6" x14ac:dyDescent="0.25">
      <c r="A2" s="7" t="s">
        <v>8308</v>
      </c>
      <c r="B2" t="s">
        <v>8364</v>
      </c>
    </row>
    <row r="4" spans="1:6" x14ac:dyDescent="0.25">
      <c r="A4" s="7" t="s">
        <v>8322</v>
      </c>
      <c r="B4" s="7" t="s">
        <v>8321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8" t="s">
        <v>8323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8324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8325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8326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8327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8328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8329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8331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8332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8333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8334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8335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8336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8337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8338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8339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8340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8341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8344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8345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8346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8348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8349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8350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8351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8352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8353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8354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8357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8358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8359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8360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8362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8363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18"/>
  <sheetViews>
    <sheetView workbookViewId="0">
      <selection activeCell="H7" sqref="H7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7" t="s">
        <v>8308</v>
      </c>
      <c r="B1" t="s">
        <v>8364</v>
      </c>
    </row>
    <row r="2" spans="1:6" x14ac:dyDescent="0.25">
      <c r="A2" s="7" t="s">
        <v>8379</v>
      </c>
      <c r="B2" t="s">
        <v>8364</v>
      </c>
    </row>
    <row r="4" spans="1:6" x14ac:dyDescent="0.25">
      <c r="A4" s="7" t="s">
        <v>8322</v>
      </c>
      <c r="B4" s="7" t="s">
        <v>8321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8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8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8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8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8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8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8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8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8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8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8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8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8" t="s">
        <v>8320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2:H14"/>
  <sheetViews>
    <sheetView tabSelected="1" workbookViewId="0">
      <selection activeCell="F6" sqref="F6"/>
    </sheetView>
  </sheetViews>
  <sheetFormatPr defaultRowHeight="15" x14ac:dyDescent="0.25"/>
  <cols>
    <col min="1" max="1" width="31.140625" style="10" customWidth="1"/>
    <col min="2" max="2" width="19.140625" bestFit="1" customWidth="1"/>
    <col min="3" max="3" width="14.85546875" bestFit="1" customWidth="1"/>
    <col min="4" max="4" width="18.140625" bestFit="1" customWidth="1"/>
    <col min="5" max="5" width="14.5703125" bestFit="1" customWidth="1"/>
    <col min="6" max="6" width="22" bestFit="1" customWidth="1"/>
    <col min="7" max="7" width="17.7109375" bestFit="1" customWidth="1"/>
    <col min="8" max="8" width="19.85546875" bestFit="1" customWidth="1"/>
  </cols>
  <sheetData>
    <row r="2" spans="1:8" x14ac:dyDescent="0.25">
      <c r="A2" s="1" t="s">
        <v>8381</v>
      </c>
      <c r="B2" s="12" t="s">
        <v>8382</v>
      </c>
      <c r="C2" s="12" t="s">
        <v>8383</v>
      </c>
      <c r="D2" s="12" t="s">
        <v>8384</v>
      </c>
      <c r="E2" s="12" t="s">
        <v>8385</v>
      </c>
      <c r="F2" s="12" t="s">
        <v>8386</v>
      </c>
      <c r="G2" s="12" t="s">
        <v>8387</v>
      </c>
      <c r="H2" s="12" t="s">
        <v>8380</v>
      </c>
    </row>
    <row r="3" spans="1:8" x14ac:dyDescent="0.25">
      <c r="A3" s="13" t="s">
        <v>8388</v>
      </c>
      <c r="B3">
        <f>COUNTIFS(goal,"&lt;1000", outcome,"successful")</f>
        <v>322</v>
      </c>
      <c r="C3">
        <f>COUNTIFS(goal,"&lt;1000", outcome,"failed")</f>
        <v>113</v>
      </c>
      <c r="D3">
        <f>COUNTIFS(goal,"&lt;1000", outcome,"canceled")</f>
        <v>18</v>
      </c>
      <c r="E3">
        <f>SUM(B3:D3)</f>
        <v>453</v>
      </c>
      <c r="F3" s="5">
        <f>B3/E3</f>
        <v>0.71081677704194257</v>
      </c>
      <c r="G3" s="5">
        <f>C3/E3</f>
        <v>0.24944812362030905</v>
      </c>
      <c r="H3" s="5">
        <f>D3/E3</f>
        <v>3.9735099337748346E-2</v>
      </c>
    </row>
    <row r="4" spans="1:8" x14ac:dyDescent="0.25">
      <c r="A4" s="13" t="s">
        <v>8389</v>
      </c>
      <c r="B4">
        <f>COUNTIFS(goal,"&gt;=1000", goal, "&lt;=4999",outcome,"successful")</f>
        <v>932</v>
      </c>
      <c r="C4">
        <f>COUNTIFS(goal,"&gt;=1000", goal, "&lt;=4999",outcome,"failed")</f>
        <v>420</v>
      </c>
      <c r="D4">
        <f>COUNTIFS(goal,"&gt;=1000", goal, "&lt;=4999",outcome,"canceled")</f>
        <v>60</v>
      </c>
      <c r="E4">
        <f t="shared" ref="E4:E14" si="0">SUM(B4:D4)</f>
        <v>1412</v>
      </c>
      <c r="F4" s="5">
        <f t="shared" ref="F4:F14" si="1">B4/E4</f>
        <v>0.66005665722379603</v>
      </c>
      <c r="G4" s="5">
        <f t="shared" ref="G4:G14" si="2">C4/E4</f>
        <v>0.29745042492917845</v>
      </c>
      <c r="H4" s="5">
        <f t="shared" ref="H4:H14" si="3">D4/E4</f>
        <v>4.2492917847025496E-2</v>
      </c>
    </row>
    <row r="5" spans="1:8" x14ac:dyDescent="0.25">
      <c r="A5" s="13" t="s">
        <v>8390</v>
      </c>
      <c r="B5">
        <f>COUNTIFS(goal,"&gt;=5000", goal, "&lt;=9999", outcome,"successful")</f>
        <v>381</v>
      </c>
      <c r="C5">
        <f>COUNTIFS(goal,"&gt;=5000", goal, "&lt;=9999", outcome,"failed")</f>
        <v>283</v>
      </c>
      <c r="D5">
        <f>COUNTIFS(goal,"&gt;=5000", goal, "&lt;=9999", outcome,"canceled")</f>
        <v>52</v>
      </c>
      <c r="E5">
        <f t="shared" si="0"/>
        <v>716</v>
      </c>
      <c r="F5" s="5">
        <f t="shared" si="1"/>
        <v>0.53212290502793291</v>
      </c>
      <c r="G5" s="5">
        <f t="shared" si="2"/>
        <v>0.39525139664804471</v>
      </c>
      <c r="H5" s="5">
        <f t="shared" si="3"/>
        <v>7.2625698324022353E-2</v>
      </c>
    </row>
    <row r="6" spans="1:8" x14ac:dyDescent="0.25">
      <c r="A6" s="13" t="s">
        <v>8391</v>
      </c>
      <c r="B6">
        <f>COUNTIFS(goal,"&gt;=10000", goal, "&lt;=14999",outcome,"successful")</f>
        <v>168</v>
      </c>
      <c r="C6">
        <f>COUNTIFS(goal,"&gt;=10000", goal, "&lt;=14999",outcome,"failed")</f>
        <v>144</v>
      </c>
      <c r="D6">
        <f>COUNTIFS(goal,"&gt;=10000", goal, "&lt;=14999",outcome,"canceled")</f>
        <v>40</v>
      </c>
      <c r="E6">
        <f t="shared" si="0"/>
        <v>352</v>
      </c>
      <c r="F6" s="5">
        <f t="shared" si="1"/>
        <v>0.47727272727272729</v>
      </c>
      <c r="G6" s="5">
        <f t="shared" si="2"/>
        <v>0.40909090909090912</v>
      </c>
      <c r="H6" s="5">
        <f t="shared" si="3"/>
        <v>0.11363636363636363</v>
      </c>
    </row>
    <row r="7" spans="1:8" x14ac:dyDescent="0.25">
      <c r="A7" s="13" t="s">
        <v>8392</v>
      </c>
      <c r="B7">
        <f>COUNTIFS(goal,"&gt;=15000", goal, "&lt;=19999",outcome,"successful")</f>
        <v>94</v>
      </c>
      <c r="C7">
        <f>COUNTIFS(goal,"&gt;=15000", goal, "&lt;=19999",outcome,"failed")</f>
        <v>90</v>
      </c>
      <c r="D7">
        <f>COUNTIFS(goal,"&gt;=15000", goal, "&lt;=19999",outcome,"canceled")</f>
        <v>17</v>
      </c>
      <c r="E7">
        <f t="shared" si="0"/>
        <v>201</v>
      </c>
      <c r="F7" s="5">
        <f t="shared" si="1"/>
        <v>0.46766169154228854</v>
      </c>
      <c r="G7" s="5">
        <f t="shared" si="2"/>
        <v>0.44776119402985076</v>
      </c>
      <c r="H7" s="5">
        <f t="shared" si="3"/>
        <v>8.45771144278607E-2</v>
      </c>
    </row>
    <row r="8" spans="1:8" x14ac:dyDescent="0.25">
      <c r="A8" s="13" t="s">
        <v>8393</v>
      </c>
      <c r="B8">
        <f>COUNTIFS(goal,"&gt;=20000", goal, "&lt;=24999",outcome,"successful")</f>
        <v>62</v>
      </c>
      <c r="C8">
        <f>COUNTIFS(goal,"&gt;=20000", goal, "&lt;=24999",outcome,"failed")</f>
        <v>72</v>
      </c>
      <c r="D8">
        <f>COUNTIFS(goal,"&gt;=20000", goal, "&lt;=24999",outcome,"canceled")</f>
        <v>14</v>
      </c>
      <c r="E8">
        <f t="shared" si="0"/>
        <v>148</v>
      </c>
      <c r="F8" s="5">
        <f t="shared" si="1"/>
        <v>0.41891891891891891</v>
      </c>
      <c r="G8" s="5">
        <f t="shared" si="2"/>
        <v>0.48648648648648651</v>
      </c>
      <c r="H8" s="5">
        <f t="shared" si="3"/>
        <v>9.45945945945946E-2</v>
      </c>
    </row>
    <row r="9" spans="1:8" x14ac:dyDescent="0.25">
      <c r="A9" s="13" t="s">
        <v>8394</v>
      </c>
      <c r="B9">
        <f>COUNTIFS(goal,"&gt;=25000", goal, "&lt;=29999",outcome,"successful")</f>
        <v>55</v>
      </c>
      <c r="C9">
        <f>COUNTIFS(goal,"&gt;=25000", goal, "&lt;=29999",outcome,"failed")</f>
        <v>64</v>
      </c>
      <c r="D9">
        <f>COUNTIFS(goal,"&gt;=25000", goal, "&lt;=29999",outcome,"canceled")</f>
        <v>18</v>
      </c>
      <c r="E9">
        <f t="shared" si="0"/>
        <v>137</v>
      </c>
      <c r="F9" s="5">
        <f t="shared" si="1"/>
        <v>0.40145985401459855</v>
      </c>
      <c r="G9" s="5">
        <f t="shared" si="2"/>
        <v>0.46715328467153283</v>
      </c>
      <c r="H9" s="5">
        <f t="shared" si="3"/>
        <v>0.13138686131386862</v>
      </c>
    </row>
    <row r="10" spans="1:8" x14ac:dyDescent="0.25">
      <c r="A10" s="13" t="s">
        <v>8395</v>
      </c>
      <c r="B10">
        <f>COUNTIFS(goal,"&gt;=30000", goal, "&lt;=34999",outcome,"successful")</f>
        <v>32</v>
      </c>
      <c r="C10">
        <f>COUNTIFS(goal,"&gt;=30000", goal, "&lt;=34999",outcome,"failed")</f>
        <v>37</v>
      </c>
      <c r="D10">
        <f>COUNTIFS(goal,"&gt;=30000", goal, "&lt;=34999",outcome,"canceled")</f>
        <v>13</v>
      </c>
      <c r="E10">
        <f t="shared" si="0"/>
        <v>82</v>
      </c>
      <c r="F10" s="5">
        <f t="shared" si="1"/>
        <v>0.3902439024390244</v>
      </c>
      <c r="G10" s="5">
        <f t="shared" si="2"/>
        <v>0.45121951219512196</v>
      </c>
      <c r="H10" s="5">
        <f t="shared" si="3"/>
        <v>0.15853658536585366</v>
      </c>
    </row>
    <row r="11" spans="1:8" x14ac:dyDescent="0.25">
      <c r="A11" s="13" t="s">
        <v>8396</v>
      </c>
      <c r="B11">
        <f>COUNTIFS(goal,"&gt;=35000", goal, "&lt;=39999",outcome,"successful")</f>
        <v>26</v>
      </c>
      <c r="C11">
        <f>COUNTIFS(goal,"&gt;=35000", goal, "&lt;=39999",outcome,"failed")</f>
        <v>22</v>
      </c>
      <c r="D11">
        <f>COUNTIFS(goal,"&gt;=35000", goal, "&lt;=39999",outcome,"canceled")</f>
        <v>7</v>
      </c>
      <c r="E11">
        <f t="shared" si="0"/>
        <v>55</v>
      </c>
      <c r="F11" s="5">
        <f t="shared" si="1"/>
        <v>0.47272727272727272</v>
      </c>
      <c r="G11" s="5">
        <f t="shared" si="2"/>
        <v>0.4</v>
      </c>
      <c r="H11" s="5">
        <f t="shared" si="3"/>
        <v>0.12727272727272726</v>
      </c>
    </row>
    <row r="12" spans="1:8" x14ac:dyDescent="0.25">
      <c r="A12" s="13" t="s">
        <v>8397</v>
      </c>
      <c r="B12">
        <f>COUNTIFS(goal,"&gt;=40000", goal, "&lt;=44999",outcome,"successful")</f>
        <v>21</v>
      </c>
      <c r="C12">
        <f>COUNTIFS(goal,"&gt;=40000", goal, "&lt;=44999",outcome,"failed")</f>
        <v>16</v>
      </c>
      <c r="D12">
        <f>COUNTIFS(goal,"&gt;=40000", goal, "&lt;=44999",outcome,"canceled")</f>
        <v>6</v>
      </c>
      <c r="E12">
        <f t="shared" si="0"/>
        <v>43</v>
      </c>
      <c r="F12" s="5">
        <f t="shared" si="1"/>
        <v>0.48837209302325579</v>
      </c>
      <c r="G12" s="5">
        <f t="shared" si="2"/>
        <v>0.37209302325581395</v>
      </c>
      <c r="H12" s="5">
        <f t="shared" si="3"/>
        <v>0.13953488372093023</v>
      </c>
    </row>
    <row r="13" spans="1:8" x14ac:dyDescent="0.25">
      <c r="A13" s="13" t="s">
        <v>8398</v>
      </c>
      <c r="B13">
        <f>COUNTIFS(goal,"&gt;=45000",goal, "&lt;=49999",outcome,"successful")</f>
        <v>6</v>
      </c>
      <c r="C13">
        <f>COUNTIFS(goal,"&gt;=45000",goal, "&lt;=49999",outcome,"failed")</f>
        <v>11</v>
      </c>
      <c r="D13">
        <f>COUNTIFS(goal,"&gt;=45000",goal, "&lt;=49999",outcome,"canceled")</f>
        <v>4</v>
      </c>
      <c r="E13">
        <f t="shared" si="0"/>
        <v>21</v>
      </c>
      <c r="F13" s="5">
        <f t="shared" si="1"/>
        <v>0.2857142857142857</v>
      </c>
      <c r="G13" s="5">
        <f t="shared" si="2"/>
        <v>0.52380952380952384</v>
      </c>
      <c r="H13" s="5">
        <f t="shared" si="3"/>
        <v>0.19047619047619047</v>
      </c>
    </row>
    <row r="14" spans="1:8" x14ac:dyDescent="0.25">
      <c r="A14" s="13" t="s">
        <v>8399</v>
      </c>
      <c r="B14">
        <f>COUNTIFS(goal,"&gt;=50000",outcome,"successful")</f>
        <v>86</v>
      </c>
      <c r="C14">
        <f>COUNTIFS(goal,"&gt;=50000",outcome,"failed")</f>
        <v>258</v>
      </c>
      <c r="D14">
        <f>COUNTIFS(goal,"&gt;=50000",outcome,"canceled")</f>
        <v>100</v>
      </c>
      <c r="E14">
        <f t="shared" si="0"/>
        <v>444</v>
      </c>
      <c r="F14" s="5">
        <f t="shared" si="1"/>
        <v>0.19369369369369369</v>
      </c>
      <c r="G14" s="5">
        <f t="shared" si="2"/>
        <v>0.58108108108108103</v>
      </c>
      <c r="H14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Data</vt:lpstr>
      <vt:lpstr>category</vt:lpstr>
      <vt:lpstr>sub-category</vt:lpstr>
      <vt:lpstr>Outcome_launch_date</vt:lpstr>
      <vt:lpstr>Bonus</vt:lpstr>
      <vt:lpstr>backers_count</vt:lpstr>
      <vt:lpstr>Category_and_Sub_Category</vt:lpstr>
      <vt:lpstr>goal</vt:lpstr>
      <vt:lpstr>outcome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locadmin</cp:lastModifiedBy>
  <dcterms:created xsi:type="dcterms:W3CDTF">2017-04-20T15:17:24Z</dcterms:created>
  <dcterms:modified xsi:type="dcterms:W3CDTF">2017-09-20T03:00:48Z</dcterms:modified>
</cp:coreProperties>
</file>